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1.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worksheets/sheet10.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Records1.xml" ContentType="application/vnd.openxmlformats-officedocument.spreadsheetml.pivotCacheRecords+xml"/>
  <Override PartName="/docProps/custom.xml" ContentType="application/vnd.openxmlformats-officedocument.custom-properties+xml"/>
  <Override PartName="/docProps/core.xml" ContentType="application/vnd.openxmlformats-package.core-properties+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4.bin" ContentType="application/vnd.openxmlformats-officedocument.spreadsheetml.customProperty"/>
  <Override PartName="/xl/customProperty3.bin" ContentType="application/vnd.openxmlformats-officedocument.spreadsheetml.customProperty"/>
  <Override PartName="/xl/customProperty2.bin" ContentType="application/vnd.openxmlformats-officedocument.spreadsheetml.customProperty"/>
  <Override PartName="/xl/customProperty1.bin" ContentType="application/vnd.openxmlformats-officedocument.spreadsheetml.customProperty"/>
  <Override PartName="/xl/pivotCache/pivotCacheDefinition1.xml" ContentType="application/vnd.openxmlformats-officedocument.spreadsheetml.pivotCacheDefinition+xml"/>
  <Override PartName="/xl/customProperty10.bin" ContentType="application/vnd.openxmlformats-officedocument.spreadsheetml.customProperty"/>
  <Override PartName="/xl/customProperty11.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calcChain.xml" ContentType="application/vnd.openxmlformats-officedocument.spreadsheetml.calcChain+xml"/>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docProps/app.xml" ContentType="application/vnd.openxmlformats-officedocument.extended-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hidePivotFieldList="1"/>
  <bookViews>
    <workbookView xWindow="3540" yWindow="1860" windowWidth="25596" windowHeight="12504" tabRatio="779" activeTab="10"/>
  </bookViews>
  <sheets>
    <sheet name="Introduction" sheetId="21" r:id="rId1"/>
    <sheet name="Summary" sheetId="19" r:id="rId2"/>
    <sheet name="All Scenarios" sheetId="20" state="hidden" r:id="rId3"/>
    <sheet name="Axial Cyl Housed" sheetId="18" r:id="rId4"/>
    <sheet name="Panel" sheetId="17" r:id="rId5"/>
    <sheet name="Centrif Housed" sheetId="16" r:id="rId6"/>
    <sheet name="Centrif Unhous" sheetId="15" r:id="rId7"/>
    <sheet name="Inline-Mixed" sheetId="14" r:id="rId8"/>
    <sheet name="Radial" sheetId="13" r:id="rId9"/>
    <sheet name="Power Roof Vent" sheetId="12" r:id="rId10"/>
    <sheet name="Shipments" sheetId="10" r:id="rId11"/>
    <sheet name="Shipments 2012" sheetId="22" r:id="rId12"/>
    <sheet name="Price Index" sheetId="9" r:id="rId13"/>
    <sheet name="Lifetime" sheetId="8" r:id="rId14"/>
    <sheet name="Energy Factors" sheetId="7" state="hidden" r:id="rId15"/>
    <sheet name="Energy Price" sheetId="6" r:id="rId16"/>
    <sheet name="LCC Inputs" sheetId="11" r:id="rId17"/>
    <sheet name="for NIAplus" sheetId="5" state="hidden" r:id="rId18"/>
    <sheet name="for EIA" sheetId="4" state="hidden" r:id="rId19"/>
    <sheet name="for MIA" sheetId="3" state="hidden" r:id="rId20"/>
    <sheet name="Tables" sheetId="2" r:id="rId21"/>
  </sheets>
  <externalReferences>
    <externalReference r:id="rId22"/>
    <externalReference r:id="rId23"/>
    <externalReference r:id="rId24"/>
    <externalReference r:id="rId25"/>
  </externalReferences>
  <definedNames>
    <definedName name="_base">{0,0,0,0,0,0,0}</definedName>
    <definedName name="_doName">Tables!$C$4:$I$10</definedName>
    <definedName name="_doShort">Tables!$C$12:$I$18</definedName>
    <definedName name="_effDistrib">"RollUp"</definedName>
    <definedName name="_EIdx">Tables!$C$38:$D$38</definedName>
    <definedName name="_el" localSheetId="3">{0;1;2;3;4;5;6}</definedName>
    <definedName name="_el" localSheetId="5">{0;1;2;3;4;5;6}</definedName>
    <definedName name="_el" localSheetId="6">{0;1;2;3;4;5;6}</definedName>
    <definedName name="_el" localSheetId="7">{0;1;2;3;4;5;6}</definedName>
    <definedName name="_el" localSheetId="4">{0;1;2;3;4;5;6}</definedName>
    <definedName name="_el" localSheetId="9">{0;1;2;3;4;5;6}</definedName>
    <definedName name="_el" localSheetId="8">{0;1;2;3;4;5;6}</definedName>
    <definedName name="_Energy">{"Site","Primary","FFC"}</definedName>
    <definedName name="_fuel">{"Electricity"}</definedName>
    <definedName name="_i">Lifetime!$D$4:$BK$4</definedName>
    <definedName name="_iS">_yS-INDEX(_yS,1)+1</definedName>
    <definedName name="_maxLT">60</definedName>
    <definedName name="_mDO">7</definedName>
    <definedName name="_nPC">7</definedName>
    <definedName name="_nUnit">1000</definedName>
    <definedName name="_pcName">Tables!$B$4:$B$10</definedName>
    <definedName name="_pcShort">Tables!$B$12:$B$18</definedName>
    <definedName name="_PIdx">Tables!$C$57:$E$57</definedName>
    <definedName name="_segDolFuelPC">"AllPC"</definedName>
    <definedName name="_segDynMSP">"AllPCDO"</definedName>
    <definedName name="_segEnergyTrend">"AllPCDO"</definedName>
    <definedName name="_segPSurvPC">"byPC"</definedName>
    <definedName name="_SScen">{"AEO Reference","AEO Low","AEO High"}</definedName>
    <definedName name="_t">{1,2,3,4,5,6,7,8,9,10,11,12,13,14,15,16,17,18,19,20,21,22,23,24,25,26,27,28,29,30,31,32,33,34,35,36,37,38,39,40,41,42,43,44,45,46,47,48,49,50,51,52,53,54,55,56,57,58,59,60}</definedName>
    <definedName name="_TSL">OFFSET(_tslMap,-1,0,1)</definedName>
    <definedName name="_tslMap">Tables!$C$45:$H$51</definedName>
    <definedName name="_year1">2019</definedName>
    <definedName name="_year1x">2023</definedName>
    <definedName name="_yearD">2016</definedName>
    <definedName name="_yearDol">2015</definedName>
    <definedName name="_yearL">2048</definedName>
    <definedName name="_yearLx">2052</definedName>
    <definedName name="_yearM">INDEX(_yM,1)</definedName>
    <definedName name="_yH">{1959,1960,1961,1962,1963,1964,1965,1966,1967,1968,1969,1970,1971,1972,1973,1974,1975,1976,1977,1978,1979,1980,1981,1982,1983,1984,1985,1986,1987,1988,1989,1990,1991,1992,1993,1994,1995,1996,1997,1998,1999,2000,2001,2002,2003,2004,2005,2006,2007,2008,2009,2010,2011,2012,2013,2014,2015,2016,2017,2018}</definedName>
    <definedName name="_yL">{2019,2020,2021,2022,2023,2024,2025,2026,2027,2028,2029,2030,2031,2032,2033,2034,2035,2036,2037,2038,2039,2040,2041,2042,2043,2044,2045,2046,2047,2048,2049,2050,2051,2052,2053,2054,2055,2056,2057,2058,2059,2060,2061,2062,2063,2064,2065,2066,2067,2068,2069,2070,2071,2072,2073,2074,2075,2076,2077,2078,2079,2080,2081,2082,2083,2084,2085,2086,2087,2088,2089,2090,2091,2092,2093,2094,2095,2096,2097,2098,2099,2100,2101,2102,2103,2104,2105,2106,2107,2108,2109,2110,2111}</definedName>
    <definedName name="_yM">{2013,2014,2015,2016,2017,2018}</definedName>
    <definedName name="_yR">{1959,1960,1961,1962,1963,1964,1965,1966,1967,1968,1969,1970,1971,1972,1973,1974,1975,1976,1977,1978,1979,1980,1981,1982,1983,1984,1985,1986,1987,1988,1989,1990,1991,1992,1993,1994,1995,1996,1997,1998,1999,2000,2001,2002,2003,2004,2005,2006,2007,2008,2009,2010,2011,2012,2013,2014,2015,2016,2017,2018,2019,2020,2021,2022,2023,2024,2025,2026,2027,2028,2029,2030,2031,2032,2033,2034,2035,2036,2037,2038,2039,2040,2041,2042,2043,2044,2045,2046,2047,2048}</definedName>
    <definedName name="_yS">{2019,2020,2021,2022,2023,2024,2025,2026,2027,2028,2029,2030,2031,2032,2033,2034,2035,2036,2037,2038,2039,2040,2041,2042,2043,2044,2045,2046,2047,2048,2049,2050,2051,2052}</definedName>
    <definedName name="AEO_elec">'[1]Electricity Price Trend'!$G$12:$I$38</definedName>
    <definedName name="ageMax">[2]Lifetime!$F$4</definedName>
    <definedName name="allOnes">_t/_t</definedName>
    <definedName name="apd">'[1]LCC &amp; Payback'!$C$9</definedName>
    <definedName name="apd_on">'[1]LCC &amp; Payback'!$C$10</definedName>
    <definedName name="apd_on_trend">'[1]LCC &amp; Payback'!$AI$10:$AI$42</definedName>
    <definedName name="apd_power">'[1]LCC &amp; Payback'!$C$41:$C$44</definedName>
    <definedName name="apd_sleep">'[1]LCC &amp; Payback'!$C$11</definedName>
    <definedName name="apd_sleep_trend">'[1]LCC &amp; Payback'!$AJ$10:$AJ$42</definedName>
    <definedName name="apd_trend">'[1]LCC &amp; Payback'!$AH$10:$AH$42</definedName>
    <definedName name="asf">'[3]Simulation Inputs'!$E$2</definedName>
    <definedName name="baseCSL" localSheetId="3">INDEX(_base,1)</definedName>
    <definedName name="baseCSL" localSheetId="5">INDEX(_base,3)</definedName>
    <definedName name="baseCSL" localSheetId="6">INDEX(_base,4)</definedName>
    <definedName name="baseCSL" localSheetId="7">INDEX(_base,5)</definedName>
    <definedName name="baseCSL" localSheetId="4">INDEX(_base,2)</definedName>
    <definedName name="baseCSL" localSheetId="9">INDEX(_base,7)</definedName>
    <definedName name="baseCSL" localSheetId="8">INDEX(_base,6)</definedName>
    <definedName name="baseEff">'[2]Efficiency Dist.'!$C$10:$F$10</definedName>
    <definedName name="bAutoFit">Tables!$C$70</definedName>
    <definedName name="bcAxH">'LCC Inputs'!$E$39:$K$39</definedName>
    <definedName name="bcAxU">'LCC Inputs'!$Q$48:$W$48</definedName>
    <definedName name="bcCnH">'LCC Inputs'!$Y$39:$AE$39</definedName>
    <definedName name="bcCnU">'LCC Inputs'!$AI$39:$AO$39</definedName>
    <definedName name="bcCons" localSheetId="3">'Axial Cyl Housed'!tlccFmElecBC*IF(bStdShipm,tShpAxHStd,tShpAxHBC)</definedName>
    <definedName name="bcCons" localSheetId="5">'Centrif Housed'!tlccFmElecBC*IF(bStdShipm,tShpCnHStd,tShpCnHBC)</definedName>
    <definedName name="bcCons" localSheetId="6">'Centrif Unhous'!tlccFmElecBC*IF(bStdShipm,tShpCnUStd,tShpCnUBC)</definedName>
    <definedName name="bcCons" localSheetId="7">'Inline-Mixed'!tlccFmElecBC*IF(bStdShipm,tShpInMxStd,tShpInMxBC)</definedName>
    <definedName name="bcCons" localSheetId="4">Panel!tlccFmElecBC*IF(bStdShipm,tShpPanStd,tShpPanBC)</definedName>
    <definedName name="bcCons" localSheetId="9">'Power Roof Vent'!tlccFmElecBC*IF(bStdShipm,tShpPRVStd,tShpPRVBC)</definedName>
    <definedName name="bcCons" localSheetId="8">Radial!tlccFmElecBC*IF(bStdShipm,tShpRadStd,tShpRadBC)</definedName>
    <definedName name="bcEff" localSheetId="3">'Axial Cyl Housed'!$E$41:$AL$47</definedName>
    <definedName name="bcEff" localSheetId="5">'Centrif Housed'!$E$41:$AL$47</definedName>
    <definedName name="bcEff" localSheetId="6">'Centrif Unhous'!$E$41:$AL$47</definedName>
    <definedName name="bcEff" localSheetId="7">'Inline-Mixed'!$E$41:$AL$47</definedName>
    <definedName name="bcEff" localSheetId="4">Panel!$E$41:$AL$47</definedName>
    <definedName name="bcEff" localSheetId="9">'Power Roof Vent'!$E$41:$AL$47</definedName>
    <definedName name="bcEff" localSheetId="8">Radial!$E$41:$AL$47</definedName>
    <definedName name="bcEffAxH">'Axial Cyl Housed'!$E$41:$AL$47</definedName>
    <definedName name="bcEffCnH">'Centrif Housed'!$E$41:$AL$47</definedName>
    <definedName name="bcEffCnU">'Centrif Unhous'!$E$41:$AL$47</definedName>
    <definedName name="bcEffInMx">'Inline-Mixed'!$E$41:$AL$47</definedName>
    <definedName name="bcEffPan">Panel!$E$41:$AL$47</definedName>
    <definedName name="bcEffPRV">'Power Roof Vent'!$E$41:$AL$47</definedName>
    <definedName name="bcEffRad">Radial!$E$41:$AL$47</definedName>
    <definedName name="bcInMx">'LCC Inputs'!$AS$39:$AY$39</definedName>
    <definedName name="bcPan">'LCC Inputs'!$O$39:$U$39</definedName>
    <definedName name="bcPRV">'LCC Inputs'!$BM$39:$BS$39</definedName>
    <definedName name="bcRad">'LCC Inputs'!$BC$39:$BI$39</definedName>
    <definedName name="bEffTables">FALSE</definedName>
    <definedName name="bEIdx">TRUE</definedName>
    <definedName name="bElast">sElast="Yes"</definedName>
    <definedName name="bElastTIC">sElastCost="TIC"</definedName>
    <definedName name="bElec">TRUE</definedName>
    <definedName name="bESav">zEO="Energy"</definedName>
    <definedName name="bOSav">zEO="Operating"</definedName>
    <definedName name="bPIdx">TRUE</definedName>
    <definedName name="bRepair">FALSE</definedName>
    <definedName name="bRetail">TRUE</definedName>
    <definedName name="bShipmPol">TRUE</definedName>
    <definedName name="bSScen">TRUE</definedName>
    <definedName name="bStdShipm">Tables!$C$65</definedName>
    <definedName name="BuilderVersion">"myGen v2016-1.xlsm"</definedName>
    <definedName name="BuildingDate">"Jan, 12 2016 09:03:39 PM"</definedName>
    <definedName name="bVAdAll">FALSE</definedName>
    <definedName name="bVarComp">TRUE</definedName>
    <definedName name="carbon">#REF!</definedName>
    <definedName name="CBWorkbookPriority" hidden="1">-1985642600</definedName>
    <definedName name="choice_Eff">'[1]Simulation Inputs'!$H$2</definedName>
    <definedName name="choice_PC">'[1]Simulation Inputs'!$F$2</definedName>
    <definedName name="choice_PriceTrend">'[1]Simulation Inputs'!$C$2</definedName>
    <definedName name="choiceEcon">'[2]Simulation Inputs'!$D$2</definedName>
    <definedName name="convFactor">OFFSET('Energy Factors'!$E$8:$CR$8,0,COLUMN()-5,1,_maxLT)</definedName>
    <definedName name="cslAxH">INDEX(_tslMap,1,iTSL)</definedName>
    <definedName name="cslCnH">INDEX(_tslMap,3,iTSL)</definedName>
    <definedName name="cslCnU">INDEX(_tslMap,4,iTSL)</definedName>
    <definedName name="cslInMx">INDEX(_tslMap,5,iTSL)</definedName>
    <definedName name="cslPan">INDEX(_tslMap,2,iTSL)</definedName>
    <definedName name="cslPRV">INDEX(_tslMap,7,iTSL)</definedName>
    <definedName name="cslRad">INDEX(_tslMap,6,iTSL)</definedName>
    <definedName name="dFactor">Tables!$C$55:$BJ$55</definedName>
    <definedName name="discRate">[2]Summary!$C$10</definedName>
    <definedName name="dRate">Summary!$D$5</definedName>
    <definedName name="ecs" localSheetId="3">OFFSET('Axial Cyl Housed'!tecs,0,yShift,1,nPer)</definedName>
    <definedName name="ecs" localSheetId="5">OFFSET('Centrif Housed'!tecs,0,yShift,1,nPer)</definedName>
    <definedName name="ecs" localSheetId="6">OFFSET('Centrif Unhous'!tecs,0,yShift,1,nPer)</definedName>
    <definedName name="ecs" localSheetId="7">OFFSET('Inline-Mixed'!tecs,0,yShift,1,nPer)</definedName>
    <definedName name="ecs" localSheetId="4">OFFSET(Panel!tecs,0,yShift,1,nPer)</definedName>
    <definedName name="ecs" localSheetId="9">OFFSET('Power Roof Vent'!tecs,0,yShift,1,nPer)</definedName>
    <definedName name="ecs" localSheetId="8">OFFSET(Radial!tecs,0,yShift,1,nPer)</definedName>
    <definedName name="effBase">'[1]Base Case Distribution'!$C$5</definedName>
    <definedName name="elastAdjust" localSheetId="3">N(bStdShipm)*IF(tShpAxHStd=0,0,MMULT('Axial Cyl Housed'!mRoll,tShpAxHBC*'Axial Cyl Housed'!refEff*(TRANSPOSE('Axial Cyl Housed'!elIsAbove)+TRANSPOSE('Axial Cyl Housed'!elIsStd)+TRANSPOSE('Axial Cyl Housed'!elIsBelow)*'Axial Cyl Housed'!zShrP)/tShpAxHStd)-MMULT('Axial Cyl Housed'!mRoll,'Axial Cyl Housed'!refEff))</definedName>
    <definedName name="elastAdjust" localSheetId="5">N(bStdShipm)*IF(tShpCnHStd=0,0,MMULT('Centrif Housed'!mRoll,tShpCnHBC*'Centrif Housed'!refEff*(TRANSPOSE('Centrif Housed'!elIsAbove)+TRANSPOSE('Centrif Housed'!elIsStd)+TRANSPOSE('Centrif Housed'!elIsBelow)*'Centrif Housed'!zShrP)/tShpCnHStd)-MMULT('Centrif Housed'!mRoll,'Centrif Housed'!refEff))</definedName>
    <definedName name="elastAdjust" localSheetId="6">N(bStdShipm)*IF(tShpCnUStd=0,0,MMULT('Centrif Unhous'!mRoll,tShpCnUBC*'Centrif Unhous'!refEff*(TRANSPOSE('Centrif Unhous'!elIsAbove)+TRANSPOSE('Centrif Unhous'!elIsStd)+TRANSPOSE('Centrif Unhous'!elIsBelow)*'Centrif Unhous'!zShrP)/tShpCnUStd)-MMULT('Centrif Unhous'!mRoll,'Centrif Unhous'!refEff))</definedName>
    <definedName name="elastAdjust" localSheetId="7">N(bStdShipm)*IF(tShpInMxStd=0,0,MMULT('Inline-Mixed'!mRoll,tShpInMxBC*'Inline-Mixed'!refEff*(TRANSPOSE('Inline-Mixed'!elIsAbove)+TRANSPOSE('Inline-Mixed'!elIsStd)+TRANSPOSE('Inline-Mixed'!elIsBelow)*'Inline-Mixed'!zShrP)/tShpInMxStd)-MMULT('Inline-Mixed'!mRoll,'Inline-Mixed'!refEff))</definedName>
    <definedName name="elastAdjust" localSheetId="4">N(bStdShipm)*IF(tShpPanStd=0,0,MMULT(Panel!mRoll,tShpPanBC*Panel!refEff*(TRANSPOSE(Panel!elIsAbove)+TRANSPOSE(Panel!elIsStd)+TRANSPOSE(Panel!elIsBelow)*Panel!zShrP)/tShpPanStd)-MMULT(Panel!mRoll,Panel!refEff))</definedName>
    <definedName name="elastAdjust" localSheetId="9">N(bStdShipm)*IF(tShpPRVStd=0,0,MMULT('Power Roof Vent'!mRoll,tShpPRVBC*'Power Roof Vent'!refEff*(TRANSPOSE('Power Roof Vent'!elIsAbove)+TRANSPOSE('Power Roof Vent'!elIsStd)+TRANSPOSE('Power Roof Vent'!elIsBelow)*'Power Roof Vent'!zShrP)/tShpPRVStd)-MMULT('Power Roof Vent'!mRoll,'Power Roof Vent'!refEff))</definedName>
    <definedName name="elastAdjust" localSheetId="8">N(bStdShipm)*IF(tShpRadStd=0,0,MMULT(Radial!mRoll,tShpRadBC*Radial!refEff*(TRANSPOSE(Radial!elIsAbove)+TRANSPOSE(Radial!elIsStd)+TRANSPOSE(Radial!elIsBelow)*Radial!zShrP)/tShpRadStd)-MMULT(Radial!mRoll,Radial!refEff))</definedName>
    <definedName name="elec_year">'[1]Electricity Prices'!$G$4</definedName>
    <definedName name="elecAxH">'LCC Inputs'!$E$32:$K$38</definedName>
    <definedName name="elecAxU">'LCC Inputs'!$Q$41:$W$47</definedName>
    <definedName name="elecCnH">'LCC Inputs'!$Y$32:$AE$38</definedName>
    <definedName name="elecCnU">'LCC Inputs'!$AI$32:$AO$38</definedName>
    <definedName name="elecInMx">'LCC Inputs'!$AS$32:$AY$38</definedName>
    <definedName name="elecPan">'LCC Inputs'!$O$32:$U$38</definedName>
    <definedName name="elecPrices">'[2]Electricity Prices'!$B$6:$E$77</definedName>
    <definedName name="elecPRV">'LCC Inputs'!$BM$32:$BS$38</definedName>
    <definedName name="elecRad">'LCC Inputs'!$BC$32:$BI$38</definedName>
    <definedName name="elecSecNIApAxH">Tables!$C$22:$C$23</definedName>
    <definedName name="elecSecNIApCnH">Tables!$C$28:$C$29</definedName>
    <definedName name="elecSecNIApCnU">Tables!$C$31:$C$32</definedName>
    <definedName name="elecSecNIApInMx">Tables!$C$34:$C$35</definedName>
    <definedName name="elecSecNIApPan">Tables!$C$25:$C$26</definedName>
    <definedName name="elecSecNIApPRV">Tables!$C$40:$C$41</definedName>
    <definedName name="elecSecNIApRad">Tables!$C$37:$C$38</definedName>
    <definedName name="elecSeries">'[1]LCC &amp; Payback'!$AM$10:$AM$42</definedName>
    <definedName name="elIsAbove" localSheetId="3">N(OFFSET(_i,0,0,1,'Axial Cyl Housed'!nEL)-1&gt;'Axial Cyl Housed'!stdCSL)</definedName>
    <definedName name="elIsAbove" localSheetId="5">N(OFFSET(_i,0,0,1,'Centrif Housed'!nEL)-1&gt;'Centrif Housed'!stdCSL)</definedName>
    <definedName name="elIsAbove" localSheetId="6">N(OFFSET(_i,0,0,1,'Centrif Unhous'!nEL)-1&gt;'Centrif Unhous'!stdCSL)</definedName>
    <definedName name="elIsAbove" localSheetId="7">N(OFFSET(_i,0,0,1,'Inline-Mixed'!nEL)-1&gt;'Inline-Mixed'!stdCSL)</definedName>
    <definedName name="elIsAbove" localSheetId="4">N(OFFSET(_i,0,0,1,Panel!nEL)-1&gt;Panel!stdCSL)</definedName>
    <definedName name="elIsAbove" localSheetId="9">N(OFFSET(_i,0,0,1,'Power Roof Vent'!nEL)-1&gt;'Power Roof Vent'!stdCSL)</definedName>
    <definedName name="elIsAbove" localSheetId="8">N(OFFSET(_i,0,0,1,Radial!nEL)-1&gt;Radial!stdCSL)</definedName>
    <definedName name="elIsBelow" localSheetId="3">N(OFFSET(_i,0,0,1,'Axial Cyl Housed'!nEL)-1&lt;'Axial Cyl Housed'!stdCSL)</definedName>
    <definedName name="elIsBelow" localSheetId="5">N(OFFSET(_i,0,0,1,'Centrif Housed'!nEL)-1&lt;'Centrif Housed'!stdCSL)</definedName>
    <definedName name="elIsBelow" localSheetId="6">N(OFFSET(_i,0,0,1,'Centrif Unhous'!nEL)-1&lt;'Centrif Unhous'!stdCSL)</definedName>
    <definedName name="elIsBelow" localSheetId="7">N(OFFSET(_i,0,0,1,'Inline-Mixed'!nEL)-1&lt;'Inline-Mixed'!stdCSL)</definedName>
    <definedName name="elIsBelow" localSheetId="4">N(OFFSET(_i,0,0,1,Panel!nEL)-1&lt;Panel!stdCSL)</definedName>
    <definedName name="elIsBelow" localSheetId="9">N(OFFSET(_i,0,0,1,'Power Roof Vent'!nEL)-1&lt;'Power Roof Vent'!stdCSL)</definedName>
    <definedName name="elIsBelow" localSheetId="8">N(OFFSET(_i,0,0,1,Radial!nEL)-1&lt;Radial!stdCSL)</definedName>
    <definedName name="elIsStd" localSheetId="3">N(OFFSET(_i,0,0,1,'Axial Cyl Housed'!nEL)-1='Axial Cyl Housed'!stdCSL)</definedName>
    <definedName name="elIsStd" localSheetId="5">N(OFFSET(_i,0,0,1,'Centrif Housed'!nEL)-1='Centrif Housed'!stdCSL)</definedName>
    <definedName name="elIsStd" localSheetId="6">N(OFFSET(_i,0,0,1,'Centrif Unhous'!nEL)-1='Centrif Unhous'!stdCSL)</definedName>
    <definedName name="elIsStd" localSheetId="7">N(OFFSET(_i,0,0,1,'Inline-Mixed'!nEL)-1='Inline-Mixed'!stdCSL)</definedName>
    <definedName name="elIsStd" localSheetId="4">N(OFFSET(_i,0,0,1,Panel!nEL)-1=Panel!stdCSL)</definedName>
    <definedName name="elIsStd" localSheetId="9">N(OFFSET(_i,0,0,1,'Power Roof Vent'!nEL)-1='Power Roof Vent'!stdCSL)</definedName>
    <definedName name="elIsStd" localSheetId="8">N(OFFSET(_i,0,0,1,Radial!nEL)-1=Radial!stdCSL)</definedName>
    <definedName name="FC_Stat">'[1]Forecast Cells'!$W$1</definedName>
    <definedName name="fSurv">[2]Lifetime!$G$30</definedName>
    <definedName name="hasEIdx">FALSE</definedName>
    <definedName name="hasElast">TRUE</definedName>
    <definedName name="hasElastScen">FALSE</definedName>
    <definedName name="hasPIdx">TRUE</definedName>
    <definedName name="hasRebound">FALSE</definedName>
    <definedName name="hasShpTables">FALSE</definedName>
    <definedName name="hasSScen">TRUE</definedName>
    <definedName name="iAEO">MATCH(sAEO,{"Reference","Low","High"},0)</definedName>
    <definedName name="iCSL">'[2]Efficiency Dist.'!$D$3</definedName>
    <definedName name="iec" localSheetId="3">OFFSET('Axial Cyl Housed'!tiec,0,yShift,1,nPer)</definedName>
    <definedName name="iec" localSheetId="5">OFFSET('Centrif Housed'!tiec,0,yShift,1,nPer)</definedName>
    <definedName name="iec" localSheetId="6">OFFSET('Centrif Unhous'!tiec,0,yShift,1,nPer)</definedName>
    <definedName name="iec" localSheetId="7">OFFSET('Inline-Mixed'!tiec,0,yShift,1,nPer)</definedName>
    <definedName name="iec" localSheetId="4">OFFSET(Panel!tiec,0,yShift,1,nPer)</definedName>
    <definedName name="iec" localSheetId="9">OFFSET('Power Roof Vent'!tiec,0,yShift,1,nPer)</definedName>
    <definedName name="iec" localSheetId="8">OFFSET(Radial!tiec,0,yShift,1,nPer)</definedName>
    <definedName name="iEcon">'[2]Simulation Inputs'!$D$3</definedName>
    <definedName name="iEff">'[2]Simulation Inputs'!$H$3</definedName>
    <definedName name="iEIdx">MATCH(sEIdx,_EIdx,0)</definedName>
    <definedName name="iEnergy">MATCH(sEnergy,_Energy,0)</definedName>
    <definedName name="iFuelPC">{1,0,0,0;1,0,0,0;1,0,0,0;1,0,0,0;1,0,0,0;1,0,0,0;1,0,0,0}</definedName>
    <definedName name="inputAEU">'[2]Model Data'!$D$40:$G$40</definedName>
    <definedName name="inputTIC">'[2]Model Data'!$C$5:$F$5</definedName>
    <definedName name="instAxH">'LCC Inputs'!$E$15:$K$21</definedName>
    <definedName name="instAxU">'LCC Inputs'!$Q$24:$W$30</definedName>
    <definedName name="instCnH">'LCC Inputs'!$Y$15:$AE$21</definedName>
    <definedName name="instCnU">'LCC Inputs'!$AI$15:$AO$21</definedName>
    <definedName name="instInMx">'LCC Inputs'!$AS$15:$AY$21</definedName>
    <definedName name="instPan">'LCC Inputs'!$O$15:$U$21</definedName>
    <definedName name="instPRV">'LCC Inputs'!$BM$15:$BS$21</definedName>
    <definedName name="instRad">'LCC Inputs'!$BC$15:$BI$21</definedName>
    <definedName name="iPC" localSheetId="3">1</definedName>
    <definedName name="iPC" localSheetId="5">3</definedName>
    <definedName name="iPC" localSheetId="6">4</definedName>
    <definedName name="iPC" localSheetId="7">5</definedName>
    <definedName name="iPC" localSheetId="4">2</definedName>
    <definedName name="iPC" localSheetId="9">7</definedName>
    <definedName name="iPC" localSheetId="8">6</definedName>
    <definedName name="iPC">'[1]Simulation Inputs'!$F$3</definedName>
    <definedName name="iPIdx">MATCH(sPIdx,_PIdx,0)</definedName>
    <definedName name="iPrd">'[2]Simulation Inputs'!$F$3</definedName>
    <definedName name="iShip">'[2]Simulation Inputs'!$I$3</definedName>
    <definedName name="isNCNORpl">FALSE</definedName>
    <definedName name="iSScen">MATCH(sSScen,_SScen,0)</definedName>
    <definedName name="iTSL">MATCH(sTSL,_TSL,0)</definedName>
    <definedName name="iTSLBox">'[2]Simulation Inputs'!$E$2</definedName>
    <definedName name="kFuel">{"Elec"}</definedName>
    <definedName name="kPC">{"AxH","Pan","CnH","CnU","InMx","Rad","PRV"}</definedName>
    <definedName name="kprcElastAll" localSheetId="10">Shipments!$E$30</definedName>
    <definedName name="labelEff">'[2]Simulation Inputs'!$H$2</definedName>
    <definedName name="lccTables">"LCCbyCSL"</definedName>
    <definedName name="life">[1]Lifetime!$D$4</definedName>
    <definedName name="list_Econ">'[2]Simulation Inputs'!$D$5:$D$7</definedName>
    <definedName name="list_Eff">'[2]Simulation Inputs'!$H$5:$H$9</definedName>
    <definedName name="list_iTSL">'[2]Simulation Inputs'!$E$5:$E$7</definedName>
    <definedName name="list_nTrials">'[1]Simulation Inputs'!$D$5:$D$10</definedName>
    <definedName name="list_PC">'[2]TSL-CSL Mapping'!$B$5:$B$21</definedName>
    <definedName name="list_PriceTrend">'[1]Simulation Inputs'!$C$5:$C$7</definedName>
    <definedName name="list_ship">'[2]Simulation Inputs'!$I$5:$I$7</definedName>
    <definedName name="list_StartYear">'[2]Simulation Inputs'!$C$5:$C$7</definedName>
    <definedName name="mrAxH">'LCC Inputs'!$E$23:$K$29</definedName>
    <definedName name="mrAxU">'LCC Inputs'!$Q$32:$W$38</definedName>
    <definedName name="mrCnH">'LCC Inputs'!$Y$23:$AE$29</definedName>
    <definedName name="mrCnU">'LCC Inputs'!$AI$23:$AO$29</definedName>
    <definedName name="mrInMx">'LCC Inputs'!$AS$23:$AY$29</definedName>
    <definedName name="mRoll" localSheetId="3">IF({0,1,2,3,4,5,6}&lt;'Axial Cyl Housed'!stdCSL,IF({0;1;2;3;4;5;6}='Axial Cyl Housed'!stdCSL,'Axial Cyl Housed'!polRoll,IF({0,1,2,3,4,5,6}={0;1;2;3;4;5;6},1-'Axial Cyl Housed'!polRoll,0)),IF({0,1,2,3,4,5,6}={0;1;2;3;4;5;6},1,0))</definedName>
    <definedName name="mRoll" localSheetId="5">IF({0,1,2,3,4,5,6}&lt;'Centrif Housed'!stdCSL,IF({0;1;2;3;4;5;6}='Centrif Housed'!stdCSL,'Centrif Housed'!polRoll,IF({0,1,2,3,4,5,6}={0;1;2;3;4;5;6},1-'Centrif Housed'!polRoll,0)),IF({0,1,2,3,4,5,6}={0;1;2;3;4;5;6},1,0))</definedName>
    <definedName name="mRoll" localSheetId="6">IF({0,1,2,3,4,5,6}&lt;'Centrif Unhous'!stdCSL,IF({0;1;2;3;4;5;6}='Centrif Unhous'!stdCSL,'Centrif Unhous'!polRoll,IF({0,1,2,3,4,5,6}={0;1;2;3;4;5;6},1-'Centrif Unhous'!polRoll,0)),IF({0,1,2,3,4,5,6}={0;1;2;3;4;5;6},1,0))</definedName>
    <definedName name="mRoll" localSheetId="7">IF({0,1,2,3,4,5,6}&lt;'Inline-Mixed'!stdCSL,IF({0;1;2;3;4;5;6}='Inline-Mixed'!stdCSL,'Inline-Mixed'!polRoll,IF({0,1,2,3,4,5,6}={0;1;2;3;4;5;6},1-'Inline-Mixed'!polRoll,0)),IF({0,1,2,3,4,5,6}={0;1;2;3;4;5;6},1,0))</definedName>
    <definedName name="mRoll" localSheetId="4">IF({0,1,2,3,4,5,6}&lt;Panel!stdCSL,IF({0;1;2;3;4;5;6}=Panel!stdCSL,Panel!polRoll,IF({0,1,2,3,4,5,6}={0;1;2;3;4;5;6},1-Panel!polRoll,0)),IF({0,1,2,3,4,5,6}={0;1;2;3;4;5;6},1,0))</definedName>
    <definedName name="mRoll" localSheetId="9">IF({0,1,2,3,4,5,6}&lt;'Power Roof Vent'!stdCSL,IF({0;1;2;3;4;5;6}='Power Roof Vent'!stdCSL,'Power Roof Vent'!polRoll,IF({0,1,2,3,4,5,6}={0;1;2;3;4;5;6},1-'Power Roof Vent'!polRoll,0)),IF({0,1,2,3,4,5,6}={0;1;2;3;4;5;6},1,0))</definedName>
    <definedName name="mRoll" localSheetId="8">IF({0,1,2,3,4,5,6}&lt;Radial!stdCSL,IF({0;1;2;3;4;5;6}=Radial!stdCSL,Radial!polRoll,IF({0,1,2,3,4,5,6}={0;1;2;3;4;5;6},1-Radial!polRoll,0)),IF({0,1,2,3,4,5,6}={0;1;2;3;4;5;6},1,0))</definedName>
    <definedName name="mrPan">'LCC Inputs'!$O$23:$U$29</definedName>
    <definedName name="mrPRV">'LCC Inputs'!$BM$23:$BS$29</definedName>
    <definedName name="mrRad">'LCC Inputs'!$BC$23:$BI$29</definedName>
    <definedName name="mspAxH">'LCC Inputs'!$E$7:$K$13</definedName>
    <definedName name="mspAxU">'LCC Inputs'!$Q$8:$W$14</definedName>
    <definedName name="mspCnH">'LCC Inputs'!$Y$7:$AE$13</definedName>
    <definedName name="mspCnU">'LCC Inputs'!$AI$7:$AO$13</definedName>
    <definedName name="mspInMx">'LCC Inputs'!$AS$7:$AY$13</definedName>
    <definedName name="mspPan">'LCC Inputs'!$O$7:$U$13</definedName>
    <definedName name="mspPRV">'LCC Inputs'!$BM$7:$BS$13</definedName>
    <definedName name="mspRad">'LCC Inputs'!$BC$7:$BI$13</definedName>
    <definedName name="multi">'[1]LCC &amp; Payback'!$C$7</definedName>
    <definedName name="multi_base">'[1]Household Sample'!$C$6</definedName>
    <definedName name="multi_power">'[1]LCC &amp; Payback'!$C$31:$C$34</definedName>
    <definedName name="multi_server">'[1]Household Sample'!$C$9</definedName>
    <definedName name="multi_trend">'[1]LCC &amp; Payback'!$AC$10:$AC$42</definedName>
    <definedName name="nDO">{7,7,7,7,7,7,7}</definedName>
    <definedName name="nEL" localSheetId="3">COUNT('Axial Cyl Housed'!_el)</definedName>
    <definedName name="nEL" localSheetId="5">COUNT('Centrif Housed'!_el)</definedName>
    <definedName name="nEL" localSheetId="6">COUNT('Centrif Unhous'!_el)</definedName>
    <definedName name="nEL" localSheetId="7">COUNT('Inline-Mixed'!_el)</definedName>
    <definedName name="nEL" localSheetId="4">COUNT(Panel!_el)</definedName>
    <definedName name="nEL" localSheetId="9">COUNT('Power Roof Vent'!_el)</definedName>
    <definedName name="nEL" localSheetId="8">COUNT(Radial!_el)</definedName>
    <definedName name="nPer" localSheetId="19">0</definedName>
    <definedName name="nPer">Summary!$D$7</definedName>
    <definedName name="nTrials" comment="Number of simulation trials">'[1]Simulation Inputs'!$D$2</definedName>
    <definedName name="num_TVs">'[1]Household Sample'!$C$20</definedName>
    <definedName name="numYrs">[2]Summary!$C$14</definedName>
    <definedName name="on">'[1]LCC &amp; Payback'!$C$6</definedName>
    <definedName name="on_base">'[1]Household Sample'!$C$5</definedName>
    <definedName name="on_power">'[1]LCC &amp; Payback'!$C$26:$C$29</definedName>
    <definedName name="on_server">'[1]Household Sample'!$C$8</definedName>
    <definedName name="on_trend">'[1]LCC &amp; Payback'!$X$10:$X$42</definedName>
    <definedName name="outElastEIA">Tables!$D$68</definedName>
    <definedName name="outElastMIA">Tables!$E$68</definedName>
    <definedName name="outElastNIAplus">Tables!$C$68</definedName>
    <definedName name="pc_name">'[2]Simulation Inputs'!$G$2</definedName>
    <definedName name="pc_nameList">'[2]Simulation Inputs'!$G$5:$G$21</definedName>
    <definedName name="polEff" localSheetId="3">'Axial Cyl Housed'!$E$32:$AL$38</definedName>
    <definedName name="polEff" localSheetId="5">'Centrif Housed'!$E$32:$AL$38</definedName>
    <definedName name="polEff" localSheetId="6">'Centrif Unhous'!$E$32:$AL$38</definedName>
    <definedName name="polEff" localSheetId="7">'Inline-Mixed'!$E$32:$AL$38</definedName>
    <definedName name="polEff" localSheetId="4">Panel!$E$32:$AL$38</definedName>
    <definedName name="polEff" localSheetId="9">'Power Roof Vent'!$E$32:$AL$38</definedName>
    <definedName name="polEff" localSheetId="8">Radial!$E$32:$AL$38</definedName>
    <definedName name="polEffAxH">'Axial Cyl Housed'!$E$32:$AL$38</definedName>
    <definedName name="polEffCnH">'Centrif Housed'!$E$32:$AL$38</definedName>
    <definedName name="polEffCnU">'Centrif Unhous'!$E$32:$AL$38</definedName>
    <definedName name="polEffInMx">'Inline-Mixed'!$E$32:$AL$38</definedName>
    <definedName name="polEffPan">Panel!$E$32:$AL$38</definedName>
    <definedName name="polEffPRV">'Power Roof Vent'!$E$32:$AL$38</definedName>
    <definedName name="polEffRad">Radial!$E$32:$AL$38</definedName>
    <definedName name="polRoll" localSheetId="3">1</definedName>
    <definedName name="polRoll" localSheetId="5">1</definedName>
    <definedName name="polRoll" localSheetId="6">1</definedName>
    <definedName name="polRoll" localSheetId="7">1</definedName>
    <definedName name="polRoll" localSheetId="4">1</definedName>
    <definedName name="polRoll" localSheetId="9">1</definedName>
    <definedName name="polRoll" localSheetId="8">1</definedName>
    <definedName name="powerplant">#REF!</definedName>
    <definedName name="priceElec">'[1]Electricity Prices'!$C$8</definedName>
    <definedName name="priceTrend_Energy">'[1]Electricity Price Trend'!$B$11:$C$48</definedName>
    <definedName name="refCSL" localSheetId="3">('Axial Cyl Housed'!stdCSL&gt;'Axial Cyl Housed'!baseCSL)*'Axial Cyl Housed'!baseCSL</definedName>
    <definedName name="refCSL" localSheetId="5">('Centrif Housed'!stdCSL&gt;'Centrif Housed'!baseCSL)*'Centrif Housed'!baseCSL</definedName>
    <definedName name="refCSL" localSheetId="6">('Centrif Unhous'!stdCSL&gt;'Centrif Unhous'!baseCSL)*'Centrif Unhous'!baseCSL</definedName>
    <definedName name="refCSL" localSheetId="7">('Inline-Mixed'!stdCSL&gt;'Inline-Mixed'!baseCSL)*'Inline-Mixed'!baseCSL</definedName>
    <definedName name="refCSL" localSheetId="4">(Panel!stdCSL&gt;Panel!baseCSL)*Panel!baseCSL</definedName>
    <definedName name="refCSL" localSheetId="9">('Power Roof Vent'!stdCSL&gt;'Power Roof Vent'!baseCSL)*'Power Roof Vent'!baseCSL</definedName>
    <definedName name="refCSL" localSheetId="8">(Radial!stdCSL&gt;Radial!baseCSL)*Radial!baseCSL</definedName>
    <definedName name="refEff" localSheetId="3">'Axial Cyl Housed'!$E$41:$AL$47</definedName>
    <definedName name="refEff" localSheetId="5">'Centrif Housed'!$E$41:$AL$47</definedName>
    <definedName name="refEff" localSheetId="6">'Centrif Unhous'!$E$41:$AL$47</definedName>
    <definedName name="refEff" localSheetId="7">'Inline-Mixed'!$E$41:$AL$47</definedName>
    <definedName name="refEff" localSheetId="4">Panel!$E$41:$AL$47</definedName>
    <definedName name="refEff" localSheetId="9">'Power Roof Vent'!$E$41:$AL$47</definedName>
    <definedName name="refEff" localSheetId="8">Radial!$E$41:$AL$47</definedName>
    <definedName name="region">'[1]Electricity Price Trend'!$D$5</definedName>
    <definedName name="runNIAp">"hblum: 8/18/2015 2:15:03 PM"</definedName>
    <definedName name="sAEO">Summary!$D$4</definedName>
    <definedName name="salesTax">'[2]Model Data'!$L$26:$L$33</definedName>
    <definedName name="sampleMap">'[2]Model Data'!$M$36:$M$52</definedName>
    <definedName name="savElec" localSheetId="3">OFFSET('Axial Cyl Housed'!tsavElec,0,yShift,1,nPer)</definedName>
    <definedName name="savElec" localSheetId="5">OFFSET('Centrif Housed'!tsavElec,0,yShift,1,nPer)</definedName>
    <definedName name="savElec" localSheetId="6">OFFSET('Centrif Unhous'!tsavElec,0,yShift,1,nPer)</definedName>
    <definedName name="savElec" localSheetId="7">OFFSET('Inline-Mixed'!tsavElec,0,yShift,1,nPer)</definedName>
    <definedName name="savElec" localSheetId="4">OFFSET(Panel!tsavElec,0,yShift,1,nPer)</definedName>
    <definedName name="savElec" localSheetId="9">OFFSET('Power Roof Vent'!tsavElec,0,yShift,1,nPer)</definedName>
    <definedName name="savElec" localSheetId="8">OFFSET(Radial!tsavElec,0,yShift,1,nPer)</definedName>
    <definedName name="segmName">""</definedName>
    <definedName name="sEIdx">Summary!$D$11</definedName>
    <definedName name="sElast">Summary!$D$11</definedName>
    <definedName name="sElastCost">Tables!$C$63</definedName>
    <definedName name="sEnergy">Summary!$D$8</definedName>
    <definedName name="sensShipm">Tables!$C$47</definedName>
    <definedName name="server">'[1]Household Sample'!$C$19</definedName>
    <definedName name="sFuelPC">{"Elec","","","";"Elec","","","";"Elec","","","";"Elec","","","";"Elec","","","";"Elec","","","";"Elec","","",""}</definedName>
    <definedName name="sgmEff">FALSE</definedName>
    <definedName name="sgmEIdx">FALSE</definedName>
    <definedName name="sgmEnrg">FALSE</definedName>
    <definedName name="sgmFuel">FALSE</definedName>
    <definedName name="sgmInst">FALSE</definedName>
    <definedName name="sgmMR">FALSE</definedName>
    <definedName name="sgmMSP">FALSE</definedName>
    <definedName name="sgmPIdx">FALSE</definedName>
    <definedName name="sgmPSurv">FALSE</definedName>
    <definedName name="sgmShipm">FALSE</definedName>
    <definedName name="sgmVAd">FALSE</definedName>
    <definedName name="ship_name">'[2]Simulation Inputs'!$I$2</definedName>
    <definedName name="shipmScen">"AEO"</definedName>
    <definedName name="shipmTrend">"AEO"</definedName>
    <definedName name="shpUnit" localSheetId="10">"th units"</definedName>
    <definedName name="sleep">'[1]LCC &amp; Payback'!$C$8</definedName>
    <definedName name="sleep_dist">'[1]Household Sample'!$C$45</definedName>
    <definedName name="sleep_power">'[1]LCC &amp; Payback'!$C$36:$C$39</definedName>
    <definedName name="sleep_trend">'[1]LCC &amp; Payback'!$AG$10:$AG$42</definedName>
    <definedName name="sPC">{"AxH","AxU","CnH","CnU","InMx","Rad","PRV"}</definedName>
    <definedName name="sPer">Summary!$D$6</definedName>
    <definedName name="sPIdx">Summary!$D$10</definedName>
    <definedName name="sPIdxHigh">Tables!$C$61</definedName>
    <definedName name="sPIdxLow">Tables!$C$60</definedName>
    <definedName name="sPIdxRef">Tables!$C$59</definedName>
    <definedName name="sSens">Summary!#REF!</definedName>
    <definedName name="sSScen">"AEO "&amp;sAEO</definedName>
    <definedName name="sSScenHigh">"AEO High"</definedName>
    <definedName name="sSScenLow">"AEO Low"</definedName>
    <definedName name="sSScenRef">"AEO Reference"</definedName>
    <definedName name="StartYear">'[2]Simulation Inputs'!$C$3</definedName>
    <definedName name="StartYearBox">'[2]Simulation Inputs'!$C$2</definedName>
    <definedName name="State">'[1]Household Sample'!$C$26</definedName>
    <definedName name="stdCSL" localSheetId="3">cslAxH</definedName>
    <definedName name="stdCSL" localSheetId="5">cslCnH</definedName>
    <definedName name="stdCSL" localSheetId="6">cslCnU</definedName>
    <definedName name="stdCSL" localSheetId="7">cslInMx</definedName>
    <definedName name="stdCSL" localSheetId="4">cslPan</definedName>
    <definedName name="stdCSL" localSheetId="9">cslPRV</definedName>
    <definedName name="stdCSL" localSheetId="8">cslRad</definedName>
    <definedName name="stdsEff">'[2]Efficiency Dist.'!$J$10:$M$10</definedName>
    <definedName name="sTSL">Summary!$D$14</definedName>
    <definedName name="Summ">Summary!$H$5:$N$9</definedName>
    <definedName name="summEnergyPC" localSheetId="17">TRUE</definedName>
    <definedName name="summSens">0</definedName>
    <definedName name="t">'LCC Inputs'!$E$38:$K$38</definedName>
    <definedName name="tBaseElec" localSheetId="15">'Energy Price'!$E$17</definedName>
    <definedName name="tbcEff0" localSheetId="3">'Axial Cyl Housed'!$E$41:$AL$41</definedName>
    <definedName name="tbcEff0" localSheetId="5">'Centrif Housed'!$E$41:$AL$41</definedName>
    <definedName name="tbcEff0" localSheetId="6">'Centrif Unhous'!$E$41:$AL$41</definedName>
    <definedName name="tbcEff0" localSheetId="7">'Inline-Mixed'!$E$41:$AL$41</definedName>
    <definedName name="tbcEff0" localSheetId="4">Panel!$E$41:$AL$41</definedName>
    <definedName name="tbcEff0" localSheetId="9">'Power Roof Vent'!$E$41:$AL$41</definedName>
    <definedName name="tbcEff0" localSheetId="8">Radial!$E$41:$AL$41</definedName>
    <definedName name="tbcEff1" localSheetId="3">'Axial Cyl Housed'!$E$42:$AL$42</definedName>
    <definedName name="tbcEff1" localSheetId="5">'Centrif Housed'!$E$42:$AL$42</definedName>
    <definedName name="tbcEff1" localSheetId="6">'Centrif Unhous'!$E$42:$AL$42</definedName>
    <definedName name="tbcEff1" localSheetId="7">'Inline-Mixed'!$E$42:$AL$42</definedName>
    <definedName name="tbcEff1" localSheetId="4">Panel!$E$42:$AL$42</definedName>
    <definedName name="tbcEff1" localSheetId="9">'Power Roof Vent'!$E$42:$AL$42</definedName>
    <definedName name="tbcEff1" localSheetId="8">Radial!$E$42:$AL$42</definedName>
    <definedName name="tbcEff2" localSheetId="3">'Axial Cyl Housed'!$E$43:$AL$43</definedName>
    <definedName name="tbcEff2" localSheetId="5">'Centrif Housed'!$E$43:$AL$43</definedName>
    <definedName name="tbcEff2" localSheetId="6">'Centrif Unhous'!$E$43:$AL$43</definedName>
    <definedName name="tbcEff2" localSheetId="7">'Inline-Mixed'!$E$43:$AL$43</definedName>
    <definedName name="tbcEff2" localSheetId="4">Panel!$E$43:$AL$43</definedName>
    <definedName name="tbcEff2" localSheetId="9">'Power Roof Vent'!$E$43:$AL$43</definedName>
    <definedName name="tbcEff2" localSheetId="8">Radial!$E$43:$AL$43</definedName>
    <definedName name="tbcEff3" localSheetId="3">'Axial Cyl Housed'!$E$44:$AL$44</definedName>
    <definedName name="tbcEff3" localSheetId="5">'Centrif Housed'!$E$44:$AL$44</definedName>
    <definedName name="tbcEff3" localSheetId="6">'Centrif Unhous'!$E$44:$AL$44</definedName>
    <definedName name="tbcEff3" localSheetId="7">'Inline-Mixed'!$E$44:$AL$44</definedName>
    <definedName name="tbcEff3" localSheetId="4">Panel!$E$44:$AL$44</definedName>
    <definedName name="tbcEff3" localSheetId="9">'Power Roof Vent'!$E$44:$AL$44</definedName>
    <definedName name="tbcEff3" localSheetId="8">Radial!$E$44:$AL$44</definedName>
    <definedName name="tbcEff4" localSheetId="3">'Axial Cyl Housed'!$E$45:$AL$45</definedName>
    <definedName name="tbcEff4" localSheetId="5">'Centrif Housed'!$E$45:$AL$45</definedName>
    <definedName name="tbcEff4" localSheetId="6">'Centrif Unhous'!$E$45:$AL$45</definedName>
    <definedName name="tbcEff4" localSheetId="7">'Inline-Mixed'!$E$45:$AL$45</definedName>
    <definedName name="tbcEff4" localSheetId="4">Panel!$E$45:$AL$45</definedName>
    <definedName name="tbcEff4" localSheetId="9">'Power Roof Vent'!$E$45:$AL$45</definedName>
    <definedName name="tbcEff4" localSheetId="8">Radial!$E$45:$AL$45</definedName>
    <definedName name="tbcEff5" localSheetId="3">'Axial Cyl Housed'!$E$46:$AL$46</definedName>
    <definedName name="tbcEff5" localSheetId="5">'Centrif Housed'!$E$46:$AL$46</definedName>
    <definedName name="tbcEff5" localSheetId="6">'Centrif Unhous'!$E$46:$AL$46</definedName>
    <definedName name="tbcEff5" localSheetId="7">'Inline-Mixed'!$E$46:$AL$46</definedName>
    <definedName name="tbcEff5" localSheetId="4">Panel!$E$46:$AL$46</definedName>
    <definedName name="tbcEff5" localSheetId="9">'Power Roof Vent'!$E$46:$AL$46</definedName>
    <definedName name="tbcEff5" localSheetId="8">Radial!$E$46:$AL$46</definedName>
    <definedName name="tbcEff6" localSheetId="3">'Axial Cyl Housed'!$E$47:$AL$47</definedName>
    <definedName name="tbcEff6" localSheetId="5">'Centrif Housed'!$E$47:$AL$47</definedName>
    <definedName name="tbcEff6" localSheetId="6">'Centrif Unhous'!$E$47:$AL$47</definedName>
    <definedName name="tbcEff6" localSheetId="7">'Inline-Mixed'!$E$47:$AL$47</definedName>
    <definedName name="tbcEff6" localSheetId="4">Panel!$E$47:$AL$47</definedName>
    <definedName name="tbcEff6" localSheetId="9">'Power Roof Vent'!$E$47:$AL$47</definedName>
    <definedName name="tbcEff6" localSheetId="8">Radial!$E$47:$AL$47</definedName>
    <definedName name="tblDiscRate">'[1]Discount Rate'!$M$5:$M$16</definedName>
    <definedName name="tConvElecAxH">'Energy Factors'!$E$7:$CS$7</definedName>
    <definedName name="tConvElecCnH">'Energy Factors'!$E$9:$CS$9</definedName>
    <definedName name="tConvElecCnU">'Energy Factors'!$E$10:$CS$10</definedName>
    <definedName name="tConvElecInMx">'Energy Factors'!$E$11:$CS$11</definedName>
    <definedName name="tConvElecPan">'Energy Factors'!$E$8:$CS$8</definedName>
    <definedName name="tConvElecPRV">'Energy Factors'!$E$13:$CS$13</definedName>
    <definedName name="tConvElecRad">'Energy Factors'!$E$12:$CS$12</definedName>
    <definedName name="tecs" localSheetId="3">'Axial Cyl Housed'!$E$7:$AL$7</definedName>
    <definedName name="tecs" localSheetId="5">'Centrif Housed'!$E$7:$AL$7</definedName>
    <definedName name="tecs" localSheetId="6">'Centrif Unhous'!$E$7:$AL$7</definedName>
    <definedName name="tecs" localSheetId="7">'Inline-Mixed'!$E$7:$AL$7</definedName>
    <definedName name="tecs" localSheetId="4">Panel!$E$7:$AL$7</definedName>
    <definedName name="tecs" localSheetId="9">'Power Roof Vent'!$E$7:$AL$7</definedName>
    <definedName name="tecs" localSheetId="8">Radial!$E$7:$AL$7</definedName>
    <definedName name="tecsU" localSheetId="3">'Axial Cyl Housed'!$E$15:$AL$15</definedName>
    <definedName name="tecsU" localSheetId="5">'Centrif Housed'!$E$15:$AL$15</definedName>
    <definedName name="tecsU" localSheetId="6">'Centrif Unhous'!$E$15:$AL$15</definedName>
    <definedName name="tecsU" localSheetId="7">'Inline-Mixed'!$E$15:$AL$15</definedName>
    <definedName name="tecsU" localSheetId="4">Panel!$E$15:$AL$15</definedName>
    <definedName name="tecsU" localSheetId="9">'Power Roof Vent'!$E$15:$AL$15</definedName>
    <definedName name="tecsU" localSheetId="8">Radial!$E$15:$AL$15</definedName>
    <definedName name="tEIdxElec">'[4]Energy Index'!$D$6:$AJ$6</definedName>
    <definedName name="tiec" localSheetId="3">'Axial Cyl Housed'!$E$6:$AL$6</definedName>
    <definedName name="tiec" localSheetId="5">'Centrif Housed'!$E$6:$AL$6</definedName>
    <definedName name="tiec" localSheetId="6">'Centrif Unhous'!$E$6:$AL$6</definedName>
    <definedName name="tiec" localSheetId="7">'Inline-Mixed'!$E$6:$AL$6</definedName>
    <definedName name="tiec" localSheetId="4">Panel!$E$6:$AL$6</definedName>
    <definedName name="tiec" localSheetId="9">'Power Roof Vent'!$E$6:$AL$6</definedName>
    <definedName name="tiec" localSheetId="8">Radial!$E$6:$AL$6</definedName>
    <definedName name="tiecU" localSheetId="3">'Axial Cyl Housed'!$E$14:$AL$14</definedName>
    <definedName name="tiecU" localSheetId="5">'Centrif Housed'!$E$14:$AL$14</definedName>
    <definedName name="tiecU" localSheetId="6">'Centrif Unhous'!$E$14:$AL$14</definedName>
    <definedName name="tiecU" localSheetId="7">'Inline-Mixed'!$E$14:$AL$14</definedName>
    <definedName name="tiecU" localSheetId="4">Panel!$E$14:$AL$14</definedName>
    <definedName name="tiecU" localSheetId="9">'Power Roof Vent'!$E$14:$AL$14</definedName>
    <definedName name="tiecU" localSheetId="8">Radial!$E$14:$AL$14</definedName>
    <definedName name="tlccEFuElecbc0" localSheetId="3">'Axial Cyl Housed'!$E$108:$AL$108</definedName>
    <definedName name="tlccEFuElecbc0" localSheetId="5">'Centrif Housed'!$E$108:$AL$108</definedName>
    <definedName name="tlccEFuElecbc0" localSheetId="6">'Centrif Unhous'!$E$108:$AL$108</definedName>
    <definedName name="tlccEFuElecbc0" localSheetId="7">'Inline-Mixed'!$E$108:$AL$108</definedName>
    <definedName name="tlccEFuElecbc0" localSheetId="4">Panel!$E$108:$AL$108</definedName>
    <definedName name="tlccEFuElecbc0" localSheetId="9">'Power Roof Vent'!$E$108:$AL$108</definedName>
    <definedName name="tlccEFuElecbc0" localSheetId="8">Radial!$E$108:$AL$108</definedName>
    <definedName name="tlccEFuElecbc1" localSheetId="3">'Axial Cyl Housed'!$E$114:$AL$114</definedName>
    <definedName name="tlccEFuElecbc1" localSheetId="5">'Centrif Housed'!$E$114:$AL$114</definedName>
    <definedName name="tlccEFuElecbc1" localSheetId="6">'Centrif Unhous'!$E$114:$AL$114</definedName>
    <definedName name="tlccEFuElecbc1" localSheetId="7">'Inline-Mixed'!$E$114:$AL$114</definedName>
    <definedName name="tlccEFuElecbc1" localSheetId="4">Panel!$E$114:$AL$114</definedName>
    <definedName name="tlccEFuElecbc1" localSheetId="9">'Power Roof Vent'!$E$114:$AL$114</definedName>
    <definedName name="tlccEFuElecbc1" localSheetId="8">Radial!$E$114:$AL$114</definedName>
    <definedName name="tlccEFuElecbc2" localSheetId="3">'Axial Cyl Housed'!$E$120:$AL$120</definedName>
    <definedName name="tlccEFuElecbc2" localSheetId="5">'Centrif Housed'!$E$120:$AL$120</definedName>
    <definedName name="tlccEFuElecbc2" localSheetId="6">'Centrif Unhous'!$E$120:$AL$120</definedName>
    <definedName name="tlccEFuElecbc2" localSheetId="7">'Inline-Mixed'!$E$120:$AL$120</definedName>
    <definedName name="tlccEFuElecbc2" localSheetId="4">Panel!$E$120:$AL$120</definedName>
    <definedName name="tlccEFuElecbc2" localSheetId="9">'Power Roof Vent'!$E$120:$AL$120</definedName>
    <definedName name="tlccEFuElecbc2" localSheetId="8">Radial!$E$120:$AL$120</definedName>
    <definedName name="tlccEFuElecbc3" localSheetId="3">'Axial Cyl Housed'!$E$126:$AL$126</definedName>
    <definedName name="tlccEFuElecbc3" localSheetId="5">'Centrif Housed'!$E$126:$AL$126</definedName>
    <definedName name="tlccEFuElecbc3" localSheetId="6">'Centrif Unhous'!$E$126:$AL$126</definedName>
    <definedName name="tlccEFuElecbc3" localSheetId="7">'Inline-Mixed'!$E$126:$AL$126</definedName>
    <definedName name="tlccEFuElecbc3" localSheetId="4">Panel!$E$126:$AL$126</definedName>
    <definedName name="tlccEFuElecbc3" localSheetId="9">'Power Roof Vent'!$E$126:$AL$126</definedName>
    <definedName name="tlccEFuElecbc3" localSheetId="8">Radial!$E$126:$AL$126</definedName>
    <definedName name="tlccEFuElecbc4" localSheetId="3">'Axial Cyl Housed'!$E$132:$AL$132</definedName>
    <definedName name="tlccEFuElecbc4" localSheetId="5">'Centrif Housed'!$E$132:$AL$132</definedName>
    <definedName name="tlccEFuElecbc4" localSheetId="6">'Centrif Unhous'!$E$132:$AL$132</definedName>
    <definedName name="tlccEFuElecbc4" localSheetId="7">'Inline-Mixed'!$E$132:$AL$132</definedName>
    <definedName name="tlccEFuElecbc4" localSheetId="4">Panel!$E$132:$AL$132</definedName>
    <definedName name="tlccEFuElecbc4" localSheetId="9">'Power Roof Vent'!$E$132:$AL$132</definedName>
    <definedName name="tlccEFuElecbc4" localSheetId="8">Radial!$E$132:$AL$132</definedName>
    <definedName name="tlccEFuElecbc5" localSheetId="3">'Axial Cyl Housed'!$E$138:$AL$138</definedName>
    <definedName name="tlccEFuElecbc5" localSheetId="5">'Centrif Housed'!$E$138:$AL$138</definedName>
    <definedName name="tlccEFuElecbc5" localSheetId="6">'Centrif Unhous'!$E$138:$AL$138</definedName>
    <definedName name="tlccEFuElecbc5" localSheetId="7">'Inline-Mixed'!$E$138:$AL$138</definedName>
    <definedName name="tlccEFuElecbc5" localSheetId="4">Panel!$E$138:$AL$138</definedName>
    <definedName name="tlccEFuElecbc5" localSheetId="9">'Power Roof Vent'!$E$138:$AL$138</definedName>
    <definedName name="tlccEFuElecbc5" localSheetId="8">Radial!$E$138:$AL$138</definedName>
    <definedName name="tlccEFuElecbc6" localSheetId="3">'Axial Cyl Housed'!$E$144:$AL$144</definedName>
    <definedName name="tlccEFuElecbc6" localSheetId="5">'Centrif Housed'!$E$144:$AL$144</definedName>
    <definedName name="tlccEFuElecbc6" localSheetId="6">'Centrif Unhous'!$E$144:$AL$144</definedName>
    <definedName name="tlccEFuElecbc6" localSheetId="7">'Inline-Mixed'!$E$144:$AL$144</definedName>
    <definedName name="tlccEFuElecbc6" localSheetId="4">Panel!$E$144:$AL$144</definedName>
    <definedName name="tlccEFuElecbc6" localSheetId="9">'Power Roof Vent'!$E$144:$AL$144</definedName>
    <definedName name="tlccEFuElecbc6" localSheetId="8">Radial!$E$144:$AL$144</definedName>
    <definedName name="tlccEFuElecpol0" localSheetId="3">'Axial Cyl Housed'!$E$151:$AL$151</definedName>
    <definedName name="tlccEFuElecpol0" localSheetId="5">'Centrif Housed'!$E$151:$AL$151</definedName>
    <definedName name="tlccEFuElecpol0" localSheetId="6">'Centrif Unhous'!$E$151:$AL$151</definedName>
    <definedName name="tlccEFuElecpol0" localSheetId="7">'Inline-Mixed'!$E$151:$AL$151</definedName>
    <definedName name="tlccEFuElecpol0" localSheetId="4">Panel!$E$151:$AL$151</definedName>
    <definedName name="tlccEFuElecpol0" localSheetId="9">'Power Roof Vent'!$E$151:$AL$151</definedName>
    <definedName name="tlccEFuElecpol0" localSheetId="8">Radial!$E$151:$AL$151</definedName>
    <definedName name="tlccEFuElecpol1" localSheetId="3">'Axial Cyl Housed'!$E$157:$AL$157</definedName>
    <definedName name="tlccEFuElecpol1" localSheetId="5">'Centrif Housed'!$E$157:$AL$157</definedName>
    <definedName name="tlccEFuElecpol1" localSheetId="6">'Centrif Unhous'!$E$157:$AL$157</definedName>
    <definedName name="tlccEFuElecpol1" localSheetId="7">'Inline-Mixed'!$E$157:$AL$157</definedName>
    <definedName name="tlccEFuElecpol1" localSheetId="4">Panel!$E$157:$AL$157</definedName>
    <definedName name="tlccEFuElecpol1" localSheetId="9">'Power Roof Vent'!$E$157:$AL$157</definedName>
    <definedName name="tlccEFuElecpol1" localSheetId="8">Radial!$E$157:$AL$157</definedName>
    <definedName name="tlccEFuElecpol2" localSheetId="3">'Axial Cyl Housed'!$E$163:$AL$163</definedName>
    <definedName name="tlccEFuElecpol2" localSheetId="5">'Centrif Housed'!$E$163:$AL$163</definedName>
    <definedName name="tlccEFuElecpol2" localSheetId="6">'Centrif Unhous'!$E$163:$AL$163</definedName>
    <definedName name="tlccEFuElecpol2" localSheetId="7">'Inline-Mixed'!$E$163:$AL$163</definedName>
    <definedName name="tlccEFuElecpol2" localSheetId="4">Panel!$E$163:$AL$163</definedName>
    <definedName name="tlccEFuElecpol2" localSheetId="9">'Power Roof Vent'!$E$163:$AL$163</definedName>
    <definedName name="tlccEFuElecpol2" localSheetId="8">Radial!$E$163:$AL$163</definedName>
    <definedName name="tlccEFuElecpol3" localSheetId="3">'Axial Cyl Housed'!$E$169:$AL$169</definedName>
    <definedName name="tlccEFuElecpol3" localSheetId="5">'Centrif Housed'!$E$169:$AL$169</definedName>
    <definedName name="tlccEFuElecpol3" localSheetId="6">'Centrif Unhous'!$E$169:$AL$169</definedName>
    <definedName name="tlccEFuElecpol3" localSheetId="7">'Inline-Mixed'!$E$169:$AL$169</definedName>
    <definedName name="tlccEFuElecpol3" localSheetId="4">Panel!$E$169:$AL$169</definedName>
    <definedName name="tlccEFuElecpol3" localSheetId="9">'Power Roof Vent'!$E$169:$AL$169</definedName>
    <definedName name="tlccEFuElecpol3" localSheetId="8">Radial!$E$169:$AL$169</definedName>
    <definedName name="tlccEFuElecpol4" localSheetId="3">'Axial Cyl Housed'!$E$175:$AL$175</definedName>
    <definedName name="tlccEFuElecpol4" localSheetId="5">'Centrif Housed'!$E$175:$AL$175</definedName>
    <definedName name="tlccEFuElecpol4" localSheetId="6">'Centrif Unhous'!$E$175:$AL$175</definedName>
    <definedName name="tlccEFuElecpol4" localSheetId="7">'Inline-Mixed'!$E$175:$AL$175</definedName>
    <definedName name="tlccEFuElecpol4" localSheetId="4">Panel!$E$175:$AL$175</definedName>
    <definedName name="tlccEFuElecpol4" localSheetId="9">'Power Roof Vent'!$E$175:$AL$175</definedName>
    <definedName name="tlccEFuElecpol4" localSheetId="8">Radial!$E$175:$AL$175</definedName>
    <definedName name="tlccEFuElecpol5" localSheetId="3">'Axial Cyl Housed'!$E$181:$AL$181</definedName>
    <definedName name="tlccEFuElecpol5" localSheetId="5">'Centrif Housed'!$E$181:$AL$181</definedName>
    <definedName name="tlccEFuElecpol5" localSheetId="6">'Centrif Unhous'!$E$181:$AL$181</definedName>
    <definedName name="tlccEFuElecpol5" localSheetId="7">'Inline-Mixed'!$E$181:$AL$181</definedName>
    <definedName name="tlccEFuElecpol5" localSheetId="4">Panel!$E$181:$AL$181</definedName>
    <definedName name="tlccEFuElecpol5" localSheetId="9">'Power Roof Vent'!$E$181:$AL$181</definedName>
    <definedName name="tlccEFuElecpol5" localSheetId="8">Radial!$E$181:$AL$181</definedName>
    <definedName name="tlccEFuElecpol6" localSheetId="3">'Axial Cyl Housed'!$E$187:$AL$187</definedName>
    <definedName name="tlccEFuElecpol6" localSheetId="5">'Centrif Housed'!$E$187:$AL$187</definedName>
    <definedName name="tlccEFuElecpol6" localSheetId="6">'Centrif Unhous'!$E$187:$AL$187</definedName>
    <definedName name="tlccEFuElecpol6" localSheetId="7">'Inline-Mixed'!$E$187:$AL$187</definedName>
    <definedName name="tlccEFuElecpol6" localSheetId="4">Panel!$E$187:$AL$187</definedName>
    <definedName name="tlccEFuElecpol6" localSheetId="9">'Power Roof Vent'!$E$187:$AL$187</definedName>
    <definedName name="tlccEFuElecpol6" localSheetId="8">Radial!$E$187:$AL$187</definedName>
    <definedName name="tlccEmBC" localSheetId="3">'Axial Cyl Housed'!$E$22:$AL$22</definedName>
    <definedName name="tlccEmBC" localSheetId="5">'Centrif Housed'!$E$22:$AL$22</definedName>
    <definedName name="tlccEmBC" localSheetId="6">'Centrif Unhous'!$E$22:$AL$22</definedName>
    <definedName name="tlccEmBC" localSheetId="7">'Inline-Mixed'!$E$22:$AL$22</definedName>
    <definedName name="tlccEmBC" localSheetId="4">Panel!$E$22:$AL$22</definedName>
    <definedName name="tlccEmBC" localSheetId="9">'Power Roof Vent'!$E$22:$AL$22</definedName>
    <definedName name="tlccEmBC" localSheetId="8">Radial!$E$22:$AL$22</definedName>
    <definedName name="tlccEmPol" localSheetId="3">'Axial Cyl Housed'!$E$27:$AL$27</definedName>
    <definedName name="tlccEmPol" localSheetId="5">'Centrif Housed'!$E$27:$AL$27</definedName>
    <definedName name="tlccEmPol" localSheetId="6">'Centrif Unhous'!$E$27:$AL$27</definedName>
    <definedName name="tlccEmPol" localSheetId="7">'Inline-Mixed'!$E$27:$AL$27</definedName>
    <definedName name="tlccEmPol" localSheetId="4">Panel!$E$27:$AL$27</definedName>
    <definedName name="tlccEmPol" localSheetId="9">'Power Roof Vent'!$E$27:$AL$27</definedName>
    <definedName name="tlccEmPol" localSheetId="8">Radial!$E$27:$AL$27</definedName>
    <definedName name="tlccEubc" localSheetId="3">'Axial Cyl Housed'!$E$59:$AL$65</definedName>
    <definedName name="tlccEubc" localSheetId="5">'Centrif Housed'!$E$59:$AL$65</definedName>
    <definedName name="tlccEubc" localSheetId="6">'Centrif Unhous'!$E$59:$AL$65</definedName>
    <definedName name="tlccEubc" localSheetId="7">'Inline-Mixed'!$E$59:$AL$65</definedName>
    <definedName name="tlccEubc" localSheetId="4">Panel!$E$59:$AL$65</definedName>
    <definedName name="tlccEubc" localSheetId="9">'Power Roof Vent'!$E$59:$AL$65</definedName>
    <definedName name="tlccEubc" localSheetId="8">Radial!$E$59:$AL$65</definedName>
    <definedName name="tlccEubc0" localSheetId="3">'Axial Cyl Housed'!$E$107:$AL$107</definedName>
    <definedName name="tlccEubc0" localSheetId="5">'Centrif Housed'!$E$107:$AL$107</definedName>
    <definedName name="tlccEubc0" localSheetId="6">'Centrif Unhous'!$E$107:$AL$107</definedName>
    <definedName name="tlccEubc0" localSheetId="7">'Inline-Mixed'!$E$107:$AL$107</definedName>
    <definedName name="tlccEubc0" localSheetId="4">Panel!$E$107:$AL$107</definedName>
    <definedName name="tlccEubc0" localSheetId="9">'Power Roof Vent'!$E$107:$AL$107</definedName>
    <definedName name="tlccEubc0" localSheetId="8">Radial!$E$107:$AL$107</definedName>
    <definedName name="tlccEubc1" localSheetId="3">'Axial Cyl Housed'!$E$113:$AL$113</definedName>
    <definedName name="tlccEubc1" localSheetId="5">'Centrif Housed'!$E$113:$AL$113</definedName>
    <definedName name="tlccEubc1" localSheetId="6">'Centrif Unhous'!$E$113:$AL$113</definedName>
    <definedName name="tlccEubc1" localSheetId="7">'Inline-Mixed'!$E$113:$AL$113</definedName>
    <definedName name="tlccEubc1" localSheetId="4">Panel!$E$113:$AL$113</definedName>
    <definedName name="tlccEubc1" localSheetId="9">'Power Roof Vent'!$E$113:$AL$113</definedName>
    <definedName name="tlccEubc1" localSheetId="8">Radial!$E$113:$AL$113</definedName>
    <definedName name="tlccEubc2" localSheetId="3">'Axial Cyl Housed'!$E$119:$AL$119</definedName>
    <definedName name="tlccEubc2" localSheetId="5">'Centrif Housed'!$E$119:$AL$119</definedName>
    <definedName name="tlccEubc2" localSheetId="6">'Centrif Unhous'!$E$119:$AL$119</definedName>
    <definedName name="tlccEubc2" localSheetId="7">'Inline-Mixed'!$E$119:$AL$119</definedName>
    <definedName name="tlccEubc2" localSheetId="4">Panel!$E$119:$AL$119</definedName>
    <definedName name="tlccEubc2" localSheetId="9">'Power Roof Vent'!$E$119:$AL$119</definedName>
    <definedName name="tlccEubc2" localSheetId="8">Radial!$E$119:$AL$119</definedName>
    <definedName name="tlccEubc3" localSheetId="3">'Axial Cyl Housed'!$E$125:$AL$125</definedName>
    <definedName name="tlccEubc3" localSheetId="5">'Centrif Housed'!$E$125:$AL$125</definedName>
    <definedName name="tlccEubc3" localSheetId="6">'Centrif Unhous'!$E$125:$AL$125</definedName>
    <definedName name="tlccEubc3" localSheetId="7">'Inline-Mixed'!$E$125:$AL$125</definedName>
    <definedName name="tlccEubc3" localSheetId="4">Panel!$E$125:$AL$125</definedName>
    <definedName name="tlccEubc3" localSheetId="9">'Power Roof Vent'!$E$125:$AL$125</definedName>
    <definedName name="tlccEubc3" localSheetId="8">Radial!$E$125:$AL$125</definedName>
    <definedName name="tlccEubc4" localSheetId="3">'Axial Cyl Housed'!$E$131:$AL$131</definedName>
    <definedName name="tlccEubc4" localSheetId="5">'Centrif Housed'!$E$131:$AL$131</definedName>
    <definedName name="tlccEubc4" localSheetId="6">'Centrif Unhous'!$E$131:$AL$131</definedName>
    <definedName name="tlccEubc4" localSheetId="7">'Inline-Mixed'!$E$131:$AL$131</definedName>
    <definedName name="tlccEubc4" localSheetId="4">Panel!$E$131:$AL$131</definedName>
    <definedName name="tlccEubc4" localSheetId="9">'Power Roof Vent'!$E$131:$AL$131</definedName>
    <definedName name="tlccEubc4" localSheetId="8">Radial!$E$131:$AL$131</definedName>
    <definedName name="tlccEubc5" localSheetId="3">'Axial Cyl Housed'!$E$137:$AL$137</definedName>
    <definedName name="tlccEubc5" localSheetId="5">'Centrif Housed'!$E$137:$AL$137</definedName>
    <definedName name="tlccEubc5" localSheetId="6">'Centrif Unhous'!$E$137:$AL$137</definedName>
    <definedName name="tlccEubc5" localSheetId="7">'Inline-Mixed'!$E$137:$AL$137</definedName>
    <definedName name="tlccEubc5" localSheetId="4">Panel!$E$137:$AL$137</definedName>
    <definedName name="tlccEubc5" localSheetId="9">'Power Roof Vent'!$E$137:$AL$137</definedName>
    <definedName name="tlccEubc5" localSheetId="8">Radial!$E$137:$AL$137</definedName>
    <definedName name="tlccEubc6" localSheetId="3">'Axial Cyl Housed'!$E$143:$AL$143</definedName>
    <definedName name="tlccEubc6" localSheetId="5">'Centrif Housed'!$E$143:$AL$143</definedName>
    <definedName name="tlccEubc6" localSheetId="6">'Centrif Unhous'!$E$143:$AL$143</definedName>
    <definedName name="tlccEubc6" localSheetId="7">'Inline-Mixed'!$E$143:$AL$143</definedName>
    <definedName name="tlccEubc6" localSheetId="4">Panel!$E$143:$AL$143</definedName>
    <definedName name="tlccEubc6" localSheetId="9">'Power Roof Vent'!$E$143:$AL$143</definedName>
    <definedName name="tlccEubc6" localSheetId="8">Radial!$E$143:$AL$143</definedName>
    <definedName name="tlccEupol" localSheetId="3">'Axial Cyl Housed'!$E$86:$AL$92</definedName>
    <definedName name="tlccEupol" localSheetId="5">'Centrif Housed'!$E$86:$AL$92</definedName>
    <definedName name="tlccEupol" localSheetId="6">'Centrif Unhous'!$E$86:$AL$92</definedName>
    <definedName name="tlccEupol" localSheetId="7">'Inline-Mixed'!$E$86:$AL$92</definedName>
    <definedName name="tlccEupol" localSheetId="4">Panel!$E$86:$AL$92</definedName>
    <definedName name="tlccEupol" localSheetId="9">'Power Roof Vent'!$E$86:$AL$92</definedName>
    <definedName name="tlccEupol" localSheetId="8">Radial!$E$86:$AL$92</definedName>
    <definedName name="tlccEupol0" localSheetId="3">'Axial Cyl Housed'!$E$150:$AL$150</definedName>
    <definedName name="tlccEupol0" localSheetId="5">'Centrif Housed'!$E$150:$AL$150</definedName>
    <definedName name="tlccEupol0" localSheetId="6">'Centrif Unhous'!$E$150:$AL$150</definedName>
    <definedName name="tlccEupol0" localSheetId="7">'Inline-Mixed'!$E$150:$AL$150</definedName>
    <definedName name="tlccEupol0" localSheetId="4">Panel!$E$150:$AL$150</definedName>
    <definedName name="tlccEupol0" localSheetId="9">'Power Roof Vent'!$E$150:$AL$150</definedName>
    <definedName name="tlccEupol0" localSheetId="8">Radial!$E$150:$AL$150</definedName>
    <definedName name="tlccEupol1" localSheetId="3">'Axial Cyl Housed'!$E$156:$AL$156</definedName>
    <definedName name="tlccEupol1" localSheetId="5">'Centrif Housed'!$E$156:$AL$156</definedName>
    <definedName name="tlccEupol1" localSheetId="6">'Centrif Unhous'!$E$156:$AL$156</definedName>
    <definedName name="tlccEupol1" localSheetId="7">'Inline-Mixed'!$E$156:$AL$156</definedName>
    <definedName name="tlccEupol1" localSheetId="4">Panel!$E$156:$AL$156</definedName>
    <definedName name="tlccEupol1" localSheetId="9">'Power Roof Vent'!$E$156:$AL$156</definedName>
    <definedName name="tlccEupol1" localSheetId="8">Radial!$E$156:$AL$156</definedName>
    <definedName name="tlccEupol2" localSheetId="3">'Axial Cyl Housed'!$E$162:$AL$162</definedName>
    <definedName name="tlccEupol2" localSheetId="5">'Centrif Housed'!$E$162:$AL$162</definedName>
    <definedName name="tlccEupol2" localSheetId="6">'Centrif Unhous'!$E$162:$AL$162</definedName>
    <definedName name="tlccEupol2" localSheetId="7">'Inline-Mixed'!$E$162:$AL$162</definedName>
    <definedName name="tlccEupol2" localSheetId="4">Panel!$E$162:$AL$162</definedName>
    <definedName name="tlccEupol2" localSheetId="9">'Power Roof Vent'!$E$162:$AL$162</definedName>
    <definedName name="tlccEupol2" localSheetId="8">Radial!$E$162:$AL$162</definedName>
    <definedName name="tlccEupol3" localSheetId="3">'Axial Cyl Housed'!$E$168:$AL$168</definedName>
    <definedName name="tlccEupol3" localSheetId="5">'Centrif Housed'!$E$168:$AL$168</definedName>
    <definedName name="tlccEupol3" localSheetId="6">'Centrif Unhous'!$E$168:$AL$168</definedName>
    <definedName name="tlccEupol3" localSheetId="7">'Inline-Mixed'!$E$168:$AL$168</definedName>
    <definedName name="tlccEupol3" localSheetId="4">Panel!$E$168:$AL$168</definedName>
    <definedName name="tlccEupol3" localSheetId="9">'Power Roof Vent'!$E$168:$AL$168</definedName>
    <definedName name="tlccEupol3" localSheetId="8">Radial!$E$168:$AL$168</definedName>
    <definedName name="tlccEupol4" localSheetId="3">'Axial Cyl Housed'!$E$174:$AL$174</definedName>
    <definedName name="tlccEupol4" localSheetId="5">'Centrif Housed'!$E$174:$AL$174</definedName>
    <definedName name="tlccEupol4" localSheetId="6">'Centrif Unhous'!$E$174:$AL$174</definedName>
    <definedName name="tlccEupol4" localSheetId="7">'Inline-Mixed'!$E$174:$AL$174</definedName>
    <definedName name="tlccEupol4" localSheetId="4">Panel!$E$174:$AL$174</definedName>
    <definedName name="tlccEupol4" localSheetId="9">'Power Roof Vent'!$E$174:$AL$174</definedName>
    <definedName name="tlccEupol4" localSheetId="8">Radial!$E$174:$AL$174</definedName>
    <definedName name="tlccEupol5" localSheetId="3">'Axial Cyl Housed'!$E$180:$AL$180</definedName>
    <definedName name="tlccEupol5" localSheetId="5">'Centrif Housed'!$E$180:$AL$180</definedName>
    <definedName name="tlccEupol5" localSheetId="6">'Centrif Unhous'!$E$180:$AL$180</definedName>
    <definedName name="tlccEupol5" localSheetId="7">'Inline-Mixed'!$E$180:$AL$180</definedName>
    <definedName name="tlccEupol5" localSheetId="4">Panel!$E$180:$AL$180</definedName>
    <definedName name="tlccEupol5" localSheetId="9">'Power Roof Vent'!$E$180:$AL$180</definedName>
    <definedName name="tlccEupol5" localSheetId="8">Radial!$E$180:$AL$180</definedName>
    <definedName name="tlccEupol6" localSheetId="3">'Axial Cyl Housed'!$E$186:$AL$186</definedName>
    <definedName name="tlccEupol6" localSheetId="5">'Centrif Housed'!$E$186:$AL$186</definedName>
    <definedName name="tlccEupol6" localSheetId="6">'Centrif Unhous'!$E$186:$AL$186</definedName>
    <definedName name="tlccEupol6" localSheetId="7">'Inline-Mixed'!$E$186:$AL$186</definedName>
    <definedName name="tlccEupol6" localSheetId="4">Panel!$E$186:$AL$186</definedName>
    <definedName name="tlccEupol6" localSheetId="9">'Power Roof Vent'!$E$186:$AL$186</definedName>
    <definedName name="tlccEupol6" localSheetId="8">Radial!$E$186:$AL$186</definedName>
    <definedName name="tlccFmElecBC" localSheetId="3">'Axial Cyl Housed'!$E$24:$AL$24</definedName>
    <definedName name="tlccFmElecBC" localSheetId="5">'Centrif Housed'!$E$24:$AL$24</definedName>
    <definedName name="tlccFmElecBC" localSheetId="6">'Centrif Unhous'!$E$24:$AL$24</definedName>
    <definedName name="tlccFmElecBC" localSheetId="7">'Inline-Mixed'!$E$24:$AL$24</definedName>
    <definedName name="tlccFmElecBC" localSheetId="4">Panel!$E$24:$AL$24</definedName>
    <definedName name="tlccFmElecBC" localSheetId="9">'Power Roof Vent'!$E$24:$AL$24</definedName>
    <definedName name="tlccFmElecBC" localSheetId="8">Radial!$E$24:$AL$24</definedName>
    <definedName name="tlccFmElecPol" localSheetId="3">'Axial Cyl Housed'!$E$29:$AL$29</definedName>
    <definedName name="tlccFmElecPol" localSheetId="5">'Centrif Housed'!$E$29:$AL$29</definedName>
    <definedName name="tlccFmElecPol" localSheetId="6">'Centrif Unhous'!$E$29:$AL$29</definedName>
    <definedName name="tlccFmElecPol" localSheetId="7">'Inline-Mixed'!$E$29:$AL$29</definedName>
    <definedName name="tlccFmElecPol" localSheetId="4">Panel!$E$29:$AL$29</definedName>
    <definedName name="tlccFmElecPol" localSheetId="9">'Power Roof Vent'!$E$29:$AL$29</definedName>
    <definedName name="tlccFmElecPol" localSheetId="8">Radial!$E$29:$AL$29</definedName>
    <definedName name="tlccFubcElec" localSheetId="3">'Axial Cyl Housed'!$E$68:$AL$74</definedName>
    <definedName name="tlccFubcElec" localSheetId="5">'Centrif Housed'!$E$68:$AL$74</definedName>
    <definedName name="tlccFubcElec" localSheetId="6">'Centrif Unhous'!$E$68:$AL$74</definedName>
    <definedName name="tlccFubcElec" localSheetId="7">'Inline-Mixed'!$E$68:$AL$74</definedName>
    <definedName name="tlccFubcElec" localSheetId="4">Panel!$E$68:$AL$74</definedName>
    <definedName name="tlccFubcElec" localSheetId="9">'Power Roof Vent'!$E$68:$AL$74</definedName>
    <definedName name="tlccFubcElec" localSheetId="8">Radial!$E$68:$AL$74</definedName>
    <definedName name="tlccFubcElec0" localSheetId="3">'Axial Cyl Housed'!$E$110:$AL$110</definedName>
    <definedName name="tlccFubcElec0" localSheetId="5">'Centrif Housed'!$E$110:$AL$110</definedName>
    <definedName name="tlccFubcElec0" localSheetId="6">'Centrif Unhous'!$E$110:$AL$110</definedName>
    <definedName name="tlccFubcElec0" localSheetId="7">'Inline-Mixed'!$E$110:$AL$110</definedName>
    <definedName name="tlccFubcElec0" localSheetId="4">Panel!$E$110:$AL$110</definedName>
    <definedName name="tlccFubcElec0" localSheetId="9">'Power Roof Vent'!$E$110:$AL$110</definedName>
    <definedName name="tlccFubcElec0" localSheetId="8">Radial!$E$110:$AL$110</definedName>
    <definedName name="tlccFubcElec1" localSheetId="3">'Axial Cyl Housed'!$E$116:$AL$116</definedName>
    <definedName name="tlccFubcElec1" localSheetId="5">'Centrif Housed'!$E$116:$AL$116</definedName>
    <definedName name="tlccFubcElec1" localSheetId="6">'Centrif Unhous'!$E$116:$AL$116</definedName>
    <definedName name="tlccFubcElec1" localSheetId="7">'Inline-Mixed'!$E$116:$AL$116</definedName>
    <definedName name="tlccFubcElec1" localSheetId="4">Panel!$E$116:$AL$116</definedName>
    <definedName name="tlccFubcElec1" localSheetId="9">'Power Roof Vent'!$E$116:$AL$116</definedName>
    <definedName name="tlccFubcElec1" localSheetId="8">Radial!$E$116:$AL$116</definedName>
    <definedName name="tlccFubcElec2" localSheetId="3">'Axial Cyl Housed'!$E$122:$AL$122</definedName>
    <definedName name="tlccFubcElec2" localSheetId="5">'Centrif Housed'!$E$122:$AL$122</definedName>
    <definedName name="tlccFubcElec2" localSheetId="6">'Centrif Unhous'!$E$122:$AL$122</definedName>
    <definedName name="tlccFubcElec2" localSheetId="7">'Inline-Mixed'!$E$122:$AL$122</definedName>
    <definedName name="tlccFubcElec2" localSheetId="4">Panel!$E$122:$AL$122</definedName>
    <definedName name="tlccFubcElec2" localSheetId="9">'Power Roof Vent'!$E$122:$AL$122</definedName>
    <definedName name="tlccFubcElec2" localSheetId="8">Radial!$E$122:$AL$122</definedName>
    <definedName name="tlccFubcElec3" localSheetId="3">'Axial Cyl Housed'!$E$128:$AL$128</definedName>
    <definedName name="tlccFubcElec3" localSheetId="5">'Centrif Housed'!$E$128:$AL$128</definedName>
    <definedName name="tlccFubcElec3" localSheetId="6">'Centrif Unhous'!$E$128:$AL$128</definedName>
    <definedName name="tlccFubcElec3" localSheetId="7">'Inline-Mixed'!$E$128:$AL$128</definedName>
    <definedName name="tlccFubcElec3" localSheetId="4">Panel!$E$128:$AL$128</definedName>
    <definedName name="tlccFubcElec3" localSheetId="9">'Power Roof Vent'!$E$128:$AL$128</definedName>
    <definedName name="tlccFubcElec3" localSheetId="8">Radial!$E$128:$AL$128</definedName>
    <definedName name="tlccFubcElec4" localSheetId="3">'Axial Cyl Housed'!$E$134:$AL$134</definedName>
    <definedName name="tlccFubcElec4" localSheetId="5">'Centrif Housed'!$E$134:$AL$134</definedName>
    <definedName name="tlccFubcElec4" localSheetId="6">'Centrif Unhous'!$E$134:$AL$134</definedName>
    <definedName name="tlccFubcElec4" localSheetId="7">'Inline-Mixed'!$E$134:$AL$134</definedName>
    <definedName name="tlccFubcElec4" localSheetId="4">Panel!$E$134:$AL$134</definedName>
    <definedName name="tlccFubcElec4" localSheetId="9">'Power Roof Vent'!$E$134:$AL$134</definedName>
    <definedName name="tlccFubcElec4" localSheetId="8">Radial!$E$134:$AL$134</definedName>
    <definedName name="tlccFubcElec5" localSheetId="3">'Axial Cyl Housed'!$E$140:$AL$140</definedName>
    <definedName name="tlccFubcElec5" localSheetId="5">'Centrif Housed'!$E$140:$AL$140</definedName>
    <definedName name="tlccFubcElec5" localSheetId="6">'Centrif Unhous'!$E$140:$AL$140</definedName>
    <definedName name="tlccFubcElec5" localSheetId="7">'Inline-Mixed'!$E$140:$AL$140</definedName>
    <definedName name="tlccFubcElec5" localSheetId="4">Panel!$E$140:$AL$140</definedName>
    <definedName name="tlccFubcElec5" localSheetId="9">'Power Roof Vent'!$E$140:$AL$140</definedName>
    <definedName name="tlccFubcElec5" localSheetId="8">Radial!$E$140:$AL$140</definedName>
    <definedName name="tlccFubcElec6" localSheetId="3">'Axial Cyl Housed'!$E$146:$AL$146</definedName>
    <definedName name="tlccFubcElec6" localSheetId="5">'Centrif Housed'!$E$146:$AL$146</definedName>
    <definedName name="tlccFubcElec6" localSheetId="6">'Centrif Unhous'!$E$146:$AL$146</definedName>
    <definedName name="tlccFubcElec6" localSheetId="7">'Inline-Mixed'!$E$146:$AL$146</definedName>
    <definedName name="tlccFubcElec6" localSheetId="4">Panel!$E$146:$AL$146</definedName>
    <definedName name="tlccFubcElec6" localSheetId="9">'Power Roof Vent'!$E$146:$AL$146</definedName>
    <definedName name="tlccFubcElec6" localSheetId="8">Radial!$E$146:$AL$146</definedName>
    <definedName name="tlccFupolElec" localSheetId="3">'Axial Cyl Housed'!$E$95:$AL$101</definedName>
    <definedName name="tlccFupolElec" localSheetId="5">'Centrif Housed'!$E$95:$AL$101</definedName>
    <definedName name="tlccFupolElec" localSheetId="6">'Centrif Unhous'!$E$95:$AL$101</definedName>
    <definedName name="tlccFupolElec" localSheetId="7">'Inline-Mixed'!$E$95:$AL$101</definedName>
    <definedName name="tlccFupolElec" localSheetId="4">Panel!$E$95:$AL$101</definedName>
    <definedName name="tlccFupolElec" localSheetId="9">'Power Roof Vent'!$E$95:$AL$101</definedName>
    <definedName name="tlccFupolElec" localSheetId="8">Radial!$E$95:$AL$101</definedName>
    <definedName name="tlccFupolElec0" localSheetId="3">'Axial Cyl Housed'!$E$153:$AL$153</definedName>
    <definedName name="tlccFupolElec0" localSheetId="5">'Centrif Housed'!$E$153:$AL$153</definedName>
    <definedName name="tlccFupolElec0" localSheetId="6">'Centrif Unhous'!$E$153:$AL$153</definedName>
    <definedName name="tlccFupolElec0" localSheetId="7">'Inline-Mixed'!$E$153:$AL$153</definedName>
    <definedName name="tlccFupolElec0" localSheetId="4">Panel!$E$153:$AL$153</definedName>
    <definedName name="tlccFupolElec0" localSheetId="9">'Power Roof Vent'!$E$153:$AL$153</definedName>
    <definedName name="tlccFupolElec0" localSheetId="8">Radial!$E$153:$AL$153</definedName>
    <definedName name="tlccFupolElec1" localSheetId="3">'Axial Cyl Housed'!$E$159:$AL$159</definedName>
    <definedName name="tlccFupolElec1" localSheetId="5">'Centrif Housed'!$E$159:$AL$159</definedName>
    <definedName name="tlccFupolElec1" localSheetId="6">'Centrif Unhous'!$E$159:$AL$159</definedName>
    <definedName name="tlccFupolElec1" localSheetId="7">'Inline-Mixed'!$E$159:$AL$159</definedName>
    <definedName name="tlccFupolElec1" localSheetId="4">Panel!$E$159:$AL$159</definedName>
    <definedName name="tlccFupolElec1" localSheetId="9">'Power Roof Vent'!$E$159:$AL$159</definedName>
    <definedName name="tlccFupolElec1" localSheetId="8">Radial!$E$159:$AL$159</definedName>
    <definedName name="tlccFupolElec2" localSheetId="3">'Axial Cyl Housed'!$E$165:$AL$165</definedName>
    <definedName name="tlccFupolElec2" localSheetId="5">'Centrif Housed'!$E$165:$AL$165</definedName>
    <definedName name="tlccFupolElec2" localSheetId="6">'Centrif Unhous'!$E$165:$AL$165</definedName>
    <definedName name="tlccFupolElec2" localSheetId="7">'Inline-Mixed'!$E$165:$AL$165</definedName>
    <definedName name="tlccFupolElec2" localSheetId="4">Panel!$E$165:$AL$165</definedName>
    <definedName name="tlccFupolElec2" localSheetId="9">'Power Roof Vent'!$E$165:$AL$165</definedName>
    <definedName name="tlccFupolElec2" localSheetId="8">Radial!$E$165:$AL$165</definedName>
    <definedName name="tlccFupolElec3" localSheetId="3">'Axial Cyl Housed'!$E$171:$AL$171</definedName>
    <definedName name="tlccFupolElec3" localSheetId="5">'Centrif Housed'!$E$171:$AL$171</definedName>
    <definedName name="tlccFupolElec3" localSheetId="6">'Centrif Unhous'!$E$171:$AL$171</definedName>
    <definedName name="tlccFupolElec3" localSheetId="7">'Inline-Mixed'!$E$171:$AL$171</definedName>
    <definedName name="tlccFupolElec3" localSheetId="4">Panel!$E$171:$AL$171</definedName>
    <definedName name="tlccFupolElec3" localSheetId="9">'Power Roof Vent'!$E$171:$AL$171</definedName>
    <definedName name="tlccFupolElec3" localSheetId="8">Radial!$E$171:$AL$171</definedName>
    <definedName name="tlccFupolElec4" localSheetId="3">'Axial Cyl Housed'!$E$177:$AL$177</definedName>
    <definedName name="tlccFupolElec4" localSheetId="5">'Centrif Housed'!$E$177:$AL$177</definedName>
    <definedName name="tlccFupolElec4" localSheetId="6">'Centrif Unhous'!$E$177:$AL$177</definedName>
    <definedName name="tlccFupolElec4" localSheetId="7">'Inline-Mixed'!$E$177:$AL$177</definedName>
    <definedName name="tlccFupolElec4" localSheetId="4">Panel!$E$177:$AL$177</definedName>
    <definedName name="tlccFupolElec4" localSheetId="9">'Power Roof Vent'!$E$177:$AL$177</definedName>
    <definedName name="tlccFupolElec4" localSheetId="8">Radial!$E$177:$AL$177</definedName>
    <definedName name="tlccFupolElec5" localSheetId="3">'Axial Cyl Housed'!$E$183:$AL$183</definedName>
    <definedName name="tlccFupolElec5" localSheetId="5">'Centrif Housed'!$E$183:$AL$183</definedName>
    <definedName name="tlccFupolElec5" localSheetId="6">'Centrif Unhous'!$E$183:$AL$183</definedName>
    <definedName name="tlccFupolElec5" localSheetId="7">'Inline-Mixed'!$E$183:$AL$183</definedName>
    <definedName name="tlccFupolElec5" localSheetId="4">Panel!$E$183:$AL$183</definedName>
    <definedName name="tlccFupolElec5" localSheetId="9">'Power Roof Vent'!$E$183:$AL$183</definedName>
    <definedName name="tlccFupolElec5" localSheetId="8">Radial!$E$183:$AL$183</definedName>
    <definedName name="tlccFupolElec6" localSheetId="3">'Axial Cyl Housed'!$E$189:$AL$189</definedName>
    <definedName name="tlccFupolElec6" localSheetId="5">'Centrif Housed'!$E$189:$AL$189</definedName>
    <definedName name="tlccFupolElec6" localSheetId="6">'Centrif Unhous'!$E$189:$AL$189</definedName>
    <definedName name="tlccFupolElec6" localSheetId="7">'Inline-Mixed'!$E$189:$AL$189</definedName>
    <definedName name="tlccFupolElec6" localSheetId="4">Panel!$E$189:$AL$189</definedName>
    <definedName name="tlccFupolElec6" localSheetId="9">'Power Roof Vent'!$E$189:$AL$189</definedName>
    <definedName name="tlccFupolElec6" localSheetId="8">Radial!$E$189:$AL$189</definedName>
    <definedName name="tlccQmBC" localSheetId="3">'Axial Cyl Housed'!$E$21:$AL$21</definedName>
    <definedName name="tlccQmBC" localSheetId="5">'Centrif Housed'!$E$21:$AL$21</definedName>
    <definedName name="tlccQmBC" localSheetId="6">'Centrif Unhous'!$E$21:$AL$21</definedName>
    <definedName name="tlccQmBC" localSheetId="7">'Inline-Mixed'!$E$21:$AL$21</definedName>
    <definedName name="tlccQmBC" localSheetId="4">Panel!$E$21:$AL$21</definedName>
    <definedName name="tlccQmBC" localSheetId="9">'Power Roof Vent'!$E$21:$AL$21</definedName>
    <definedName name="tlccQmBC" localSheetId="8">Radial!$E$21:$AL$21</definedName>
    <definedName name="tlccQmPol" localSheetId="3">'Axial Cyl Housed'!$E$26:$AL$26</definedName>
    <definedName name="tlccQmPol" localSheetId="5">'Centrif Housed'!$E$26:$AL$26</definedName>
    <definedName name="tlccQmPol" localSheetId="6">'Centrif Unhous'!$E$26:$AL$26</definedName>
    <definedName name="tlccQmPol" localSheetId="7">'Inline-Mixed'!$E$26:$AL$26</definedName>
    <definedName name="tlccQmPol" localSheetId="4">Panel!$E$26:$AL$26</definedName>
    <definedName name="tlccQmPol" localSheetId="9">'Power Roof Vent'!$E$26:$AL$26</definedName>
    <definedName name="tlccQmPol" localSheetId="8">Radial!$E$26:$AL$26</definedName>
    <definedName name="tlccQubc" localSheetId="3">'Axial Cyl Housed'!$E$50:$AL$56</definedName>
    <definedName name="tlccQubc" localSheetId="5">'Centrif Housed'!$E$50:$AL$56</definedName>
    <definedName name="tlccQubc" localSheetId="6">'Centrif Unhous'!$E$50:$AL$56</definedName>
    <definedName name="tlccQubc" localSheetId="7">'Inline-Mixed'!$E$50:$AL$56</definedName>
    <definedName name="tlccQubc" localSheetId="4">Panel!$E$50:$AL$56</definedName>
    <definedName name="tlccQubc" localSheetId="9">'Power Roof Vent'!$E$50:$AL$56</definedName>
    <definedName name="tlccQubc" localSheetId="8">Radial!$E$50:$AL$56</definedName>
    <definedName name="tlccQubc0" localSheetId="3">'Axial Cyl Housed'!$E$106:$AL$106</definedName>
    <definedName name="tlccQubc0" localSheetId="5">'Centrif Housed'!$E$106:$AL$106</definedName>
    <definedName name="tlccQubc0" localSheetId="6">'Centrif Unhous'!$E$106:$AL$106</definedName>
    <definedName name="tlccQubc0" localSheetId="7">'Inline-Mixed'!$E$106:$AL$106</definedName>
    <definedName name="tlccQubc0" localSheetId="4">Panel!$E$106:$AL$106</definedName>
    <definedName name="tlccQubc0" localSheetId="9">'Power Roof Vent'!$E$106:$AL$106</definedName>
    <definedName name="tlccQubc0" localSheetId="8">Radial!$E$106:$AL$106</definedName>
    <definedName name="tlccQubc1" localSheetId="3">'Axial Cyl Housed'!$E$112:$AL$112</definedName>
    <definedName name="tlccQubc1" localSheetId="5">'Centrif Housed'!$E$112:$AL$112</definedName>
    <definedName name="tlccQubc1" localSheetId="6">'Centrif Unhous'!$E$112:$AL$112</definedName>
    <definedName name="tlccQubc1" localSheetId="7">'Inline-Mixed'!$E$112:$AL$112</definedName>
    <definedName name="tlccQubc1" localSheetId="4">Panel!$E$112:$AL$112</definedName>
    <definedName name="tlccQubc1" localSheetId="9">'Power Roof Vent'!$E$112:$AL$112</definedName>
    <definedName name="tlccQubc1" localSheetId="8">Radial!$E$112:$AL$112</definedName>
    <definedName name="tlccQubc2" localSheetId="3">'Axial Cyl Housed'!$E$118:$AL$118</definedName>
    <definedName name="tlccQubc2" localSheetId="5">'Centrif Housed'!$E$118:$AL$118</definedName>
    <definedName name="tlccQubc2" localSheetId="6">'Centrif Unhous'!$E$118:$AL$118</definedName>
    <definedName name="tlccQubc2" localSheetId="7">'Inline-Mixed'!$E$118:$AL$118</definedName>
    <definedName name="tlccQubc2" localSheetId="4">Panel!$E$118:$AL$118</definedName>
    <definedName name="tlccQubc2" localSheetId="9">'Power Roof Vent'!$E$118:$AL$118</definedName>
    <definedName name="tlccQubc2" localSheetId="8">Radial!$E$118:$AL$118</definedName>
    <definedName name="tlccQubc3" localSheetId="3">'Axial Cyl Housed'!$E$124:$AL$124</definedName>
    <definedName name="tlccQubc3" localSheetId="5">'Centrif Housed'!$E$124:$AL$124</definedName>
    <definedName name="tlccQubc3" localSheetId="6">'Centrif Unhous'!$E$124:$AL$124</definedName>
    <definedName name="tlccQubc3" localSheetId="7">'Inline-Mixed'!$E$124:$AL$124</definedName>
    <definedName name="tlccQubc3" localSheetId="4">Panel!$E$124:$AL$124</definedName>
    <definedName name="tlccQubc3" localSheetId="9">'Power Roof Vent'!$E$124:$AL$124</definedName>
    <definedName name="tlccQubc3" localSheetId="8">Radial!$E$124:$AL$124</definedName>
    <definedName name="tlccQubc4" localSheetId="3">'Axial Cyl Housed'!$E$130:$AL$130</definedName>
    <definedName name="tlccQubc4" localSheetId="5">'Centrif Housed'!$E$130:$AL$130</definedName>
    <definedName name="tlccQubc4" localSheetId="6">'Centrif Unhous'!$E$130:$AL$130</definedName>
    <definedName name="tlccQubc4" localSheetId="7">'Inline-Mixed'!$E$130:$AL$130</definedName>
    <definedName name="tlccQubc4" localSheetId="4">Panel!$E$130:$AL$130</definedName>
    <definedName name="tlccQubc4" localSheetId="9">'Power Roof Vent'!$E$130:$AL$130</definedName>
    <definedName name="tlccQubc4" localSheetId="8">Radial!$E$130:$AL$130</definedName>
    <definedName name="tlccQubc5" localSheetId="3">'Axial Cyl Housed'!$E$136:$AL$136</definedName>
    <definedName name="tlccQubc5" localSheetId="5">'Centrif Housed'!$E$136:$AL$136</definedName>
    <definedName name="tlccQubc5" localSheetId="6">'Centrif Unhous'!$E$136:$AL$136</definedName>
    <definedName name="tlccQubc5" localSheetId="7">'Inline-Mixed'!$E$136:$AL$136</definedName>
    <definedName name="tlccQubc5" localSheetId="4">Panel!$E$136:$AL$136</definedName>
    <definedName name="tlccQubc5" localSheetId="9">'Power Roof Vent'!$E$136:$AL$136</definedName>
    <definedName name="tlccQubc5" localSheetId="8">Radial!$E$136:$AL$136</definedName>
    <definedName name="tlccQubc6" localSheetId="3">'Axial Cyl Housed'!$E$142:$AL$142</definedName>
    <definedName name="tlccQubc6" localSheetId="5">'Centrif Housed'!$E$142:$AL$142</definedName>
    <definedName name="tlccQubc6" localSheetId="6">'Centrif Unhous'!$E$142:$AL$142</definedName>
    <definedName name="tlccQubc6" localSheetId="7">'Inline-Mixed'!$E$142:$AL$142</definedName>
    <definedName name="tlccQubc6" localSheetId="4">Panel!$E$142:$AL$142</definedName>
    <definedName name="tlccQubc6" localSheetId="9">'Power Roof Vent'!$E$142:$AL$142</definedName>
    <definedName name="tlccQubc6" localSheetId="8">Radial!$E$142:$AL$142</definedName>
    <definedName name="tlccQupol" localSheetId="3">'Axial Cyl Housed'!$E$77:$AL$83</definedName>
    <definedName name="tlccQupol" localSheetId="5">'Centrif Housed'!$E$77:$AL$83</definedName>
    <definedName name="tlccQupol" localSheetId="6">'Centrif Unhous'!$E$77:$AL$83</definedName>
    <definedName name="tlccQupol" localSheetId="7">'Inline-Mixed'!$E$77:$AL$83</definedName>
    <definedName name="tlccQupol" localSheetId="4">Panel!$E$77:$AL$83</definedName>
    <definedName name="tlccQupol" localSheetId="9">'Power Roof Vent'!$E$77:$AL$83</definedName>
    <definedName name="tlccQupol" localSheetId="8">Radial!$E$77:$AL$83</definedName>
    <definedName name="tlccQupol0" localSheetId="3">'Axial Cyl Housed'!$E$149:$AL$149</definedName>
    <definedName name="tlccQupol0" localSheetId="5">'Centrif Housed'!$E$149:$AL$149</definedName>
    <definedName name="tlccQupol0" localSheetId="6">'Centrif Unhous'!$E$149:$AL$149</definedName>
    <definedName name="tlccQupol0" localSheetId="7">'Inline-Mixed'!$E$149:$AL$149</definedName>
    <definedName name="tlccQupol0" localSheetId="4">Panel!$E$149:$AL$149</definedName>
    <definedName name="tlccQupol0" localSheetId="9">'Power Roof Vent'!$E$149:$AL$149</definedName>
    <definedName name="tlccQupol0" localSheetId="8">Radial!$E$149:$AL$149</definedName>
    <definedName name="tlccQupol1" localSheetId="3">'Axial Cyl Housed'!$E$155:$AL$155</definedName>
    <definedName name="tlccQupol1" localSheetId="5">'Centrif Housed'!$E$155:$AL$155</definedName>
    <definedName name="tlccQupol1" localSheetId="6">'Centrif Unhous'!$E$155:$AL$155</definedName>
    <definedName name="tlccQupol1" localSheetId="7">'Inline-Mixed'!$E$155:$AL$155</definedName>
    <definedName name="tlccQupol1" localSheetId="4">Panel!$E$155:$AL$155</definedName>
    <definedName name="tlccQupol1" localSheetId="9">'Power Roof Vent'!$E$155:$AL$155</definedName>
    <definedName name="tlccQupol1" localSheetId="8">Radial!$E$155:$AL$155</definedName>
    <definedName name="tlccQupol2" localSheetId="3">'Axial Cyl Housed'!$E$161:$AL$161</definedName>
    <definedName name="tlccQupol2" localSheetId="5">'Centrif Housed'!$E$161:$AL$161</definedName>
    <definedName name="tlccQupol2" localSheetId="6">'Centrif Unhous'!$E$161:$AL$161</definedName>
    <definedName name="tlccQupol2" localSheetId="7">'Inline-Mixed'!$E$161:$AL$161</definedName>
    <definedName name="tlccQupol2" localSheetId="4">Panel!$E$161:$AL$161</definedName>
    <definedName name="tlccQupol2" localSheetId="9">'Power Roof Vent'!$E$161:$AL$161</definedName>
    <definedName name="tlccQupol2" localSheetId="8">Radial!$E$161:$AL$161</definedName>
    <definedName name="tlccQupol3" localSheetId="3">'Axial Cyl Housed'!$E$167:$AL$167</definedName>
    <definedName name="tlccQupol3" localSheetId="5">'Centrif Housed'!$E$167:$AL$167</definedName>
    <definedName name="tlccQupol3" localSheetId="6">'Centrif Unhous'!$E$167:$AL$167</definedName>
    <definedName name="tlccQupol3" localSheetId="7">'Inline-Mixed'!$E$167:$AL$167</definedName>
    <definedName name="tlccQupol3" localSheetId="4">Panel!$E$167:$AL$167</definedName>
    <definedName name="tlccQupol3" localSheetId="9">'Power Roof Vent'!$E$167:$AL$167</definedName>
    <definedName name="tlccQupol3" localSheetId="8">Radial!$E$167:$AL$167</definedName>
    <definedName name="tlccQupol4" localSheetId="3">'Axial Cyl Housed'!$E$173:$AL$173</definedName>
    <definedName name="tlccQupol4" localSheetId="5">'Centrif Housed'!$E$173:$AL$173</definedName>
    <definedName name="tlccQupol4" localSheetId="6">'Centrif Unhous'!$E$173:$AL$173</definedName>
    <definedName name="tlccQupol4" localSheetId="7">'Inline-Mixed'!$E$173:$AL$173</definedName>
    <definedName name="tlccQupol4" localSheetId="4">Panel!$E$173:$AL$173</definedName>
    <definedName name="tlccQupol4" localSheetId="9">'Power Roof Vent'!$E$173:$AL$173</definedName>
    <definedName name="tlccQupol4" localSheetId="8">Radial!$E$173:$AL$173</definedName>
    <definedName name="tlccQupol5" localSheetId="3">'Axial Cyl Housed'!$E$179:$AL$179</definedName>
    <definedName name="tlccQupol5" localSheetId="5">'Centrif Housed'!$E$179:$AL$179</definedName>
    <definedName name="tlccQupol5" localSheetId="6">'Centrif Unhous'!$E$179:$AL$179</definedName>
    <definedName name="tlccQupol5" localSheetId="7">'Inline-Mixed'!$E$179:$AL$179</definedName>
    <definedName name="tlccQupol5" localSheetId="4">Panel!$E$179:$AL$179</definedName>
    <definedName name="tlccQupol5" localSheetId="9">'Power Roof Vent'!$E$179:$AL$179</definedName>
    <definedName name="tlccQupol5" localSheetId="8">Radial!$E$179:$AL$179</definedName>
    <definedName name="tlccQupol6" localSheetId="3">'Axial Cyl Housed'!$E$185:$AL$185</definedName>
    <definedName name="tlccQupol6" localSheetId="5">'Centrif Housed'!$E$185:$AL$185</definedName>
    <definedName name="tlccQupol6" localSheetId="6">'Centrif Unhous'!$E$185:$AL$185</definedName>
    <definedName name="tlccQupol6" localSheetId="7">'Inline-Mixed'!$E$185:$AL$185</definedName>
    <definedName name="tlccQupol6" localSheetId="4">Panel!$E$185:$AL$185</definedName>
    <definedName name="tlccQupol6" localSheetId="9">'Power Roof Vent'!$E$185:$AL$185</definedName>
    <definedName name="tlccQupol6" localSheetId="8">Radial!$E$185:$AL$185</definedName>
    <definedName name="tmiaAll" localSheetId="10">Shipments!$E$65:$J$65</definedName>
    <definedName name="tmiaAxH" localSheetId="10">Shipments!$E$67:$J$67</definedName>
    <definedName name="tmiaCnH" localSheetId="10">Shipments!$E$69:$J$69</definedName>
    <definedName name="tmiaCnU" localSheetId="10">Shipments!$E$70:$J$70</definedName>
    <definedName name="tmiaInMx" localSheetId="10">Shipments!$E$71:$J$71</definedName>
    <definedName name="tmiaMktAxH" localSheetId="10">Shipments!$E$75:$J$75</definedName>
    <definedName name="tmiaMktCnH" localSheetId="10">Shipments!$E$77:$J$77</definedName>
    <definedName name="tmiaMktCnU" localSheetId="10">Shipments!$E$78:$J$78</definedName>
    <definedName name="tmiaMktInMx" localSheetId="10">Shipments!$E$79:$J$79</definedName>
    <definedName name="tmiaMktPan" localSheetId="10">Shipments!$E$76:$J$76</definedName>
    <definedName name="tmiaMktPRV" localSheetId="10">Shipments!$E$81:$J$81</definedName>
    <definedName name="tmiaMktRad" localSheetId="10">Shipments!$E$80:$J$80</definedName>
    <definedName name="tmiaPan" localSheetId="10">Shipments!$E$68:$J$68</definedName>
    <definedName name="tmiaPRV" localSheetId="10">Shipments!$E$73:$J$73</definedName>
    <definedName name="tmiaRad" localSheetId="10">Shipments!$E$72:$J$72</definedName>
    <definedName name="tmiaShrAxH" localSheetId="10">Shipments!$E$84:$J$90</definedName>
    <definedName name="tmiaShrAxH0" localSheetId="10">Shipments!$E$84:$J$84</definedName>
    <definedName name="tmiaShrAxH1" localSheetId="10">Shipments!$E$85:$J$85</definedName>
    <definedName name="tmiaShrAxH2" localSheetId="10">Shipments!$E$86:$J$86</definedName>
    <definedName name="tmiaShrAxH3" localSheetId="10">Shipments!$E$87:$J$87</definedName>
    <definedName name="tmiaShrAxH4" localSheetId="10">Shipments!$E$88:$J$88</definedName>
    <definedName name="tmiaShrAxH5" localSheetId="10">Shipments!$E$89:$J$89</definedName>
    <definedName name="tmiaShrAxH6" localSheetId="10">Shipments!$E$90:$J$90</definedName>
    <definedName name="tmiaShrCnH" localSheetId="10">Shipments!$E$100:$J$106</definedName>
    <definedName name="tmiaShrCnH0" localSheetId="10">Shipments!$E$100:$J$100</definedName>
    <definedName name="tmiaShrCnH1" localSheetId="10">Shipments!$E$101:$J$101</definedName>
    <definedName name="tmiaShrCnH2" localSheetId="10">Shipments!$E$102:$J$102</definedName>
    <definedName name="tmiaShrCnH3" localSheetId="10">Shipments!$E$103:$J$103</definedName>
    <definedName name="tmiaShrCnH4" localSheetId="10">Shipments!$E$104:$J$104</definedName>
    <definedName name="tmiaShrCnH5" localSheetId="10">Shipments!$E$105:$J$105</definedName>
    <definedName name="tmiaShrCnH6" localSheetId="10">Shipments!$E$106:$J$106</definedName>
    <definedName name="tmiaShrCnU" localSheetId="10">Shipments!$E$108:$J$114</definedName>
    <definedName name="tmiaShrCnU0" localSheetId="10">Shipments!$E$108:$J$108</definedName>
    <definedName name="tmiaShrCnU1" localSheetId="10">Shipments!$E$109:$J$109</definedName>
    <definedName name="tmiaShrCnU2" localSheetId="10">Shipments!$E$110:$J$110</definedName>
    <definedName name="tmiaShrCnU3" localSheetId="10">Shipments!$E$111:$J$111</definedName>
    <definedName name="tmiaShrCnU4" localSheetId="10">Shipments!$E$112:$J$112</definedName>
    <definedName name="tmiaShrCnU5" localSheetId="10">Shipments!$E$113:$J$113</definedName>
    <definedName name="tmiaShrCnU6" localSheetId="10">Shipments!$E$114:$J$114</definedName>
    <definedName name="tmiaShrInMx" localSheetId="10">Shipments!$E$116:$J$122</definedName>
    <definedName name="tmiaShrInMx0" localSheetId="10">Shipments!$E$116:$J$116</definedName>
    <definedName name="tmiaShrInMx1" localSheetId="10">Shipments!$E$117:$J$117</definedName>
    <definedName name="tmiaShrInMx2" localSheetId="10">Shipments!$E$118:$J$118</definedName>
    <definedName name="tmiaShrInMx3" localSheetId="10">Shipments!$E$119:$J$119</definedName>
    <definedName name="tmiaShrInMx4" localSheetId="10">Shipments!$E$120:$J$120</definedName>
    <definedName name="tmiaShrInMx5" localSheetId="10">Shipments!$E$121:$J$121</definedName>
    <definedName name="tmiaShrInMx6" localSheetId="10">Shipments!$E$122:$J$122</definedName>
    <definedName name="tmiaShrPan" localSheetId="10">Shipments!$E$92:$J$98</definedName>
    <definedName name="tmiaShrPan0" localSheetId="10">Shipments!$E$92:$J$92</definedName>
    <definedName name="tmiaShrPan1" localSheetId="10">Shipments!$E$93:$J$93</definedName>
    <definedName name="tmiaShrPan2" localSheetId="10">Shipments!$E$94:$J$94</definedName>
    <definedName name="tmiaShrPan3" localSheetId="10">Shipments!$E$95:$J$95</definedName>
    <definedName name="tmiaShrPan4" localSheetId="10">Shipments!$E$96:$J$96</definedName>
    <definedName name="tmiaShrPan5" localSheetId="10">Shipments!$E$97:$J$97</definedName>
    <definedName name="tmiaShrPan6" localSheetId="10">Shipments!$E$98:$J$98</definedName>
    <definedName name="tmiaShrPRV" localSheetId="10">Shipments!$E$132:$J$138</definedName>
    <definedName name="tmiaShrPRV0" localSheetId="10">Shipments!$E$132:$J$132</definedName>
    <definedName name="tmiaShrPRV1" localSheetId="10">Shipments!$E$133:$J$133</definedName>
    <definedName name="tmiaShrPRV2" localSheetId="10">Shipments!$E$134:$J$134</definedName>
    <definedName name="tmiaShrPRV3" localSheetId="10">Shipments!$E$135:$J$135</definedName>
    <definedName name="tmiaShrPRV4" localSheetId="10">Shipments!$E$136:$J$136</definedName>
    <definedName name="tmiaShrPRV5" localSheetId="10">Shipments!$E$137:$J$137</definedName>
    <definedName name="tmiaShrPRV6" localSheetId="10">Shipments!$E$138:$J$138</definedName>
    <definedName name="tmiaShrRad" localSheetId="10">Shipments!$E$124:$J$130</definedName>
    <definedName name="tmiaShrRad0" localSheetId="10">Shipments!$E$124:$J$124</definedName>
    <definedName name="tmiaShrRad1" localSheetId="10">Shipments!$E$125:$J$125</definedName>
    <definedName name="tmiaShrRad2" localSheetId="10">Shipments!$E$126:$J$126</definedName>
    <definedName name="tmiaShrRad3" localSheetId="10">Shipments!$E$127:$J$127</definedName>
    <definedName name="tmiaShrRad4" localSheetId="10">Shipments!$E$128:$J$128</definedName>
    <definedName name="tmiaShrRad5" localSheetId="10">Shipments!$E$129:$J$129</definedName>
    <definedName name="tmiaShrRad6" localSheetId="10">Shipments!$E$130:$J$130</definedName>
    <definedName name="tMktAxH">Shipments!$E$31:$AK$31</definedName>
    <definedName name="tMktAxHBC" localSheetId="10">Shipments!$E$34:$AL$34</definedName>
    <definedName name="tMktAxU">Shipments!$E$32:$AK$32</definedName>
    <definedName name="tMktCnH">Shipments!$E$33:$AK$33</definedName>
    <definedName name="tMktCnHBC" localSheetId="10">Shipments!$E$36:$AL$36</definedName>
    <definedName name="tMktCnU">Shipments!$E$34:$AK$34</definedName>
    <definedName name="tMktCnUBC" localSheetId="10">Shipments!$E$37:$AL$37</definedName>
    <definedName name="tMktInMx">Shipments!$E$35:$AK$35</definedName>
    <definedName name="tMktInMxBC" localSheetId="10">Shipments!$E$38:$AL$38</definedName>
    <definedName name="tMktPanBC" localSheetId="10">Shipments!$E$35:$AL$35</definedName>
    <definedName name="tMktPRV">Shipments!$E$37:$AK$37</definedName>
    <definedName name="tMktPRVBC" localSheetId="10">Shipments!$E$40:$AL$40</definedName>
    <definedName name="tMktRad">Shipments!$E$36:$AK$36</definedName>
    <definedName name="tMktRadBC" localSheetId="10">Shipments!$E$39:$AL$39</definedName>
    <definedName name="tnet" localSheetId="3">'Axial Cyl Housed'!$E$5:$AL$5</definedName>
    <definedName name="tnet" localSheetId="5">'Centrif Housed'!$E$5:$AL$5</definedName>
    <definedName name="tnet" localSheetId="6">'Centrif Unhous'!$E$5:$AL$5</definedName>
    <definedName name="tnet" localSheetId="7">'Inline-Mixed'!$E$5:$AL$5</definedName>
    <definedName name="tnet" localSheetId="4">Panel!$E$5:$AL$5</definedName>
    <definedName name="tnet" localSheetId="9">'Power Roof Vent'!$E$5:$AL$5</definedName>
    <definedName name="tnet" localSheetId="8">Radial!$E$5:$AL$5</definedName>
    <definedName name="tnetU" localSheetId="3">'Axial Cyl Housed'!$E$13:$AL$13</definedName>
    <definedName name="tnetU" localSheetId="5">'Centrif Housed'!$E$13:$AL$13</definedName>
    <definedName name="tnetU" localSheetId="6">'Centrif Unhous'!$E$13:$AL$13</definedName>
    <definedName name="tnetU" localSheetId="7">'Inline-Mixed'!$E$13:$AL$13</definedName>
    <definedName name="tnetU" localSheetId="4">Panel!$E$13:$AL$13</definedName>
    <definedName name="tnetU" localSheetId="9">'Power Roof Vent'!$E$13:$AL$13</definedName>
    <definedName name="tnetU" localSheetId="8">Radial!$E$13:$AL$13</definedName>
    <definedName name="tp2fElec">'Energy Factors'!$E$24:$CS$24</definedName>
    <definedName name="tPIdxAll">'Price Index'!$D$5:$AK$5</definedName>
    <definedName name="tPIdxAll1" localSheetId="12">'Price Index'!$D$8:$AK$8</definedName>
    <definedName name="tPIdxAll2" localSheetId="12">'Price Index'!$D$11:$AK$11</definedName>
    <definedName name="tPIdxAll3" localSheetId="12">'Price Index'!$D$14:$AK$14</definedName>
    <definedName name="tpolEff0" localSheetId="3">'Axial Cyl Housed'!$E$32:$AL$32</definedName>
    <definedName name="tpolEff0" localSheetId="5">'Centrif Housed'!$E$32:$AL$32</definedName>
    <definedName name="tpolEff0" localSheetId="6">'Centrif Unhous'!$E$32:$AL$32</definedName>
    <definedName name="tpolEff0" localSheetId="7">'Inline-Mixed'!$E$32:$AL$32</definedName>
    <definedName name="tpolEff0" localSheetId="4">Panel!$E$32:$AL$32</definedName>
    <definedName name="tpolEff0" localSheetId="9">'Power Roof Vent'!$E$32:$AL$32</definedName>
    <definedName name="tpolEff0" localSheetId="8">Radial!$E$32:$AL$32</definedName>
    <definedName name="tpolEff1" localSheetId="3">'Axial Cyl Housed'!$E$33:$AL$33</definedName>
    <definedName name="tpolEff1" localSheetId="5">'Centrif Housed'!$E$33:$AL$33</definedName>
    <definedName name="tpolEff1" localSheetId="6">'Centrif Unhous'!$E$33:$AL$33</definedName>
    <definedName name="tpolEff1" localSheetId="7">'Inline-Mixed'!$E$33:$AL$33</definedName>
    <definedName name="tpolEff1" localSheetId="4">Panel!$E$33:$AL$33</definedName>
    <definedName name="tpolEff1" localSheetId="9">'Power Roof Vent'!$E$33:$AL$33</definedName>
    <definedName name="tpolEff1" localSheetId="8">Radial!$E$33:$AL$33</definedName>
    <definedName name="tpolEff2" localSheetId="3">'Axial Cyl Housed'!$E$34:$AL$34</definedName>
    <definedName name="tpolEff2" localSheetId="5">'Centrif Housed'!$E$34:$AL$34</definedName>
    <definedName name="tpolEff2" localSheetId="6">'Centrif Unhous'!$E$34:$AL$34</definedName>
    <definedName name="tpolEff2" localSheetId="7">'Inline-Mixed'!$E$34:$AL$34</definedName>
    <definedName name="tpolEff2" localSheetId="4">Panel!$E$34:$AL$34</definedName>
    <definedName name="tpolEff2" localSheetId="9">'Power Roof Vent'!$E$34:$AL$34</definedName>
    <definedName name="tpolEff2" localSheetId="8">Radial!$E$34:$AL$34</definedName>
    <definedName name="tpolEff3" localSheetId="3">'Axial Cyl Housed'!$E$35:$AL$35</definedName>
    <definedName name="tpolEff3" localSheetId="5">'Centrif Housed'!$E$35:$AL$35</definedName>
    <definedName name="tpolEff3" localSheetId="6">'Centrif Unhous'!$E$35:$AL$35</definedName>
    <definedName name="tpolEff3" localSheetId="7">'Inline-Mixed'!$E$35:$AL$35</definedName>
    <definedName name="tpolEff3" localSheetId="4">Panel!$E$35:$AL$35</definedName>
    <definedName name="tpolEff3" localSheetId="9">'Power Roof Vent'!$E$35:$AL$35</definedName>
    <definedName name="tpolEff3" localSheetId="8">Radial!$E$35:$AL$35</definedName>
    <definedName name="tpolEff4" localSheetId="3">'Axial Cyl Housed'!$E$36:$AL$36</definedName>
    <definedName name="tpolEff4" localSheetId="5">'Centrif Housed'!$E$36:$AL$36</definedName>
    <definedName name="tpolEff4" localSheetId="6">'Centrif Unhous'!$E$36:$AL$36</definedName>
    <definedName name="tpolEff4" localSheetId="7">'Inline-Mixed'!$E$36:$AL$36</definedName>
    <definedName name="tpolEff4" localSheetId="4">Panel!$E$36:$AL$36</definedName>
    <definedName name="tpolEff4" localSheetId="9">'Power Roof Vent'!$E$36:$AL$36</definedName>
    <definedName name="tpolEff4" localSheetId="8">Radial!$E$36:$AL$36</definedName>
    <definedName name="tpolEff5" localSheetId="3">'Axial Cyl Housed'!$E$37:$AL$37</definedName>
    <definedName name="tpolEff5" localSheetId="5">'Centrif Housed'!$E$37:$AL$37</definedName>
    <definedName name="tpolEff5" localSheetId="6">'Centrif Unhous'!$E$37:$AL$37</definedName>
    <definedName name="tpolEff5" localSheetId="7">'Inline-Mixed'!$E$37:$AL$37</definedName>
    <definedName name="tpolEff5" localSheetId="4">Panel!$E$37:$AL$37</definedName>
    <definedName name="tpolEff5" localSheetId="9">'Power Roof Vent'!$E$37:$AL$37</definedName>
    <definedName name="tpolEff5" localSheetId="8">Radial!$E$37:$AL$37</definedName>
    <definedName name="tpolEff6" localSheetId="3">'Axial Cyl Housed'!$E$38:$AL$38</definedName>
    <definedName name="tpolEff6" localSheetId="5">'Centrif Housed'!$E$38:$AL$38</definedName>
    <definedName name="tpolEff6" localSheetId="6">'Centrif Unhous'!$E$38:$AL$38</definedName>
    <definedName name="tpolEff6" localSheetId="7">'Inline-Mixed'!$E$38:$AL$38</definedName>
    <definedName name="tpolEff6" localSheetId="4">Panel!$E$38:$AL$38</definedName>
    <definedName name="tpolEff6" localSheetId="9">'Power Roof Vent'!$E$38:$AL$38</definedName>
    <definedName name="tpolEff6" localSheetId="8">Radial!$E$38:$AL$38</definedName>
    <definedName name="tPrcElec">'Energy Price'!$E$5:$CS$5</definedName>
    <definedName name="tPrcElecH" localSheetId="15">'Energy Price'!$E$14:$CS$14</definedName>
    <definedName name="tPrcElecH">'[4]Energy Prices'!$E$15:$CR$15</definedName>
    <definedName name="tPrcElecL" localSheetId="15">'Energy Price'!$E$11:$CS$11</definedName>
    <definedName name="tPrcElecL">'[4]Energy Prices'!$E$12:$CR$12</definedName>
    <definedName name="tPrcElecR" localSheetId="15">'Energy Price'!$E$8:$CS$8</definedName>
    <definedName name="tPrcElecR">'[4]Energy Prices'!$E$9:$CR$9</definedName>
    <definedName name="tpSurvAxH">Lifetime!$D$5:$BK$5</definedName>
    <definedName name="tpSurvAxU">Lifetime!$D$7:$BK$7</definedName>
    <definedName name="tpSurvCnH">Lifetime!$D$7:$BK$7</definedName>
    <definedName name="tpSurvCnU">Lifetime!$D$8:$BK$8</definedName>
    <definedName name="tpSurvInMx">Lifetime!$D$9:$BK$9</definedName>
    <definedName name="tpSurvPan">Lifetime!$D$6:$BK$6</definedName>
    <definedName name="tpSurvPRV">Lifetime!$D$11:$BK$11</definedName>
    <definedName name="tpSurvRad">Lifetime!$D$10:$BK$10</definedName>
    <definedName name="ts2bElec">'Energy Factors'!$E$15:$CS$15</definedName>
    <definedName name="ts2bFOil">5.758/42</definedName>
    <definedName name="ts2bNGas">1.025</definedName>
    <definedName name="ts2pElecAxH">'Energy Factors'!$E$17:$CS$17</definedName>
    <definedName name="ts2pElecCnH">'Energy Factors'!$E$19:$CS$19</definedName>
    <definedName name="ts2pElecCnU">'Energy Factors'!$E$20:$CS$20</definedName>
    <definedName name="ts2pElecInMx">'Energy Factors'!$E$21:$CS$21</definedName>
    <definedName name="ts2pElecPan">'Energy Factors'!$E$18:$CS$18</definedName>
    <definedName name="ts2pElecPRV">'Energy Factors'!$E$23:$CS$23</definedName>
    <definedName name="ts2pElecRad">'Energy Factors'!$E$22:$CS$22</definedName>
    <definedName name="ts2sCom" localSheetId="14">'Energy Factors'!$E$50:$CS$50</definedName>
    <definedName name="ts2sInd" localSheetId="14">'Energy Factors'!$E$51:$CS$51</definedName>
    <definedName name="tsavElec" localSheetId="3">'Axial Cyl Housed'!$E$9:$AL$9</definedName>
    <definedName name="tsavElec" localSheetId="5">'Centrif Housed'!$E$9:$AL$9</definedName>
    <definedName name="tsavElec" localSheetId="6">'Centrif Unhous'!$E$9:$AL$9</definedName>
    <definedName name="tsavElec" localSheetId="7">'Inline-Mixed'!$E$9:$AL$9</definedName>
    <definedName name="tsavElec" localSheetId="4">Panel!$E$9:$AL$9</definedName>
    <definedName name="tsavElec" localSheetId="9">'Power Roof Vent'!$E$9:$AL$9</definedName>
    <definedName name="tsavElec" localSheetId="8">Radial!$E$9:$AL$9</definedName>
    <definedName name="tsavUElec" localSheetId="3">'Axial Cyl Housed'!$E$17:$AL$17</definedName>
    <definedName name="tsavUElec" localSheetId="5">'Centrif Housed'!$E$17:$AL$17</definedName>
    <definedName name="tsavUElec" localSheetId="6">'Centrif Unhous'!$E$17:$AL$17</definedName>
    <definedName name="tsavUElec" localSheetId="7">'Inline-Mixed'!$E$17:$AL$17</definedName>
    <definedName name="tsavUElec" localSheetId="4">Panel!$E$17:$AL$17</definedName>
    <definedName name="tsavUElec" localSheetId="9">'Power Roof Vent'!$E$17:$AL$17</definedName>
    <definedName name="tsavUElec" localSheetId="8">Radial!$E$17:$AL$17</definedName>
    <definedName name="tShpAll">Shipments!$E$6:$AK$6</definedName>
    <definedName name="tShpAll1BC">Shipments!$E$7:$AL$7</definedName>
    <definedName name="tShpAll2BC">Shipments!$E$8:$AL$8</definedName>
    <definedName name="tShpAll3BC">Shipments!$E$9:$AL$9</definedName>
    <definedName name="tShpAllBC">Shipments!$E$6:$AL$6</definedName>
    <definedName name="tShpAllStd">Shipments!$E$19:$AL$19</definedName>
    <definedName name="tShpAxH">Shipments!$E$11:$AK$11</definedName>
    <definedName name="tShpAxHBC">Shipments!$E$11:$AL$11</definedName>
    <definedName name="tShpAxHStd">Shipments!$E$21:$AL$21</definedName>
    <definedName name="tShpAxU">Shipments!$E$12:$AK$12</definedName>
    <definedName name="tShpCnH">Shipments!$E$13:$AK$13</definedName>
    <definedName name="tShpCnHBC">Shipments!$E$13:$AL$13</definedName>
    <definedName name="tShpCnHStd">Shipments!$E$23:$AL$23</definedName>
    <definedName name="tShpCnU">Shipments!$E$14:$AK$14</definedName>
    <definedName name="tShpCnUBC">Shipments!$E$14:$AL$14</definedName>
    <definedName name="tShpCnUStd">Shipments!$E$24:$AL$24</definedName>
    <definedName name="tShpInMx">Shipments!$E$15:$AK$15</definedName>
    <definedName name="tShpInMxBC">Shipments!$E$15:$AL$15</definedName>
    <definedName name="tShpInMxStd">Shipments!$E$25:$AL$25</definedName>
    <definedName name="tShpPanBC">Shipments!$E$12:$AL$12</definedName>
    <definedName name="tShpPanStd">Shipments!$E$22:$AL$22</definedName>
    <definedName name="tShpPRV">Shipments!$E$17:$AK$17</definedName>
    <definedName name="tShpPRVBC">Shipments!$E$17:$AL$17</definedName>
    <definedName name="tShpPRVStd">Shipments!$E$27:$AL$27</definedName>
    <definedName name="tShpRad">Shipments!$E$16:$AK$16</definedName>
    <definedName name="tShpRadBC">Shipments!$E$16:$AL$16</definedName>
    <definedName name="tShpRadStd">Shipments!$E$26:$AL$26</definedName>
    <definedName name="tShpScenAll">OFFSET(tShpAll,1,0,3)</definedName>
    <definedName name="tShpScenAllBC">OFFSET(tShpAllBC,1,0,3)</definedName>
    <definedName name="tshrAxHCom" localSheetId="14">'Energy Factors'!$E$29</definedName>
    <definedName name="tshrAxHInd" localSheetId="14">'Energy Factors'!$E$30</definedName>
    <definedName name="tshrCnHCom" localSheetId="14">'Energy Factors'!$E$35</definedName>
    <definedName name="tshrCnHInd" localSheetId="14">'Energy Factors'!$E$36</definedName>
    <definedName name="tshrCnUCom" localSheetId="14">'Energy Factors'!$E$38</definedName>
    <definedName name="tshrCnUInd" localSheetId="14">'Energy Factors'!$E$39</definedName>
    <definedName name="tshrInMxCom" localSheetId="14">'Energy Factors'!$E$41</definedName>
    <definedName name="tshrInMxInd" localSheetId="14">'Energy Factors'!$E$42</definedName>
    <definedName name="tshrPanCom" localSheetId="14">'Energy Factors'!$E$32</definedName>
    <definedName name="tshrPanInd" localSheetId="14">'Energy Factors'!$E$33</definedName>
    <definedName name="tshrPRVCom" localSheetId="14">'Energy Factors'!$E$47</definedName>
    <definedName name="tshrPRVInd" localSheetId="14">'Energy Factors'!$E$48</definedName>
    <definedName name="tshrRadCom" localSheetId="14">'Energy Factors'!$E$44</definedName>
    <definedName name="tshrRadInd" localSheetId="14">'Energy Factors'!$E$45</definedName>
    <definedName name="tsl_map">'[2]TSL-CSL Mapping'!$B$5:$E$21</definedName>
    <definedName name="tsl1stYear">Tables!$C$52:$H$52</definedName>
    <definedName name="tslNYears">Tables!$C$53:$H$53</definedName>
    <definedName name="tStkAllBC" localSheetId="10">Shipments!$E$44:$CS$44</definedName>
    <definedName name="tStkAllStd" localSheetId="10">Shipments!$E$54:$CS$54</definedName>
    <definedName name="tStkAxH">Shipments!$E$22:$CR$22</definedName>
    <definedName name="tStkAxHBC" localSheetId="10">Shipments!$E$46:$CS$46</definedName>
    <definedName name="tStkAxHStd" localSheetId="10">Shipments!$E$56:$CS$56</definedName>
    <definedName name="tStkAxU">Shipments!$E$23:$CR$23</definedName>
    <definedName name="tStkCnH">Shipments!$E$24:$CR$24</definedName>
    <definedName name="tStkCnHBC" localSheetId="10">Shipments!$E$48:$CS$48</definedName>
    <definedName name="tStkCnHStd" localSheetId="10">Shipments!$E$58:$CS$58</definedName>
    <definedName name="tStkCnU">Shipments!$E$25:$CR$25</definedName>
    <definedName name="tStkCnUBC" localSheetId="10">Shipments!$E$49:$CS$49</definedName>
    <definedName name="tStkCnUStd" localSheetId="10">Shipments!$E$59:$CS$59</definedName>
    <definedName name="tStkInMx">Shipments!$E$26:$CR$26</definedName>
    <definedName name="tStkInMxBC" localSheetId="10">Shipments!$E$50:$CS$50</definedName>
    <definedName name="tStkInMxStd" localSheetId="10">Shipments!$E$60:$CS$60</definedName>
    <definedName name="tStkPanBC" localSheetId="10">Shipments!$E$47:$CS$47</definedName>
    <definedName name="tStkPanStd" localSheetId="10">Shipments!$E$57:$CS$57</definedName>
    <definedName name="tStkPRV">Shipments!$E$28:$CR$28</definedName>
    <definedName name="tStkPRVBC" localSheetId="10">Shipments!$E$52:$CS$52</definedName>
    <definedName name="tStkPRVStd" localSheetId="10">Shipments!$E$62:$CS$62</definedName>
    <definedName name="tStkRad">Shipments!$E$27:$CR$27</definedName>
    <definedName name="tStkRadBC" localSheetId="10">Shipments!$E$51:$CS$51</definedName>
    <definedName name="tStkRadStd" localSheetId="10">Shipments!$E$61:$CS$61</definedName>
    <definedName name="tSumm">Summary!$F$4:$O$9</definedName>
    <definedName name="tTrendHElec" localSheetId="15">'Energy Price'!$E$21:$CS$21</definedName>
    <definedName name="tTrendLElec" localSheetId="15">'Energy Price'!$E$20:$CS$20</definedName>
    <definedName name="tTrendRElec" localSheetId="15">'Energy Price'!$E$19:$CS$19</definedName>
    <definedName name="upFCostAxH">TRANSPOSE(INDEX(mspAxH,1,))*tPIdxAll+N(bElastTIC)*TRANSPOSE(INDEX(instAxH,1,))</definedName>
    <definedName name="upFCostCnH">TRANSPOSE(INDEX(mspCnH,1,))*tPIdxAll+N(bElastTIC)*TRANSPOSE(INDEX(instCnH,1,))</definedName>
    <definedName name="upFCostCnU">TRANSPOSE(INDEX(mspCnU,1,))*tPIdxAll+N(bElastTIC)*TRANSPOSE(INDEX(instCnU,1,))</definedName>
    <definedName name="upFCostInMx">TRANSPOSE(INDEX(mspInMx,1,))*tPIdxAll+N(bElastTIC)*TRANSPOSE(INDEX(instInMx,1,))</definedName>
    <definedName name="upFCostPan">TRANSPOSE(INDEX(mspPan,1,))*tPIdxAll+N(bElastTIC)*TRANSPOSE(INDEX(instPan,1,))</definedName>
    <definedName name="upFCostPRV">TRANSPOSE(INDEX(mspPRV,1,))*tPIdxAll+N(bElastTIC)*TRANSPOSE(INDEX(instPRV,1,))</definedName>
    <definedName name="upFCostRad">TRANSPOSE(INDEX(mspRad,1,))*tPIdxAll+N(bElastTIC)*TRANSPOSE(INDEX(instRad,1,))</definedName>
    <definedName name="upstream">#REF!</definedName>
    <definedName name="usageTrend">'[2]Usage Trend'!$B$4:$C$73</definedName>
    <definedName name="vadAxH">'LCC Inputs'!$E$16:$K$22</definedName>
    <definedName name="vadAxU">'LCC Inputs'!$Q$16:$W$22</definedName>
    <definedName name="vadCnH">'LCC Inputs'!$AC$16:$AI$22</definedName>
    <definedName name="vadCnU">'LCC Inputs'!$AO$16:$AU$22</definedName>
    <definedName name="vadInMx">'LCC Inputs'!$BA$16:$BG$22</definedName>
    <definedName name="vadPRV">'LCC Inputs'!$BY$16:$CE$22</definedName>
    <definedName name="vadRad">'LCC Inputs'!$BM$16:$BS$22</definedName>
    <definedName name="X">[1]Lifetime!$B$10:$B$35</definedName>
    <definedName name="yearC">Summary!$D$13</definedName>
    <definedName name="yrDsc">[2]Summary!$C$8</definedName>
    <definedName name="yShift">yearC-_year1</definedName>
    <definedName name="zElastPAxH" localSheetId="10">Shipments!kprcElastAll*IF(upFCostAxH=0,0,(INDEX(upFCostAxH,cslAxH+1)-upFCostAxH)/upFCostAxH)</definedName>
    <definedName name="zElastPCnH" localSheetId="10">Shipments!kprcElastAll*IF(upFCostCnH=0,0,(INDEX(upFCostCnH,cslCnH+1)-upFCostCnH)/upFCostCnH)</definedName>
    <definedName name="zElastPCnU" localSheetId="10">Shipments!kprcElastAll*IF(upFCostCnU=0,0,(INDEX(upFCostCnU,cslCnU+1)-upFCostCnU)/upFCostCnU)</definedName>
    <definedName name="zElastPInMx" localSheetId="10">Shipments!kprcElastAll*IF(upFCostInMx=0,0,(INDEX(upFCostInMx,cslInMx+1)-upFCostInMx)/upFCostInMx)</definedName>
    <definedName name="zElastPPan" localSheetId="10">Shipments!kprcElastAll*IF(upFCostPan=0,0,(INDEX(upFCostPan,cslPan+1)-upFCostPan)/upFCostPan)</definedName>
    <definedName name="zElastPPRV" localSheetId="10">Shipments!kprcElastAll*IF(upFCostPRV=0,0,(INDEX(upFCostPRV,cslPRV+1)-upFCostPRV)/upFCostPRV)</definedName>
    <definedName name="zElastPRad" localSheetId="10">Shipments!kprcElastAll*IF(upFCostRad=0,0,(INDEX(upFCostRad,cslRad+1)-upFCostRad)/upFCostRad)</definedName>
    <definedName name="zEO">"Operating"</definedName>
    <definedName name="zShrP" localSheetId="3">1+N(bElast)*Shipments!kprcElastAll*(TRANSPOSE('Axial Cyl Housed'!elIsBelow)*IF(upFCostAxH=0,0,(INDEX(upFCostAxH,cslAxH+1)-upFCostAxH)/upFCostAxH))</definedName>
    <definedName name="zShrP" localSheetId="5">1+N(bElast)*Shipments!kprcElastAll*(TRANSPOSE('Centrif Housed'!elIsBelow)*IF(upFCostCnH=0,0,(INDEX(upFCostCnH,cslCnH+1)-upFCostCnH)/upFCostCnH))</definedName>
    <definedName name="zShrP" localSheetId="6">1+N(bElast)*Shipments!kprcElastAll*(TRANSPOSE('Centrif Unhous'!elIsBelow)*IF(upFCostCnU=0,0,(INDEX(upFCostCnU,cslCnU+1)-upFCostCnU)/upFCostCnU))</definedName>
    <definedName name="zShrP" localSheetId="7">1+N(bElast)*Shipments!kprcElastAll*(TRANSPOSE('Inline-Mixed'!elIsBelow)*IF(upFCostInMx=0,0,(INDEX(upFCostInMx,cslInMx+1)-upFCostInMx)/upFCostInMx))</definedName>
    <definedName name="zShrP" localSheetId="4">1+N(bElast)*Shipments!kprcElastAll*(TRANSPOSE(Panel!elIsBelow)*IF(upFCostPan=0,0,(INDEX(upFCostPan,cslPan+1)-upFCostPan)/upFCostPan))</definedName>
    <definedName name="zShrP" localSheetId="9">1+N(bElast)*Shipments!kprcElastAll*(TRANSPOSE('Power Roof Vent'!elIsBelow)*IF(upFCostPRV=0,0,(INDEX(upFCostPRV,cslPRV+1)-upFCostPRV)/upFCostPRV))</definedName>
    <definedName name="zShrP" localSheetId="8">1+N(bElast)*Shipments!kprcElastAll*(TRANSPOSE(Radial!elIsBelow)*IF(upFCostRad=0,0,(INDEX(upFCostRad,cslRad+1)-upFCostRad)/upFCostRad))</definedName>
  </definedNames>
  <calcPr calcId="145621" iterate="1" iterateCount="1000" concurrentCalc="0"/>
  <pivotCaches>
    <pivotCache cacheId="0" r:id="rId26"/>
  </pivotCaches>
  <extLst>
    <ext xmlns:mx="http://schemas.microsoft.com/office/mac/excel/2008/main" uri="{7523E5D3-25F3-A5E0-1632-64F254C22452}">
      <mx:ArchID Flags="2"/>
    </ext>
  </extLst>
</workbook>
</file>

<file path=xl/calcChain.xml><?xml version="1.0" encoding="utf-8"?>
<calcChain xmlns="http://schemas.openxmlformats.org/spreadsheetml/2006/main">
  <c r="D60" i="22" l="1" a="1"/>
  <c r="E53" i="22"/>
  <c r="E54" i="22"/>
  <c r="E50" i="22"/>
  <c r="E118" i="22"/>
  <c r="E65" i="22"/>
  <c r="E191" i="22"/>
  <c r="D54" i="22"/>
  <c r="D53" i="22"/>
  <c r="D50" i="22"/>
  <c r="D118" i="22"/>
  <c r="D65" i="22"/>
  <c r="F53" i="22"/>
  <c r="F54" i="22"/>
  <c r="F50" i="22"/>
  <c r="F118" i="22"/>
  <c r="F65" i="22"/>
  <c r="G53" i="22"/>
  <c r="G54" i="22"/>
  <c r="G50" i="22"/>
  <c r="G118" i="22"/>
  <c r="G65" i="22"/>
  <c r="H51" i="22"/>
  <c r="H52" i="22"/>
  <c r="H53" i="22"/>
  <c r="H54" i="22"/>
  <c r="H50" i="22"/>
  <c r="H118" i="22"/>
  <c r="H65" i="22"/>
  <c r="I65" i="22"/>
  <c r="J65" i="22"/>
  <c r="J191" i="22"/>
  <c r="E200" i="22"/>
  <c r="F191" i="22"/>
  <c r="F200" i="22"/>
  <c r="G191" i="22"/>
  <c r="G200" i="22"/>
  <c r="H191" i="22"/>
  <c r="H200" i="22"/>
  <c r="I191" i="22"/>
  <c r="I200" i="22"/>
  <c r="D191" i="22"/>
  <c r="D200" i="22"/>
  <c r="I60" i="22"/>
  <c r="I186" i="22"/>
  <c r="I61" i="22"/>
  <c r="I187" i="22"/>
  <c r="I62" i="22"/>
  <c r="I188" i="22"/>
  <c r="I63" i="22"/>
  <c r="I189" i="22"/>
  <c r="I64" i="22"/>
  <c r="I190" i="22"/>
  <c r="I66" i="22"/>
  <c r="I192" i="22"/>
  <c r="I67" i="22"/>
  <c r="I193" i="22"/>
  <c r="I68" i="22"/>
  <c r="I194" i="22"/>
  <c r="I69" i="22"/>
  <c r="I195" i="22"/>
  <c r="I70" i="22"/>
  <c r="I196" i="22"/>
  <c r="I71" i="22"/>
  <c r="I197" i="22"/>
  <c r="D113" i="22"/>
  <c r="D60" i="22"/>
  <c r="D186" i="22"/>
  <c r="E113" i="22"/>
  <c r="E60" i="22"/>
  <c r="E186" i="22"/>
  <c r="F113" i="22"/>
  <c r="F60" i="22"/>
  <c r="F186" i="22"/>
  <c r="G113" i="22"/>
  <c r="G60" i="22"/>
  <c r="G186" i="22"/>
  <c r="D114" i="22"/>
  <c r="D61" i="22"/>
  <c r="D187" i="22"/>
  <c r="E114" i="22"/>
  <c r="E61" i="22"/>
  <c r="E187" i="22"/>
  <c r="F114" i="22"/>
  <c r="F61" i="22"/>
  <c r="F187" i="22"/>
  <c r="G114" i="22"/>
  <c r="G61" i="22"/>
  <c r="G187" i="22"/>
  <c r="D115" i="22"/>
  <c r="D62" i="22"/>
  <c r="D188" i="22"/>
  <c r="E115" i="22"/>
  <c r="E62" i="22"/>
  <c r="E188" i="22"/>
  <c r="F115" i="22"/>
  <c r="F62" i="22"/>
  <c r="F188" i="22"/>
  <c r="G115" i="22"/>
  <c r="G62" i="22"/>
  <c r="G188" i="22"/>
  <c r="D116" i="22"/>
  <c r="D63" i="22"/>
  <c r="D189" i="22"/>
  <c r="E116" i="22"/>
  <c r="E63" i="22"/>
  <c r="E189" i="22"/>
  <c r="F116" i="22"/>
  <c r="F63" i="22"/>
  <c r="F189" i="22"/>
  <c r="G116" i="22"/>
  <c r="G63" i="22"/>
  <c r="G189" i="22"/>
  <c r="D117" i="22"/>
  <c r="D64" i="22"/>
  <c r="D190" i="22"/>
  <c r="E117" i="22"/>
  <c r="E64" i="22"/>
  <c r="E190" i="22"/>
  <c r="F117" i="22"/>
  <c r="F64" i="22"/>
  <c r="F190" i="22"/>
  <c r="G117" i="22"/>
  <c r="G64" i="22"/>
  <c r="G190" i="22"/>
  <c r="D119" i="22"/>
  <c r="D66" i="22"/>
  <c r="D192" i="22"/>
  <c r="E119" i="22"/>
  <c r="E66" i="22"/>
  <c r="E192" i="22"/>
  <c r="F119" i="22"/>
  <c r="F66" i="22"/>
  <c r="F192" i="22"/>
  <c r="G119" i="22"/>
  <c r="G66" i="22"/>
  <c r="G192" i="22"/>
  <c r="D120" i="22"/>
  <c r="D67" i="22"/>
  <c r="D193" i="22"/>
  <c r="E120" i="22"/>
  <c r="E67" i="22"/>
  <c r="E193" i="22"/>
  <c r="F120" i="22"/>
  <c r="F67" i="22"/>
  <c r="F193" i="22"/>
  <c r="G120" i="22"/>
  <c r="G67" i="22"/>
  <c r="G193" i="22"/>
  <c r="D121" i="22"/>
  <c r="D68" i="22"/>
  <c r="D194" i="22"/>
  <c r="E121" i="22"/>
  <c r="E68" i="22"/>
  <c r="E194" i="22"/>
  <c r="F121" i="22"/>
  <c r="F68" i="22"/>
  <c r="F194" i="22"/>
  <c r="G121" i="22"/>
  <c r="G68" i="22"/>
  <c r="G194" i="22"/>
  <c r="D122" i="22"/>
  <c r="D69" i="22"/>
  <c r="D195" i="22"/>
  <c r="E122" i="22"/>
  <c r="E69" i="22"/>
  <c r="E195" i="22"/>
  <c r="F122" i="22"/>
  <c r="F69" i="22"/>
  <c r="F195" i="22"/>
  <c r="G122" i="22"/>
  <c r="G69" i="22"/>
  <c r="G195" i="22"/>
  <c r="D123" i="22"/>
  <c r="D70" i="22"/>
  <c r="D196" i="22"/>
  <c r="E123" i="22"/>
  <c r="E70" i="22"/>
  <c r="E196" i="22"/>
  <c r="F123" i="22"/>
  <c r="F70" i="22"/>
  <c r="F196" i="22"/>
  <c r="G123" i="22"/>
  <c r="G70" i="22"/>
  <c r="G196" i="22"/>
  <c r="D124" i="22"/>
  <c r="D71" i="22"/>
  <c r="D197" i="22"/>
  <c r="E124" i="22"/>
  <c r="E71" i="22"/>
  <c r="E197" i="22"/>
  <c r="F124" i="22"/>
  <c r="F71" i="22"/>
  <c r="F197" i="22"/>
  <c r="G124" i="22"/>
  <c r="G71" i="22"/>
  <c r="G197" i="22"/>
  <c r="H114" i="22"/>
  <c r="H61" i="22"/>
  <c r="H187" i="22"/>
  <c r="H115" i="22"/>
  <c r="H62" i="22"/>
  <c r="H188" i="22"/>
  <c r="H116" i="22"/>
  <c r="H63" i="22"/>
  <c r="H189" i="22"/>
  <c r="H117" i="22"/>
  <c r="H64" i="22"/>
  <c r="H190" i="22"/>
  <c r="H119" i="22"/>
  <c r="H66" i="22"/>
  <c r="H192" i="22"/>
  <c r="H120" i="22"/>
  <c r="H67" i="22"/>
  <c r="H193" i="22"/>
  <c r="H121" i="22"/>
  <c r="H68" i="22"/>
  <c r="H194" i="22"/>
  <c r="H122" i="22"/>
  <c r="H69" i="22"/>
  <c r="H195" i="22"/>
  <c r="H123" i="22"/>
  <c r="H70" i="22"/>
  <c r="H196" i="22"/>
  <c r="H124" i="22"/>
  <c r="H71" i="22"/>
  <c r="H197" i="22"/>
  <c r="H113" i="22"/>
  <c r="H60" i="22"/>
  <c r="H186" i="22"/>
  <c r="E198" i="22"/>
  <c r="F198" i="22"/>
  <c r="G198" i="22"/>
  <c r="H198" i="22"/>
  <c r="I198" i="22"/>
  <c r="D198" i="22"/>
  <c r="J61" i="22"/>
  <c r="J187" i="22"/>
  <c r="J62" i="22"/>
  <c r="J188" i="22"/>
  <c r="J63" i="22"/>
  <c r="J189" i="22"/>
  <c r="J64" i="22"/>
  <c r="J190" i="22"/>
  <c r="J66" i="22"/>
  <c r="J192" i="22"/>
  <c r="J67" i="22"/>
  <c r="J193" i="22"/>
  <c r="J68" i="22"/>
  <c r="J194" i="22"/>
  <c r="J69" i="22"/>
  <c r="J195" i="22"/>
  <c r="J70" i="22"/>
  <c r="J196" i="22"/>
  <c r="J71" i="22"/>
  <c r="J197" i="22"/>
  <c r="J60" i="22"/>
  <c r="J72" i="22"/>
  <c r="J198" i="22"/>
  <c r="J186" i="22"/>
  <c r="K186" i="22"/>
  <c r="K187" i="22"/>
  <c r="K188" i="22"/>
  <c r="K189" i="22"/>
  <c r="K190" i="22"/>
  <c r="K191" i="22"/>
  <c r="K192" i="22"/>
  <c r="K193" i="22"/>
  <c r="K194" i="22"/>
  <c r="K195" i="22"/>
  <c r="K196" i="22"/>
  <c r="K197" i="22"/>
  <c r="K198" i="22"/>
  <c r="K62" i="22"/>
  <c r="G10" i="22"/>
  <c r="H10" i="22"/>
  <c r="K61" i="22"/>
  <c r="G9" i="22"/>
  <c r="H9" i="22"/>
  <c r="K63" i="22"/>
  <c r="G11" i="22"/>
  <c r="H11" i="22"/>
  <c r="K64" i="22"/>
  <c r="G12" i="22"/>
  <c r="H12" i="22"/>
  <c r="K65" i="22"/>
  <c r="G13" i="22"/>
  <c r="H13" i="22"/>
  <c r="K66" i="22"/>
  <c r="G14" i="22"/>
  <c r="H14" i="22"/>
  <c r="H20" i="22"/>
  <c r="I10" i="22"/>
  <c r="I11" i="22"/>
  <c r="I52" i="22"/>
  <c r="I50" i="22"/>
  <c r="I114" i="22"/>
  <c r="I115" i="22"/>
  <c r="I116" i="22"/>
  <c r="I117" i="22"/>
  <c r="I118" i="22"/>
  <c r="I119" i="22"/>
  <c r="I9" i="22"/>
  <c r="E75" i="10"/>
  <c r="E76" i="10"/>
  <c r="I13" i="22"/>
  <c r="E77" i="10"/>
  <c r="I14" i="22"/>
  <c r="E78" i="10"/>
  <c r="I16" i="22"/>
  <c r="E79" i="10"/>
  <c r="I17" i="22"/>
  <c r="E80" i="10"/>
  <c r="I19" i="22"/>
  <c r="E81" i="10"/>
  <c r="E74" i="10"/>
  <c r="D7" i="19"/>
  <c r="U33" i="11"/>
  <c r="U34" i="11"/>
  <c r="U35" i="11"/>
  <c r="U36" i="11"/>
  <c r="U37" i="11"/>
  <c r="U38" i="11"/>
  <c r="T33" i="11"/>
  <c r="T34" i="11"/>
  <c r="T35" i="11"/>
  <c r="T36" i="11"/>
  <c r="T37" i="11"/>
  <c r="S33" i="11"/>
  <c r="S34" i="11"/>
  <c r="S35" i="11"/>
  <c r="S36" i="11"/>
  <c r="R33" i="11"/>
  <c r="R34" i="11"/>
  <c r="R35" i="11"/>
  <c r="Q33" i="11"/>
  <c r="Q34" i="11"/>
  <c r="P33" i="11"/>
  <c r="U8" i="11"/>
  <c r="U9" i="11"/>
  <c r="U10" i="11"/>
  <c r="U11" i="11"/>
  <c r="U12" i="11"/>
  <c r="U13" i="11"/>
  <c r="T8" i="11"/>
  <c r="T9" i="11"/>
  <c r="T10" i="11"/>
  <c r="T11" i="11"/>
  <c r="T12" i="11"/>
  <c r="S8" i="11"/>
  <c r="S9" i="11"/>
  <c r="S10" i="11"/>
  <c r="S11" i="11"/>
  <c r="R8" i="11"/>
  <c r="R9" i="11"/>
  <c r="R10" i="11"/>
  <c r="Q8" i="11"/>
  <c r="Q9" i="11"/>
  <c r="P8" i="11"/>
  <c r="G55" i="22"/>
  <c r="J53" i="22"/>
  <c r="J54" i="22"/>
  <c r="J51" i="22"/>
  <c r="J50" i="22"/>
  <c r="J52" i="22"/>
  <c r="J55" i="22"/>
  <c r="J9" i="22"/>
  <c r="J10" i="22"/>
  <c r="J11" i="22"/>
  <c r="J12" i="22"/>
  <c r="J13" i="22"/>
  <c r="J14" i="22"/>
  <c r="I120" i="22"/>
  <c r="K67" i="22"/>
  <c r="J15" i="22"/>
  <c r="I121" i="22"/>
  <c r="K68" i="22"/>
  <c r="J16" i="22"/>
  <c r="I122" i="22"/>
  <c r="K69" i="22"/>
  <c r="J17" i="22"/>
  <c r="I123" i="22"/>
  <c r="K70" i="22"/>
  <c r="J18" i="22"/>
  <c r="I124" i="22"/>
  <c r="K71" i="22"/>
  <c r="J19" i="22"/>
  <c r="I113" i="22"/>
  <c r="K60" i="22"/>
  <c r="J8" i="22"/>
  <c r="I51" i="22"/>
  <c r="I53" i="22"/>
  <c r="I54" i="22"/>
  <c r="E65" i="10"/>
  <c r="F65" i="10"/>
  <c r="G65" i="10"/>
  <c r="H65" i="10"/>
  <c r="I65" i="10"/>
  <c r="J65" i="10"/>
  <c r="E7" i="10"/>
  <c r="F7" i="10"/>
  <c r="G7" i="10"/>
  <c r="H7" i="10"/>
  <c r="I7" i="10"/>
  <c r="J7" i="10"/>
  <c r="K7" i="10"/>
  <c r="L7" i="10"/>
  <c r="M7" i="10"/>
  <c r="N7" i="10"/>
  <c r="O7" i="10"/>
  <c r="P7" i="10"/>
  <c r="Q7" i="10"/>
  <c r="R7" i="10"/>
  <c r="S7" i="10"/>
  <c r="T7" i="10"/>
  <c r="U7" i="10"/>
  <c r="V7" i="10"/>
  <c r="W7" i="10"/>
  <c r="X7" i="10"/>
  <c r="Y7" i="10"/>
  <c r="Z7" i="10"/>
  <c r="AA7" i="10"/>
  <c r="AB7" i="10"/>
  <c r="AC7" i="10"/>
  <c r="AD7" i="10"/>
  <c r="AE7" i="10"/>
  <c r="AF7" i="10"/>
  <c r="AG7" i="10"/>
  <c r="AH7" i="10"/>
  <c r="AI7" i="10"/>
  <c r="AJ7" i="10"/>
  <c r="AK7" i="10"/>
  <c r="AL7" i="10"/>
  <c r="E8" i="10"/>
  <c r="F8" i="10"/>
  <c r="G8" i="10"/>
  <c r="H8" i="10"/>
  <c r="I8" i="10"/>
  <c r="J8" i="10"/>
  <c r="K8" i="10"/>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E9" i="10"/>
  <c r="F9" i="10"/>
  <c r="G9" i="10"/>
  <c r="H9" i="10"/>
  <c r="I9" i="10"/>
  <c r="J9" i="10"/>
  <c r="K9" i="10"/>
  <c r="L9" i="10"/>
  <c r="M9" i="10"/>
  <c r="N9" i="10"/>
  <c r="O9" i="10"/>
  <c r="P9" i="10"/>
  <c r="Q9" i="10"/>
  <c r="R9" i="10"/>
  <c r="S9" i="10"/>
  <c r="T9" i="10"/>
  <c r="U9" i="10"/>
  <c r="V9" i="10"/>
  <c r="W9" i="10"/>
  <c r="X9" i="10"/>
  <c r="Y9" i="10"/>
  <c r="Z9" i="10"/>
  <c r="AA9" i="10"/>
  <c r="AB9" i="10"/>
  <c r="AC9" i="10"/>
  <c r="AD9" i="10"/>
  <c r="AE9" i="10"/>
  <c r="AF9" i="10"/>
  <c r="AG9" i="10"/>
  <c r="AH9" i="10"/>
  <c r="AI9" i="10"/>
  <c r="AJ9" i="10"/>
  <c r="AK9" i="10"/>
  <c r="AL9" i="10"/>
  <c r="F76" i="10"/>
  <c r="G76" i="10"/>
  <c r="H76" i="10"/>
  <c r="I76" i="10"/>
  <c r="J76" i="10"/>
  <c r="E35" i="10"/>
  <c r="F77" i="10"/>
  <c r="G77" i="10"/>
  <c r="H77" i="10"/>
  <c r="I77" i="10"/>
  <c r="J77" i="10"/>
  <c r="E36" i="10"/>
  <c r="F78" i="10"/>
  <c r="G78" i="10"/>
  <c r="H78" i="10"/>
  <c r="I78" i="10"/>
  <c r="J78" i="10"/>
  <c r="E37" i="10"/>
  <c r="F79" i="10"/>
  <c r="G79" i="10"/>
  <c r="H79" i="10"/>
  <c r="I79" i="10"/>
  <c r="J79" i="10"/>
  <c r="E38" i="10"/>
  <c r="F80" i="10"/>
  <c r="G80" i="10"/>
  <c r="H80" i="10"/>
  <c r="I80" i="10"/>
  <c r="J80" i="10"/>
  <c r="E39" i="10"/>
  <c r="F81" i="10"/>
  <c r="G81" i="10"/>
  <c r="H81" i="10"/>
  <c r="I81" i="10"/>
  <c r="J81" i="10"/>
  <c r="E40" i="10"/>
  <c r="F75" i="10"/>
  <c r="G75" i="10"/>
  <c r="H75" i="10"/>
  <c r="I75" i="10"/>
  <c r="J75" i="10"/>
  <c r="E34" i="10"/>
  <c r="I20" i="22"/>
  <c r="C63" i="11"/>
  <c r="G52" i="22"/>
  <c r="F52" i="22"/>
  <c r="E52" i="22"/>
  <c r="D52" i="22"/>
  <c r="G51" i="22"/>
  <c r="F51" i="22"/>
  <c r="E51" i="22"/>
  <c r="D51" i="22"/>
  <c r="H45" i="22"/>
  <c r="G45" i="22"/>
  <c r="F45" i="22"/>
  <c r="E45" i="22"/>
  <c r="D45" i="22"/>
  <c r="E37" i="22"/>
  <c r="G36" i="22"/>
  <c r="F19" i="22"/>
  <c r="G35" i="22"/>
  <c r="F18" i="22"/>
  <c r="G34" i="22"/>
  <c r="F17" i="22"/>
  <c r="G33" i="22"/>
  <c r="F33" i="22"/>
  <c r="E16" i="22"/>
  <c r="G32" i="22"/>
  <c r="F32" i="22"/>
  <c r="E15" i="22"/>
  <c r="G31" i="22"/>
  <c r="F31" i="22"/>
  <c r="E14" i="22"/>
  <c r="G30" i="22"/>
  <c r="F13" i="22"/>
  <c r="G29" i="22"/>
  <c r="F29" i="22"/>
  <c r="E12" i="22"/>
  <c r="G28" i="22"/>
  <c r="F11" i="22"/>
  <c r="G27" i="22"/>
  <c r="F10" i="22"/>
  <c r="G26" i="22"/>
  <c r="F9" i="22"/>
  <c r="G25" i="22"/>
  <c r="F25" i="22"/>
  <c r="E8" i="22"/>
  <c r="F27" i="22"/>
  <c r="E10" i="22"/>
  <c r="F34" i="22"/>
  <c r="E17" i="22"/>
  <c r="H17" i="22"/>
  <c r="F28" i="22"/>
  <c r="E11" i="22"/>
  <c r="F30" i="22"/>
  <c r="E13" i="22"/>
  <c r="F36" i="22"/>
  <c r="E19" i="22"/>
  <c r="H19" i="22"/>
  <c r="F26" i="22"/>
  <c r="E9" i="22"/>
  <c r="F14" i="22"/>
  <c r="F35" i="22"/>
  <c r="E18" i="22"/>
  <c r="H18" i="22"/>
  <c r="F15" i="22"/>
  <c r="H15" i="22"/>
  <c r="F8" i="22"/>
  <c r="F12" i="22"/>
  <c r="G37" i="22"/>
  <c r="F16" i="22"/>
  <c r="H16" i="22"/>
  <c r="C132" i="10"/>
  <c r="C124" i="10"/>
  <c r="C116" i="10"/>
  <c r="C108" i="10"/>
  <c r="C100" i="10"/>
  <c r="C92" i="10"/>
  <c r="G15" i="19"/>
  <c r="G14" i="19"/>
  <c r="G13" i="19"/>
  <c r="F84" i="10" a="1"/>
  <c r="F86" i="10"/>
  <c r="G132" i="10" a="1"/>
  <c r="F116" i="10" a="1"/>
  <c r="F122" i="10"/>
  <c r="E100" i="10" a="1"/>
  <c r="N4" i="19"/>
  <c r="M4" i="19"/>
  <c r="L4" i="19"/>
  <c r="K4" i="19"/>
  <c r="J4" i="19"/>
  <c r="I4" i="19"/>
  <c r="H4" i="19"/>
  <c r="F9" i="19"/>
  <c r="F8" i="19"/>
  <c r="G7" i="19"/>
  <c r="F7" i="19"/>
  <c r="G6" i="19"/>
  <c r="G5" i="19"/>
  <c r="C9" i="18"/>
  <c r="D7" i="18"/>
  <c r="C7" i="18"/>
  <c r="D6" i="18"/>
  <c r="D5" i="18"/>
  <c r="C4" i="18"/>
  <c r="E3" i="18" a="1"/>
  <c r="I3" i="18"/>
  <c r="C17" i="18"/>
  <c r="D15" i="18"/>
  <c r="C15" i="18"/>
  <c r="D14" i="18"/>
  <c r="D13" i="18"/>
  <c r="C12" i="18"/>
  <c r="E11" i="18" a="1"/>
  <c r="C29" i="18"/>
  <c r="D27" i="18"/>
  <c r="C27" i="18"/>
  <c r="D26" i="18"/>
  <c r="C25" i="18"/>
  <c r="C24" i="18"/>
  <c r="D22" i="18"/>
  <c r="C22" i="18"/>
  <c r="D21" i="18"/>
  <c r="C20" i="18"/>
  <c r="E19" i="18" a="1"/>
  <c r="C38" i="18"/>
  <c r="C37" i="18"/>
  <c r="C36" i="18"/>
  <c r="C35" i="18"/>
  <c r="C34" i="18"/>
  <c r="C33" i="18"/>
  <c r="C32" i="18"/>
  <c r="E31" i="18" a="1"/>
  <c r="R31" i="18"/>
  <c r="C47" i="18"/>
  <c r="C46" i="18"/>
  <c r="C45" i="18"/>
  <c r="C44" i="18"/>
  <c r="C43" i="18"/>
  <c r="C42" i="18"/>
  <c r="C41" i="18"/>
  <c r="E40" i="18" a="1"/>
  <c r="W40" i="18"/>
  <c r="C56" i="18"/>
  <c r="C55" i="18"/>
  <c r="C54" i="18"/>
  <c r="C53" i="18"/>
  <c r="C52" i="18"/>
  <c r="C51" i="18"/>
  <c r="C50" i="18"/>
  <c r="E49" i="18" a="1"/>
  <c r="H49" i="18"/>
  <c r="C65" i="18"/>
  <c r="C64" i="18"/>
  <c r="C63" i="18"/>
  <c r="C62" i="18"/>
  <c r="C61" i="18"/>
  <c r="C60" i="18"/>
  <c r="C59" i="18"/>
  <c r="E58" i="18" a="1"/>
  <c r="C74" i="18"/>
  <c r="C73" i="18"/>
  <c r="C72" i="18"/>
  <c r="C71" i="18"/>
  <c r="C70" i="18"/>
  <c r="C69" i="18"/>
  <c r="C68" i="18"/>
  <c r="E67" i="18" a="1"/>
  <c r="C83" i="18"/>
  <c r="C82" i="18"/>
  <c r="C81" i="18"/>
  <c r="C80" i="18"/>
  <c r="C79" i="18"/>
  <c r="C78" i="18"/>
  <c r="C77" i="18"/>
  <c r="E76" i="18" a="1"/>
  <c r="C92" i="18"/>
  <c r="C91" i="18"/>
  <c r="C90" i="18"/>
  <c r="C89" i="18"/>
  <c r="C88" i="18"/>
  <c r="C87" i="18"/>
  <c r="C86" i="18"/>
  <c r="E85" i="18" a="1"/>
  <c r="C101" i="18"/>
  <c r="C100" i="18"/>
  <c r="C99" i="18"/>
  <c r="C98" i="18"/>
  <c r="C97" i="18"/>
  <c r="C96" i="18"/>
  <c r="C95" i="18"/>
  <c r="E94" i="18" a="1"/>
  <c r="P94" i="18"/>
  <c r="C189" i="18"/>
  <c r="D187" i="18"/>
  <c r="C187" i="18"/>
  <c r="D186" i="18"/>
  <c r="C186" i="18"/>
  <c r="D185" i="18"/>
  <c r="C184" i="18"/>
  <c r="C183" i="18"/>
  <c r="D181" i="18"/>
  <c r="C181" i="18"/>
  <c r="D180" i="18"/>
  <c r="C180" i="18"/>
  <c r="D179" i="18"/>
  <c r="C178" i="18"/>
  <c r="C177" i="18"/>
  <c r="D175" i="18"/>
  <c r="C175" i="18"/>
  <c r="D174" i="18"/>
  <c r="C174" i="18"/>
  <c r="D173" i="18"/>
  <c r="C172" i="18"/>
  <c r="C171" i="18"/>
  <c r="D169" i="18"/>
  <c r="C169" i="18"/>
  <c r="D168" i="18"/>
  <c r="C168" i="18"/>
  <c r="D167" i="18"/>
  <c r="C166" i="18"/>
  <c r="C165" i="18"/>
  <c r="D163" i="18"/>
  <c r="C163" i="18"/>
  <c r="D162" i="18"/>
  <c r="C162" i="18"/>
  <c r="D161" i="18"/>
  <c r="C160" i="18"/>
  <c r="C159" i="18"/>
  <c r="D157" i="18"/>
  <c r="C157" i="18"/>
  <c r="D156" i="18"/>
  <c r="C156" i="18"/>
  <c r="D155" i="18"/>
  <c r="C154" i="18"/>
  <c r="C153" i="18"/>
  <c r="D151" i="18"/>
  <c r="C151" i="18"/>
  <c r="D150" i="18"/>
  <c r="C150" i="18"/>
  <c r="D149" i="18"/>
  <c r="C148" i="18"/>
  <c r="C147" i="18"/>
  <c r="C146" i="18"/>
  <c r="D144" i="18"/>
  <c r="C144" i="18"/>
  <c r="D143" i="18"/>
  <c r="C143" i="18"/>
  <c r="D142" i="18"/>
  <c r="C141" i="18"/>
  <c r="C140" i="18"/>
  <c r="D138" i="18"/>
  <c r="C138" i="18"/>
  <c r="D137" i="18"/>
  <c r="C137" i="18"/>
  <c r="D136" i="18"/>
  <c r="C135" i="18"/>
  <c r="C134" i="18"/>
  <c r="D132" i="18"/>
  <c r="C132" i="18"/>
  <c r="D131" i="18"/>
  <c r="C131" i="18"/>
  <c r="D130" i="18"/>
  <c r="C129" i="18"/>
  <c r="C128" i="18"/>
  <c r="D126" i="18"/>
  <c r="C126" i="18"/>
  <c r="D125" i="18"/>
  <c r="C125" i="18"/>
  <c r="D124" i="18"/>
  <c r="C123" i="18"/>
  <c r="C122" i="18"/>
  <c r="D120" i="18"/>
  <c r="C120" i="18"/>
  <c r="D119" i="18"/>
  <c r="C119" i="18"/>
  <c r="D118" i="18"/>
  <c r="C117" i="18"/>
  <c r="C116" i="18"/>
  <c r="D114" i="18"/>
  <c r="C114" i="18"/>
  <c r="D113" i="18"/>
  <c r="C113" i="18"/>
  <c r="D112" i="18"/>
  <c r="C111" i="18"/>
  <c r="C110" i="18"/>
  <c r="D108" i="18"/>
  <c r="C108" i="18"/>
  <c r="D107" i="18"/>
  <c r="C107" i="18"/>
  <c r="D106" i="18"/>
  <c r="C105" i="18"/>
  <c r="C104" i="18"/>
  <c r="E103" i="18" a="1"/>
  <c r="C9" i="17"/>
  <c r="D7" i="17"/>
  <c r="C7" i="17"/>
  <c r="D6" i="17"/>
  <c r="D5" i="17"/>
  <c r="C4" i="17"/>
  <c r="E3" i="17" a="1"/>
  <c r="C17" i="17"/>
  <c r="D15" i="17"/>
  <c r="C15" i="17"/>
  <c r="D14" i="17"/>
  <c r="D13" i="17"/>
  <c r="C12" i="17"/>
  <c r="E11" i="17" a="1"/>
  <c r="AI11" i="17"/>
  <c r="C29" i="17"/>
  <c r="D27" i="17"/>
  <c r="C27" i="17"/>
  <c r="D26" i="17"/>
  <c r="C25" i="17"/>
  <c r="C24" i="17"/>
  <c r="D22" i="17"/>
  <c r="C22" i="17"/>
  <c r="D21" i="17"/>
  <c r="C20" i="17"/>
  <c r="E19" i="17" a="1"/>
  <c r="C38" i="17"/>
  <c r="C37" i="17"/>
  <c r="C36" i="17"/>
  <c r="C35" i="17"/>
  <c r="C34" i="17"/>
  <c r="C33" i="17"/>
  <c r="C32" i="17"/>
  <c r="E31" i="17" a="1"/>
  <c r="C47" i="17"/>
  <c r="C46" i="17"/>
  <c r="C45" i="17"/>
  <c r="C44" i="17"/>
  <c r="C43" i="17"/>
  <c r="C42" i="17"/>
  <c r="C41" i="17"/>
  <c r="E40" i="17" a="1"/>
  <c r="M40" i="17"/>
  <c r="C56" i="17"/>
  <c r="C55" i="17"/>
  <c r="C54" i="17"/>
  <c r="C53" i="17"/>
  <c r="C52" i="17"/>
  <c r="C51" i="17"/>
  <c r="C50" i="17"/>
  <c r="E49" i="17" a="1"/>
  <c r="C65" i="17"/>
  <c r="C64" i="17"/>
  <c r="C63" i="17"/>
  <c r="C62" i="17"/>
  <c r="C61" i="17"/>
  <c r="C60" i="17"/>
  <c r="C59" i="17"/>
  <c r="E58" i="17" a="1"/>
  <c r="F58" i="17"/>
  <c r="C74" i="17"/>
  <c r="C73" i="17"/>
  <c r="C72" i="17"/>
  <c r="C71" i="17"/>
  <c r="C70" i="17"/>
  <c r="C69" i="17"/>
  <c r="C68" i="17"/>
  <c r="E67" i="17" a="1"/>
  <c r="C83" i="17"/>
  <c r="C82" i="17"/>
  <c r="C81" i="17"/>
  <c r="C80" i="17"/>
  <c r="C79" i="17"/>
  <c r="C78" i="17"/>
  <c r="C77" i="17"/>
  <c r="E76" i="17" a="1"/>
  <c r="C92" i="17"/>
  <c r="C91" i="17"/>
  <c r="C90" i="17"/>
  <c r="C89" i="17"/>
  <c r="C88" i="17"/>
  <c r="C87" i="17"/>
  <c r="C86" i="17"/>
  <c r="E85" i="17" a="1"/>
  <c r="C101" i="17"/>
  <c r="C100" i="17"/>
  <c r="C99" i="17"/>
  <c r="C98" i="17"/>
  <c r="C97" i="17"/>
  <c r="C96" i="17"/>
  <c r="C95" i="17"/>
  <c r="E94" i="17" a="1"/>
  <c r="C189" i="17"/>
  <c r="D187" i="17"/>
  <c r="C187" i="17"/>
  <c r="D186" i="17"/>
  <c r="C186" i="17"/>
  <c r="D185" i="17"/>
  <c r="C184" i="17"/>
  <c r="C183" i="17"/>
  <c r="D181" i="17"/>
  <c r="C181" i="17"/>
  <c r="D180" i="17"/>
  <c r="C180" i="17"/>
  <c r="D179" i="17"/>
  <c r="C178" i="17"/>
  <c r="C177" i="17"/>
  <c r="D175" i="17"/>
  <c r="C175" i="17"/>
  <c r="D174" i="17"/>
  <c r="C174" i="17"/>
  <c r="D173" i="17"/>
  <c r="C172" i="17"/>
  <c r="C171" i="17"/>
  <c r="D169" i="17"/>
  <c r="C169" i="17"/>
  <c r="D168" i="17"/>
  <c r="C168" i="17"/>
  <c r="D167" i="17"/>
  <c r="C166" i="17"/>
  <c r="C165" i="17"/>
  <c r="D163" i="17"/>
  <c r="C163" i="17"/>
  <c r="D162" i="17"/>
  <c r="C162" i="17"/>
  <c r="D161" i="17"/>
  <c r="C160" i="17"/>
  <c r="C159" i="17"/>
  <c r="D157" i="17"/>
  <c r="C157" i="17"/>
  <c r="D156" i="17"/>
  <c r="C156" i="17"/>
  <c r="D155" i="17"/>
  <c r="C154" i="17"/>
  <c r="C153" i="17"/>
  <c r="D151" i="17"/>
  <c r="C151" i="17"/>
  <c r="D150" i="17"/>
  <c r="C150" i="17"/>
  <c r="D149" i="17"/>
  <c r="C148" i="17"/>
  <c r="C147" i="17"/>
  <c r="C146" i="17"/>
  <c r="D144" i="17"/>
  <c r="C144" i="17"/>
  <c r="D143" i="17"/>
  <c r="C143" i="17"/>
  <c r="D142" i="17"/>
  <c r="C141" i="17"/>
  <c r="C140" i="17"/>
  <c r="D138" i="17"/>
  <c r="C138" i="17"/>
  <c r="D137" i="17"/>
  <c r="C137" i="17"/>
  <c r="D136" i="17"/>
  <c r="C135" i="17"/>
  <c r="C134" i="17"/>
  <c r="D132" i="17"/>
  <c r="C132" i="17"/>
  <c r="D131" i="17"/>
  <c r="C131" i="17"/>
  <c r="D130" i="17"/>
  <c r="C129" i="17"/>
  <c r="C128" i="17"/>
  <c r="D126" i="17"/>
  <c r="C126" i="17"/>
  <c r="D125" i="17"/>
  <c r="C125" i="17"/>
  <c r="D124" i="17"/>
  <c r="C123" i="17"/>
  <c r="C122" i="17"/>
  <c r="D120" i="17"/>
  <c r="C120" i="17"/>
  <c r="D119" i="17"/>
  <c r="C119" i="17"/>
  <c r="D118" i="17"/>
  <c r="C117" i="17"/>
  <c r="C116" i="17"/>
  <c r="D114" i="17"/>
  <c r="C114" i="17"/>
  <c r="D113" i="17"/>
  <c r="C113" i="17"/>
  <c r="D112" i="17"/>
  <c r="C111" i="17"/>
  <c r="C110" i="17"/>
  <c r="D108" i="17"/>
  <c r="C108" i="17"/>
  <c r="D107" i="17"/>
  <c r="C107" i="17"/>
  <c r="D106" i="17"/>
  <c r="C105" i="17"/>
  <c r="C104" i="17"/>
  <c r="E103" i="17" a="1"/>
  <c r="C9" i="16"/>
  <c r="D7" i="16"/>
  <c r="C7" i="16"/>
  <c r="D6" i="16"/>
  <c r="D5" i="16"/>
  <c r="C4" i="16"/>
  <c r="E3" i="16" a="1"/>
  <c r="C17" i="16"/>
  <c r="D15" i="16"/>
  <c r="C15" i="16"/>
  <c r="D14" i="16"/>
  <c r="D13" i="16"/>
  <c r="C12" i="16"/>
  <c r="E11" i="16" a="1"/>
  <c r="C29" i="16"/>
  <c r="D27" i="16"/>
  <c r="C27" i="16"/>
  <c r="D26" i="16"/>
  <c r="C25" i="16"/>
  <c r="C24" i="16"/>
  <c r="D22" i="16"/>
  <c r="C22" i="16"/>
  <c r="D21" i="16"/>
  <c r="C20" i="16"/>
  <c r="E19" i="16" a="1"/>
  <c r="E19" i="16"/>
  <c r="C38" i="16"/>
  <c r="C37" i="16"/>
  <c r="C36" i="16"/>
  <c r="C35" i="16"/>
  <c r="C34" i="16"/>
  <c r="C33" i="16"/>
  <c r="C32" i="16"/>
  <c r="E31" i="16" a="1"/>
  <c r="C47" i="16"/>
  <c r="C46" i="16"/>
  <c r="C45" i="16"/>
  <c r="C44" i="16"/>
  <c r="C43" i="16"/>
  <c r="C42" i="16"/>
  <c r="C41" i="16"/>
  <c r="E40" i="16" a="1"/>
  <c r="C56" i="16"/>
  <c r="C55" i="16"/>
  <c r="C54" i="16"/>
  <c r="C53" i="16"/>
  <c r="C52" i="16"/>
  <c r="C51" i="16"/>
  <c r="C50" i="16"/>
  <c r="E49" i="16" a="1"/>
  <c r="L49" i="16"/>
  <c r="C65" i="16"/>
  <c r="C64" i="16"/>
  <c r="C63" i="16"/>
  <c r="C62" i="16"/>
  <c r="C61" i="16"/>
  <c r="C60" i="16"/>
  <c r="C59" i="16"/>
  <c r="E58" i="16" a="1"/>
  <c r="AH58" i="16"/>
  <c r="C74" i="16"/>
  <c r="C73" i="16"/>
  <c r="C72" i="16"/>
  <c r="C71" i="16"/>
  <c r="C70" i="16"/>
  <c r="C69" i="16"/>
  <c r="C68" i="16"/>
  <c r="E67" i="16" a="1"/>
  <c r="C83" i="16"/>
  <c r="C82" i="16"/>
  <c r="C81" i="16"/>
  <c r="C80" i="16"/>
  <c r="C79" i="16"/>
  <c r="C78" i="16"/>
  <c r="C77" i="16"/>
  <c r="E76" i="16" a="1"/>
  <c r="C92" i="16"/>
  <c r="C91" i="16"/>
  <c r="C90" i="16"/>
  <c r="C89" i="16"/>
  <c r="C88" i="16"/>
  <c r="C87" i="16"/>
  <c r="C86" i="16"/>
  <c r="E85" i="16" a="1"/>
  <c r="C101" i="16"/>
  <c r="C100" i="16"/>
  <c r="C99" i="16"/>
  <c r="C98" i="16"/>
  <c r="C97" i="16"/>
  <c r="C96" i="16"/>
  <c r="C95" i="16"/>
  <c r="E94" i="16" a="1"/>
  <c r="C189" i="16"/>
  <c r="D187" i="16"/>
  <c r="C187" i="16"/>
  <c r="D186" i="16"/>
  <c r="C186" i="16"/>
  <c r="D185" i="16"/>
  <c r="C184" i="16"/>
  <c r="C183" i="16"/>
  <c r="D181" i="16"/>
  <c r="C181" i="16"/>
  <c r="D180" i="16"/>
  <c r="C180" i="16"/>
  <c r="D179" i="16"/>
  <c r="C178" i="16"/>
  <c r="C177" i="16"/>
  <c r="D175" i="16"/>
  <c r="C175" i="16"/>
  <c r="D174" i="16"/>
  <c r="C174" i="16"/>
  <c r="D173" i="16"/>
  <c r="C172" i="16"/>
  <c r="C171" i="16"/>
  <c r="D169" i="16"/>
  <c r="C169" i="16"/>
  <c r="D168" i="16"/>
  <c r="C168" i="16"/>
  <c r="D167" i="16"/>
  <c r="C166" i="16"/>
  <c r="C165" i="16"/>
  <c r="D163" i="16"/>
  <c r="C163" i="16"/>
  <c r="D162" i="16"/>
  <c r="C162" i="16"/>
  <c r="D161" i="16"/>
  <c r="C160" i="16"/>
  <c r="C159" i="16"/>
  <c r="D157" i="16"/>
  <c r="C157" i="16"/>
  <c r="D156" i="16"/>
  <c r="C156" i="16"/>
  <c r="D155" i="16"/>
  <c r="C154" i="16"/>
  <c r="C153" i="16"/>
  <c r="D151" i="16"/>
  <c r="C151" i="16"/>
  <c r="D150" i="16"/>
  <c r="C150" i="16"/>
  <c r="D149" i="16"/>
  <c r="C148" i="16"/>
  <c r="C147" i="16"/>
  <c r="C146" i="16"/>
  <c r="D144" i="16"/>
  <c r="C144" i="16"/>
  <c r="D143" i="16"/>
  <c r="C143" i="16"/>
  <c r="D142" i="16"/>
  <c r="C141" i="16"/>
  <c r="C140" i="16"/>
  <c r="D138" i="16"/>
  <c r="C138" i="16"/>
  <c r="D137" i="16"/>
  <c r="C137" i="16"/>
  <c r="D136" i="16"/>
  <c r="C135" i="16"/>
  <c r="C134" i="16"/>
  <c r="D132" i="16"/>
  <c r="C132" i="16"/>
  <c r="D131" i="16"/>
  <c r="C131" i="16"/>
  <c r="D130" i="16"/>
  <c r="C129" i="16"/>
  <c r="C128" i="16"/>
  <c r="D126" i="16"/>
  <c r="C126" i="16"/>
  <c r="D125" i="16"/>
  <c r="C125" i="16"/>
  <c r="D124" i="16"/>
  <c r="C123" i="16"/>
  <c r="C122" i="16"/>
  <c r="D120" i="16"/>
  <c r="C120" i="16"/>
  <c r="D119" i="16"/>
  <c r="C119" i="16"/>
  <c r="D118" i="16"/>
  <c r="C117" i="16"/>
  <c r="C116" i="16"/>
  <c r="D114" i="16"/>
  <c r="C114" i="16"/>
  <c r="D113" i="16"/>
  <c r="C113" i="16"/>
  <c r="D112" i="16"/>
  <c r="C111" i="16"/>
  <c r="C110" i="16"/>
  <c r="D108" i="16"/>
  <c r="C108" i="16"/>
  <c r="D107" i="16"/>
  <c r="C107" i="16"/>
  <c r="D106" i="16"/>
  <c r="C105" i="16"/>
  <c r="C104" i="16"/>
  <c r="E103" i="16" a="1"/>
  <c r="C9" i="15"/>
  <c r="D7" i="15"/>
  <c r="C7" i="15"/>
  <c r="D6" i="15"/>
  <c r="D5" i="15"/>
  <c r="C4" i="15"/>
  <c r="E3" i="15" a="1"/>
  <c r="C17" i="15"/>
  <c r="D15" i="15"/>
  <c r="C15" i="15"/>
  <c r="D14" i="15"/>
  <c r="D13" i="15"/>
  <c r="C12" i="15"/>
  <c r="E11" i="15" a="1"/>
  <c r="C29" i="15"/>
  <c r="D27" i="15"/>
  <c r="C27" i="15"/>
  <c r="D26" i="15"/>
  <c r="C25" i="15"/>
  <c r="C24" i="15"/>
  <c r="D22" i="15"/>
  <c r="C22" i="15"/>
  <c r="D21" i="15"/>
  <c r="C20" i="15"/>
  <c r="E19" i="15" a="1"/>
  <c r="C38" i="15"/>
  <c r="C37" i="15"/>
  <c r="C36" i="15"/>
  <c r="C35" i="15"/>
  <c r="C34" i="15"/>
  <c r="C33" i="15"/>
  <c r="C32" i="15"/>
  <c r="E31" i="15" a="1"/>
  <c r="C47" i="15"/>
  <c r="C46" i="15"/>
  <c r="C45" i="15"/>
  <c r="C44" i="15"/>
  <c r="C43" i="15"/>
  <c r="C42" i="15"/>
  <c r="C41" i="15"/>
  <c r="E40" i="15" a="1"/>
  <c r="R40" i="15"/>
  <c r="C56" i="15"/>
  <c r="C55" i="15"/>
  <c r="C54" i="15"/>
  <c r="C53" i="15"/>
  <c r="C52" i="15"/>
  <c r="C51" i="15"/>
  <c r="C50" i="15"/>
  <c r="E49" i="15" a="1"/>
  <c r="C65" i="15"/>
  <c r="C64" i="15"/>
  <c r="C63" i="15"/>
  <c r="C62" i="15"/>
  <c r="C61" i="15"/>
  <c r="C60" i="15"/>
  <c r="C59" i="15"/>
  <c r="E58" i="15" a="1"/>
  <c r="C74" i="15"/>
  <c r="C73" i="15"/>
  <c r="C72" i="15"/>
  <c r="C71" i="15"/>
  <c r="C70" i="15"/>
  <c r="C69" i="15"/>
  <c r="C68" i="15"/>
  <c r="E67" i="15" a="1"/>
  <c r="C83" i="15"/>
  <c r="C82" i="15"/>
  <c r="C81" i="15"/>
  <c r="C80" i="15"/>
  <c r="C79" i="15"/>
  <c r="C78" i="15"/>
  <c r="C77" i="15"/>
  <c r="E76" i="15" a="1"/>
  <c r="C92" i="15"/>
  <c r="C91" i="15"/>
  <c r="C90" i="15"/>
  <c r="C89" i="15"/>
  <c r="C88" i="15"/>
  <c r="C87" i="15"/>
  <c r="C86" i="15"/>
  <c r="E85" i="15" a="1"/>
  <c r="C101" i="15"/>
  <c r="C100" i="15"/>
  <c r="C99" i="15"/>
  <c r="C98" i="15"/>
  <c r="C97" i="15"/>
  <c r="C96" i="15"/>
  <c r="C95" i="15"/>
  <c r="E94" i="15" a="1"/>
  <c r="AL94" i="15"/>
  <c r="C189" i="15"/>
  <c r="D187" i="15"/>
  <c r="C187" i="15"/>
  <c r="D186" i="15"/>
  <c r="C186" i="15"/>
  <c r="D185" i="15"/>
  <c r="C184" i="15"/>
  <c r="C183" i="15"/>
  <c r="D181" i="15"/>
  <c r="C181" i="15"/>
  <c r="D180" i="15"/>
  <c r="C180" i="15"/>
  <c r="D179" i="15"/>
  <c r="C178" i="15"/>
  <c r="C177" i="15"/>
  <c r="D175" i="15"/>
  <c r="C175" i="15"/>
  <c r="D174" i="15"/>
  <c r="C174" i="15"/>
  <c r="D173" i="15"/>
  <c r="C172" i="15"/>
  <c r="C171" i="15"/>
  <c r="D169" i="15"/>
  <c r="C169" i="15"/>
  <c r="D168" i="15"/>
  <c r="C168" i="15"/>
  <c r="D167" i="15"/>
  <c r="C166" i="15"/>
  <c r="C165" i="15"/>
  <c r="D163" i="15"/>
  <c r="C163" i="15"/>
  <c r="D162" i="15"/>
  <c r="C162" i="15"/>
  <c r="D161" i="15"/>
  <c r="C160" i="15"/>
  <c r="C159" i="15"/>
  <c r="D157" i="15"/>
  <c r="C157" i="15"/>
  <c r="D156" i="15"/>
  <c r="C156" i="15"/>
  <c r="D155" i="15"/>
  <c r="C154" i="15"/>
  <c r="C153" i="15"/>
  <c r="D151" i="15"/>
  <c r="C151" i="15"/>
  <c r="D150" i="15"/>
  <c r="C150" i="15"/>
  <c r="D149" i="15"/>
  <c r="C148" i="15"/>
  <c r="C147" i="15"/>
  <c r="C146" i="15"/>
  <c r="D144" i="15"/>
  <c r="C144" i="15"/>
  <c r="D143" i="15"/>
  <c r="C143" i="15"/>
  <c r="D142" i="15"/>
  <c r="C141" i="15"/>
  <c r="C140" i="15"/>
  <c r="D138" i="15"/>
  <c r="C138" i="15"/>
  <c r="D137" i="15"/>
  <c r="C137" i="15"/>
  <c r="D136" i="15"/>
  <c r="C135" i="15"/>
  <c r="C134" i="15"/>
  <c r="D132" i="15"/>
  <c r="C132" i="15"/>
  <c r="D131" i="15"/>
  <c r="C131" i="15"/>
  <c r="D130" i="15"/>
  <c r="C129" i="15"/>
  <c r="C128" i="15"/>
  <c r="D126" i="15"/>
  <c r="C126" i="15"/>
  <c r="D125" i="15"/>
  <c r="C125" i="15"/>
  <c r="D124" i="15"/>
  <c r="C123" i="15"/>
  <c r="C122" i="15"/>
  <c r="D120" i="15"/>
  <c r="C120" i="15"/>
  <c r="D119" i="15"/>
  <c r="C119" i="15"/>
  <c r="D118" i="15"/>
  <c r="C117" i="15"/>
  <c r="C116" i="15"/>
  <c r="D114" i="15"/>
  <c r="C114" i="15"/>
  <c r="D113" i="15"/>
  <c r="C113" i="15"/>
  <c r="D112" i="15"/>
  <c r="C111" i="15"/>
  <c r="C110" i="15"/>
  <c r="D108" i="15"/>
  <c r="C108" i="15"/>
  <c r="D107" i="15"/>
  <c r="C107" i="15"/>
  <c r="D106" i="15"/>
  <c r="C105" i="15"/>
  <c r="C104" i="15"/>
  <c r="E103" i="15" a="1"/>
  <c r="E103" i="15"/>
  <c r="C9" i="14"/>
  <c r="D7" i="14"/>
  <c r="C7" i="14"/>
  <c r="D6" i="14"/>
  <c r="D5" i="14"/>
  <c r="C4" i="14"/>
  <c r="E3" i="14" a="1"/>
  <c r="E3" i="14"/>
  <c r="C17" i="14"/>
  <c r="D15" i="14"/>
  <c r="C15" i="14"/>
  <c r="D14" i="14"/>
  <c r="D13" i="14"/>
  <c r="C12" i="14"/>
  <c r="E11" i="14" a="1"/>
  <c r="C29" i="14"/>
  <c r="D27" i="14"/>
  <c r="C27" i="14"/>
  <c r="D26" i="14"/>
  <c r="C25" i="14"/>
  <c r="C24" i="14"/>
  <c r="D22" i="14"/>
  <c r="C22" i="14"/>
  <c r="D21" i="14"/>
  <c r="C20" i="14"/>
  <c r="E19" i="14" a="1"/>
  <c r="C38" i="14"/>
  <c r="C37" i="14"/>
  <c r="C36" i="14"/>
  <c r="C35" i="14"/>
  <c r="C34" i="14"/>
  <c r="C33" i="14"/>
  <c r="C32" i="14"/>
  <c r="E31" i="14" a="1"/>
  <c r="AA31" i="14"/>
  <c r="C47" i="14"/>
  <c r="C46" i="14"/>
  <c r="C45" i="14"/>
  <c r="C44" i="14"/>
  <c r="C43" i="14"/>
  <c r="C42" i="14"/>
  <c r="C41" i="14"/>
  <c r="E40" i="14" a="1"/>
  <c r="C56" i="14"/>
  <c r="C55" i="14"/>
  <c r="C54" i="14"/>
  <c r="C53" i="14"/>
  <c r="C52" i="14"/>
  <c r="C51" i="14"/>
  <c r="C50" i="14"/>
  <c r="E49" i="14" a="1"/>
  <c r="C65" i="14"/>
  <c r="C64" i="14"/>
  <c r="C63" i="14"/>
  <c r="C62" i="14"/>
  <c r="C61" i="14"/>
  <c r="C60" i="14"/>
  <c r="C59" i="14"/>
  <c r="E58" i="14" a="1"/>
  <c r="E58" i="14"/>
  <c r="C74" i="14"/>
  <c r="C73" i="14"/>
  <c r="C72" i="14"/>
  <c r="C71" i="14"/>
  <c r="C70" i="14"/>
  <c r="C69" i="14"/>
  <c r="C68" i="14"/>
  <c r="E67" i="14" a="1"/>
  <c r="F67" i="14"/>
  <c r="C83" i="14"/>
  <c r="C82" i="14"/>
  <c r="C81" i="14"/>
  <c r="C80" i="14"/>
  <c r="C79" i="14"/>
  <c r="C78" i="14"/>
  <c r="C77" i="14"/>
  <c r="E76" i="14" a="1"/>
  <c r="U76" i="14"/>
  <c r="C92" i="14"/>
  <c r="C91" i="14"/>
  <c r="C90" i="14"/>
  <c r="C89" i="14"/>
  <c r="C88" i="14"/>
  <c r="C87" i="14"/>
  <c r="C86" i="14"/>
  <c r="E85" i="14" a="1"/>
  <c r="C101" i="14"/>
  <c r="C100" i="14"/>
  <c r="C99" i="14"/>
  <c r="C98" i="14"/>
  <c r="C97" i="14"/>
  <c r="C96" i="14"/>
  <c r="C95" i="14"/>
  <c r="E94" i="14" a="1"/>
  <c r="AH94" i="14"/>
  <c r="C189" i="14"/>
  <c r="D187" i="14"/>
  <c r="C187" i="14"/>
  <c r="D186" i="14"/>
  <c r="C186" i="14"/>
  <c r="D185" i="14"/>
  <c r="C184" i="14"/>
  <c r="C183" i="14"/>
  <c r="D181" i="14"/>
  <c r="C181" i="14"/>
  <c r="D180" i="14"/>
  <c r="C180" i="14"/>
  <c r="D179" i="14"/>
  <c r="C178" i="14"/>
  <c r="C177" i="14"/>
  <c r="D175" i="14"/>
  <c r="C175" i="14"/>
  <c r="D174" i="14"/>
  <c r="C174" i="14"/>
  <c r="D173" i="14"/>
  <c r="C172" i="14"/>
  <c r="C171" i="14"/>
  <c r="D169" i="14"/>
  <c r="C169" i="14"/>
  <c r="D168" i="14"/>
  <c r="C168" i="14"/>
  <c r="D167" i="14"/>
  <c r="C166" i="14"/>
  <c r="C165" i="14"/>
  <c r="D163" i="14"/>
  <c r="C163" i="14"/>
  <c r="D162" i="14"/>
  <c r="C162" i="14"/>
  <c r="D161" i="14"/>
  <c r="C160" i="14"/>
  <c r="C159" i="14"/>
  <c r="D157" i="14"/>
  <c r="C157" i="14"/>
  <c r="D156" i="14"/>
  <c r="C156" i="14"/>
  <c r="D155" i="14"/>
  <c r="C154" i="14"/>
  <c r="C153" i="14"/>
  <c r="D151" i="14"/>
  <c r="C151" i="14"/>
  <c r="D150" i="14"/>
  <c r="C150" i="14"/>
  <c r="D149" i="14"/>
  <c r="C148" i="14"/>
  <c r="C147" i="14"/>
  <c r="C146" i="14"/>
  <c r="D144" i="14"/>
  <c r="C144" i="14"/>
  <c r="D143" i="14"/>
  <c r="C143" i="14"/>
  <c r="D142" i="14"/>
  <c r="C141" i="14"/>
  <c r="C140" i="14"/>
  <c r="D138" i="14"/>
  <c r="C138" i="14"/>
  <c r="D137" i="14"/>
  <c r="C137" i="14"/>
  <c r="D136" i="14"/>
  <c r="C135" i="14"/>
  <c r="C134" i="14"/>
  <c r="D132" i="14"/>
  <c r="C132" i="14"/>
  <c r="D131" i="14"/>
  <c r="C131" i="14"/>
  <c r="D130" i="14"/>
  <c r="C129" i="14"/>
  <c r="C128" i="14"/>
  <c r="D126" i="14"/>
  <c r="C126" i="14"/>
  <c r="D125" i="14"/>
  <c r="C125" i="14"/>
  <c r="D124" i="14"/>
  <c r="C123" i="14"/>
  <c r="C122" i="14"/>
  <c r="D120" i="14"/>
  <c r="C120" i="14"/>
  <c r="D119" i="14"/>
  <c r="C119" i="14"/>
  <c r="D118" i="14"/>
  <c r="C117" i="14"/>
  <c r="C116" i="14"/>
  <c r="D114" i="14"/>
  <c r="C114" i="14"/>
  <c r="D113" i="14"/>
  <c r="C113" i="14"/>
  <c r="D112" i="14"/>
  <c r="C111" i="14"/>
  <c r="C110" i="14"/>
  <c r="D108" i="14"/>
  <c r="C108" i="14"/>
  <c r="D107" i="14"/>
  <c r="C107" i="14"/>
  <c r="D106" i="14"/>
  <c r="C105" i="14"/>
  <c r="C104" i="14"/>
  <c r="E103" i="14" a="1"/>
  <c r="Y103" i="14"/>
  <c r="C9" i="13"/>
  <c r="D7" i="13"/>
  <c r="C7" i="13"/>
  <c r="D6" i="13"/>
  <c r="D5" i="13"/>
  <c r="C4" i="13"/>
  <c r="E3" i="13" a="1"/>
  <c r="C17" i="13"/>
  <c r="D15" i="13"/>
  <c r="C15" i="13"/>
  <c r="D14" i="13"/>
  <c r="D13" i="13"/>
  <c r="C12" i="13"/>
  <c r="E11" i="13" a="1"/>
  <c r="C29" i="13"/>
  <c r="D27" i="13"/>
  <c r="C27" i="13"/>
  <c r="D26" i="13"/>
  <c r="C25" i="13"/>
  <c r="C24" i="13"/>
  <c r="D22" i="13"/>
  <c r="C22" i="13"/>
  <c r="D21" i="13"/>
  <c r="C20" i="13"/>
  <c r="E19" i="13" a="1"/>
  <c r="C38" i="13"/>
  <c r="C37" i="13"/>
  <c r="C36" i="13"/>
  <c r="C35" i="13"/>
  <c r="C34" i="13"/>
  <c r="C33" i="13"/>
  <c r="C32" i="13"/>
  <c r="E31" i="13" a="1"/>
  <c r="C47" i="13"/>
  <c r="C46" i="13"/>
  <c r="C45" i="13"/>
  <c r="C44" i="13"/>
  <c r="C43" i="13"/>
  <c r="C42" i="13"/>
  <c r="C41" i="13"/>
  <c r="E40" i="13" a="1"/>
  <c r="C56" i="13"/>
  <c r="C55" i="13"/>
  <c r="C54" i="13"/>
  <c r="C53" i="13"/>
  <c r="C52" i="13"/>
  <c r="C51" i="13"/>
  <c r="C50" i="13"/>
  <c r="E49" i="13" a="1"/>
  <c r="C65" i="13"/>
  <c r="C64" i="13"/>
  <c r="C63" i="13"/>
  <c r="C62" i="13"/>
  <c r="C61" i="13"/>
  <c r="C60" i="13"/>
  <c r="C59" i="13"/>
  <c r="E58" i="13" a="1"/>
  <c r="E58" i="13"/>
  <c r="C74" i="13"/>
  <c r="C73" i="13"/>
  <c r="C72" i="13"/>
  <c r="C71" i="13"/>
  <c r="C70" i="13"/>
  <c r="C69" i="13"/>
  <c r="C68" i="13"/>
  <c r="E67" i="13" a="1"/>
  <c r="C83" i="13"/>
  <c r="C82" i="13"/>
  <c r="C81" i="13"/>
  <c r="C80" i="13"/>
  <c r="C79" i="13"/>
  <c r="C78" i="13"/>
  <c r="C77" i="13"/>
  <c r="E76" i="13" a="1"/>
  <c r="C92" i="13"/>
  <c r="C91" i="13"/>
  <c r="C90" i="13"/>
  <c r="C89" i="13"/>
  <c r="C88" i="13"/>
  <c r="C87" i="13"/>
  <c r="C86" i="13"/>
  <c r="E85" i="13" a="1"/>
  <c r="C101" i="13"/>
  <c r="C100" i="13"/>
  <c r="C99" i="13"/>
  <c r="C98" i="13"/>
  <c r="C97" i="13"/>
  <c r="C96" i="13"/>
  <c r="C95" i="13"/>
  <c r="E94" i="13" a="1"/>
  <c r="E94" i="13"/>
  <c r="C189" i="13"/>
  <c r="D187" i="13"/>
  <c r="C187" i="13"/>
  <c r="D186" i="13"/>
  <c r="C186" i="13"/>
  <c r="D185" i="13"/>
  <c r="C184" i="13"/>
  <c r="C183" i="13"/>
  <c r="D181" i="13"/>
  <c r="C181" i="13"/>
  <c r="D180" i="13"/>
  <c r="C180" i="13"/>
  <c r="D179" i="13"/>
  <c r="C178" i="13"/>
  <c r="C177" i="13"/>
  <c r="D175" i="13"/>
  <c r="C175" i="13"/>
  <c r="D174" i="13"/>
  <c r="C174" i="13"/>
  <c r="D173" i="13"/>
  <c r="C172" i="13"/>
  <c r="C171" i="13"/>
  <c r="D169" i="13"/>
  <c r="C169" i="13"/>
  <c r="D168" i="13"/>
  <c r="C168" i="13"/>
  <c r="D167" i="13"/>
  <c r="C166" i="13"/>
  <c r="C165" i="13"/>
  <c r="D163" i="13"/>
  <c r="C163" i="13"/>
  <c r="D162" i="13"/>
  <c r="C162" i="13"/>
  <c r="D161" i="13"/>
  <c r="C160" i="13"/>
  <c r="C159" i="13"/>
  <c r="D157" i="13"/>
  <c r="C157" i="13"/>
  <c r="D156" i="13"/>
  <c r="C156" i="13"/>
  <c r="D155" i="13"/>
  <c r="C154" i="13"/>
  <c r="C153" i="13"/>
  <c r="D151" i="13"/>
  <c r="C151" i="13"/>
  <c r="D150" i="13"/>
  <c r="C150" i="13"/>
  <c r="D149" i="13"/>
  <c r="C148" i="13"/>
  <c r="C147" i="13"/>
  <c r="C146" i="13"/>
  <c r="D144" i="13"/>
  <c r="C144" i="13"/>
  <c r="D143" i="13"/>
  <c r="C143" i="13"/>
  <c r="D142" i="13"/>
  <c r="C141" i="13"/>
  <c r="C140" i="13"/>
  <c r="D138" i="13"/>
  <c r="C138" i="13"/>
  <c r="D137" i="13"/>
  <c r="C137" i="13"/>
  <c r="D136" i="13"/>
  <c r="C135" i="13"/>
  <c r="C134" i="13"/>
  <c r="D132" i="13"/>
  <c r="C132" i="13"/>
  <c r="D131" i="13"/>
  <c r="C131" i="13"/>
  <c r="D130" i="13"/>
  <c r="C129" i="13"/>
  <c r="C128" i="13"/>
  <c r="D126" i="13"/>
  <c r="C126" i="13"/>
  <c r="D125" i="13"/>
  <c r="C125" i="13"/>
  <c r="D124" i="13"/>
  <c r="C123" i="13"/>
  <c r="C122" i="13"/>
  <c r="D120" i="13"/>
  <c r="C120" i="13"/>
  <c r="D119" i="13"/>
  <c r="C119" i="13"/>
  <c r="D118" i="13"/>
  <c r="C117" i="13"/>
  <c r="C116" i="13"/>
  <c r="D114" i="13"/>
  <c r="C114" i="13"/>
  <c r="D113" i="13"/>
  <c r="C113" i="13"/>
  <c r="D112" i="13"/>
  <c r="C111" i="13"/>
  <c r="C110" i="13"/>
  <c r="D108" i="13"/>
  <c r="C108" i="13"/>
  <c r="D107" i="13"/>
  <c r="C107" i="13"/>
  <c r="D106" i="13"/>
  <c r="C105" i="13"/>
  <c r="C104" i="13"/>
  <c r="E103" i="13" a="1"/>
  <c r="Z103" i="13"/>
  <c r="C9" i="12"/>
  <c r="D7" i="12"/>
  <c r="C7" i="12"/>
  <c r="D6" i="12"/>
  <c r="D5" i="12"/>
  <c r="C4" i="12"/>
  <c r="E3" i="12" a="1"/>
  <c r="C17" i="12"/>
  <c r="D15" i="12"/>
  <c r="C15" i="12"/>
  <c r="D14" i="12"/>
  <c r="D13" i="12"/>
  <c r="C12" i="12"/>
  <c r="E11" i="12" a="1"/>
  <c r="C29" i="12"/>
  <c r="D27" i="12"/>
  <c r="C27" i="12"/>
  <c r="D26" i="12"/>
  <c r="C25" i="12"/>
  <c r="C24" i="12"/>
  <c r="D22" i="12"/>
  <c r="C22" i="12"/>
  <c r="D21" i="12"/>
  <c r="C20" i="12"/>
  <c r="E19" i="12" a="1"/>
  <c r="C38" i="12"/>
  <c r="C37" i="12"/>
  <c r="C36" i="12"/>
  <c r="C35" i="12"/>
  <c r="C34" i="12"/>
  <c r="C33" i="12"/>
  <c r="C32" i="12"/>
  <c r="E31" i="12" a="1"/>
  <c r="C47" i="12"/>
  <c r="C46" i="12"/>
  <c r="C45" i="12"/>
  <c r="C44" i="12"/>
  <c r="C43" i="12"/>
  <c r="C42" i="12"/>
  <c r="C41" i="12"/>
  <c r="E40" i="12" a="1"/>
  <c r="J40" i="12"/>
  <c r="C56" i="12"/>
  <c r="C55" i="12"/>
  <c r="C54" i="12"/>
  <c r="C53" i="12"/>
  <c r="C52" i="12"/>
  <c r="C51" i="12"/>
  <c r="C50" i="12"/>
  <c r="E49" i="12" a="1"/>
  <c r="C65" i="12"/>
  <c r="C64" i="12"/>
  <c r="C63" i="12"/>
  <c r="C62" i="12"/>
  <c r="C61" i="12"/>
  <c r="C60" i="12"/>
  <c r="C59" i="12"/>
  <c r="E58" i="12" a="1"/>
  <c r="K58" i="12"/>
  <c r="C74" i="12"/>
  <c r="C73" i="12"/>
  <c r="C72" i="12"/>
  <c r="C71" i="12"/>
  <c r="C70" i="12"/>
  <c r="C69" i="12"/>
  <c r="C68" i="12"/>
  <c r="E67" i="12" a="1"/>
  <c r="C83" i="12"/>
  <c r="C82" i="12"/>
  <c r="C81" i="12"/>
  <c r="C80" i="12"/>
  <c r="C79" i="12"/>
  <c r="C78" i="12"/>
  <c r="C77" i="12"/>
  <c r="E76" i="12" a="1"/>
  <c r="C92" i="12"/>
  <c r="C91" i="12"/>
  <c r="C90" i="12"/>
  <c r="C89" i="12"/>
  <c r="C88" i="12"/>
  <c r="C87" i="12"/>
  <c r="C86" i="12"/>
  <c r="E85" i="12" a="1"/>
  <c r="C101" i="12"/>
  <c r="C100" i="12"/>
  <c r="C99" i="12"/>
  <c r="C98" i="12"/>
  <c r="C97" i="12"/>
  <c r="C96" i="12"/>
  <c r="C95" i="12"/>
  <c r="E94" i="12" a="1"/>
  <c r="Z94" i="12"/>
  <c r="C189" i="12"/>
  <c r="D187" i="12"/>
  <c r="C187" i="12"/>
  <c r="D186" i="12"/>
  <c r="C186" i="12"/>
  <c r="D185" i="12"/>
  <c r="C184" i="12"/>
  <c r="C183" i="12"/>
  <c r="D181" i="12"/>
  <c r="C181" i="12"/>
  <c r="D180" i="12"/>
  <c r="C180" i="12"/>
  <c r="D179" i="12"/>
  <c r="C178" i="12"/>
  <c r="C177" i="12"/>
  <c r="D175" i="12"/>
  <c r="C175" i="12"/>
  <c r="D174" i="12"/>
  <c r="C174" i="12"/>
  <c r="D173" i="12"/>
  <c r="C172" i="12"/>
  <c r="C171" i="12"/>
  <c r="D169" i="12"/>
  <c r="C169" i="12"/>
  <c r="D168" i="12"/>
  <c r="C168" i="12"/>
  <c r="D167" i="12"/>
  <c r="C166" i="12"/>
  <c r="C165" i="12"/>
  <c r="D163" i="12"/>
  <c r="C163" i="12"/>
  <c r="D162" i="12"/>
  <c r="C162" i="12"/>
  <c r="D161" i="12"/>
  <c r="C160" i="12"/>
  <c r="C159" i="12"/>
  <c r="D157" i="12"/>
  <c r="C157" i="12"/>
  <c r="D156" i="12"/>
  <c r="C156" i="12"/>
  <c r="D155" i="12"/>
  <c r="C154" i="12"/>
  <c r="C153" i="12"/>
  <c r="D151" i="12"/>
  <c r="C151" i="12"/>
  <c r="D150" i="12"/>
  <c r="C150" i="12"/>
  <c r="D149" i="12"/>
  <c r="C148" i="12"/>
  <c r="C147" i="12"/>
  <c r="C146" i="12"/>
  <c r="D144" i="12"/>
  <c r="C144" i="12"/>
  <c r="D143" i="12"/>
  <c r="C143" i="12"/>
  <c r="D142" i="12"/>
  <c r="C141" i="12"/>
  <c r="C140" i="12"/>
  <c r="D138" i="12"/>
  <c r="C138" i="12"/>
  <c r="D137" i="12"/>
  <c r="C137" i="12"/>
  <c r="D136" i="12"/>
  <c r="C135" i="12"/>
  <c r="C134" i="12"/>
  <c r="D132" i="12"/>
  <c r="C132" i="12"/>
  <c r="D131" i="12"/>
  <c r="C131" i="12"/>
  <c r="D130" i="12"/>
  <c r="C129" i="12"/>
  <c r="C128" i="12"/>
  <c r="D126" i="12"/>
  <c r="C126" i="12"/>
  <c r="D125" i="12"/>
  <c r="C125" i="12"/>
  <c r="D124" i="12"/>
  <c r="C123" i="12"/>
  <c r="C122" i="12"/>
  <c r="D120" i="12"/>
  <c r="C120" i="12"/>
  <c r="D119" i="12"/>
  <c r="C119" i="12"/>
  <c r="D118" i="12"/>
  <c r="C117" i="12"/>
  <c r="C116" i="12"/>
  <c r="D114" i="12"/>
  <c r="C114" i="12"/>
  <c r="D113" i="12"/>
  <c r="C113" i="12"/>
  <c r="D112" i="12"/>
  <c r="C111" i="12"/>
  <c r="C110" i="12"/>
  <c r="D108" i="12"/>
  <c r="C108" i="12"/>
  <c r="D107" i="12"/>
  <c r="C107" i="12"/>
  <c r="D106" i="12"/>
  <c r="C105" i="12"/>
  <c r="C104" i="12"/>
  <c r="E103" i="12" a="1"/>
  <c r="C31" i="11"/>
  <c r="D29" i="11"/>
  <c r="D28" i="11"/>
  <c r="D27" i="11"/>
  <c r="D26" i="11"/>
  <c r="D25" i="11"/>
  <c r="D24" i="11"/>
  <c r="D23" i="11"/>
  <c r="D21" i="11"/>
  <c r="D20" i="11"/>
  <c r="D19" i="11"/>
  <c r="D18" i="11"/>
  <c r="D17" i="11"/>
  <c r="D16" i="11"/>
  <c r="D15" i="11"/>
  <c r="D13" i="11"/>
  <c r="D12" i="11"/>
  <c r="D11" i="11"/>
  <c r="D10" i="11"/>
  <c r="D9" i="11"/>
  <c r="D8" i="11"/>
  <c r="D7" i="11"/>
  <c r="E4" i="11" a="1"/>
  <c r="F4" i="11"/>
  <c r="C4" i="11"/>
  <c r="M31" i="11"/>
  <c r="N29" i="11"/>
  <c r="N28" i="11"/>
  <c r="N27" i="11"/>
  <c r="N26" i="11"/>
  <c r="N25" i="11"/>
  <c r="N24" i="11"/>
  <c r="N23" i="11"/>
  <c r="N21" i="11"/>
  <c r="N20" i="11"/>
  <c r="N19" i="11"/>
  <c r="N18" i="11"/>
  <c r="N17" i="11"/>
  <c r="N16" i="11"/>
  <c r="N15" i="11"/>
  <c r="N13" i="11"/>
  <c r="N12" i="11"/>
  <c r="N11" i="11"/>
  <c r="N10" i="11"/>
  <c r="N9" i="11"/>
  <c r="N8" i="11"/>
  <c r="N7" i="11"/>
  <c r="O4" i="11" a="1"/>
  <c r="M4" i="11"/>
  <c r="W31" i="11"/>
  <c r="X29" i="11"/>
  <c r="X28" i="11"/>
  <c r="X27" i="11"/>
  <c r="X26" i="11"/>
  <c r="X25" i="11"/>
  <c r="X24" i="11"/>
  <c r="X23" i="11"/>
  <c r="X21" i="11"/>
  <c r="X20" i="11"/>
  <c r="X19" i="11"/>
  <c r="X18" i="11"/>
  <c r="X17" i="11"/>
  <c r="X16" i="11"/>
  <c r="X15" i="11"/>
  <c r="X13" i="11"/>
  <c r="X12" i="11"/>
  <c r="X11" i="11"/>
  <c r="X10" i="11"/>
  <c r="X9" i="11"/>
  <c r="X8" i="11"/>
  <c r="X7" i="11"/>
  <c r="Y4" i="11" a="1"/>
  <c r="W4" i="11"/>
  <c r="AG31" i="11"/>
  <c r="AH29" i="11"/>
  <c r="AH28" i="11"/>
  <c r="AH27" i="11"/>
  <c r="AH26" i="11"/>
  <c r="AH25" i="11"/>
  <c r="AH24" i="11"/>
  <c r="AH23" i="11"/>
  <c r="AH21" i="11"/>
  <c r="AH20" i="11"/>
  <c r="AH19" i="11"/>
  <c r="AH18" i="11"/>
  <c r="AH17" i="11"/>
  <c r="AH16" i="11"/>
  <c r="AH15" i="11"/>
  <c r="AH13" i="11"/>
  <c r="AH12" i="11"/>
  <c r="AH11" i="11"/>
  <c r="AH10" i="11"/>
  <c r="AH9" i="11"/>
  <c r="AH8" i="11"/>
  <c r="AH7" i="11"/>
  <c r="AI4" i="11" a="1"/>
  <c r="AI4" i="11"/>
  <c r="AG4" i="11"/>
  <c r="AQ31" i="11"/>
  <c r="AR29" i="11"/>
  <c r="AR28" i="11"/>
  <c r="AR27" i="11"/>
  <c r="AR26" i="11"/>
  <c r="AR25" i="11"/>
  <c r="AR24" i="11"/>
  <c r="AR23" i="11"/>
  <c r="AR21" i="11"/>
  <c r="AR20" i="11"/>
  <c r="AR19" i="11"/>
  <c r="AR18" i="11"/>
  <c r="AR17" i="11"/>
  <c r="AR16" i="11"/>
  <c r="AR15" i="11"/>
  <c r="AR13" i="11"/>
  <c r="AR12" i="11"/>
  <c r="AR11" i="11"/>
  <c r="AR10" i="11"/>
  <c r="AR9" i="11"/>
  <c r="AR8" i="11"/>
  <c r="AR7" i="11"/>
  <c r="AS4" i="11" a="1"/>
  <c r="AY4" i="11"/>
  <c r="AQ4" i="11"/>
  <c r="BA31" i="11"/>
  <c r="BB29" i="11"/>
  <c r="BB28" i="11"/>
  <c r="BB27" i="11"/>
  <c r="BB26" i="11"/>
  <c r="BB25" i="11"/>
  <c r="BB24" i="11"/>
  <c r="BB23" i="11"/>
  <c r="BB21" i="11"/>
  <c r="BB20" i="11"/>
  <c r="BB19" i="11"/>
  <c r="BB18" i="11"/>
  <c r="BB17" i="11"/>
  <c r="BB16" i="11"/>
  <c r="BB15" i="11"/>
  <c r="BB13" i="11"/>
  <c r="BB12" i="11"/>
  <c r="BB11" i="11"/>
  <c r="BB10" i="11"/>
  <c r="BB9" i="11"/>
  <c r="BB8" i="11"/>
  <c r="BB7" i="11"/>
  <c r="BC4" i="11" a="1"/>
  <c r="BG4" i="11"/>
  <c r="BA4" i="11"/>
  <c r="BK31" i="11"/>
  <c r="BL29" i="11"/>
  <c r="BL28" i="11"/>
  <c r="BL27" i="11"/>
  <c r="BL26" i="11"/>
  <c r="BL25" i="11"/>
  <c r="BL24" i="11"/>
  <c r="BL23" i="11"/>
  <c r="BL21" i="11"/>
  <c r="BL20" i="11"/>
  <c r="BL19" i="11"/>
  <c r="BL18" i="11"/>
  <c r="BL17" i="11"/>
  <c r="BL16" i="11"/>
  <c r="BL15" i="11"/>
  <c r="BL13" i="11"/>
  <c r="BL12" i="11"/>
  <c r="BL11" i="11"/>
  <c r="BL10" i="11"/>
  <c r="BL9" i="11"/>
  <c r="BL8" i="11"/>
  <c r="BL7" i="11"/>
  <c r="BM4" i="11" a="1"/>
  <c r="BK4" i="11"/>
  <c r="D27" i="10"/>
  <c r="C27" i="10"/>
  <c r="D26" i="10"/>
  <c r="C26" i="10"/>
  <c r="D25" i="10"/>
  <c r="C25" i="10"/>
  <c r="D24" i="10"/>
  <c r="C24" i="10"/>
  <c r="D23" i="10"/>
  <c r="C23" i="10"/>
  <c r="D22" i="10"/>
  <c r="C22" i="10"/>
  <c r="D21" i="10"/>
  <c r="C21" i="10"/>
  <c r="D19" i="10"/>
  <c r="C19" i="10"/>
  <c r="C18" i="10"/>
  <c r="D17" i="10"/>
  <c r="C17" i="10"/>
  <c r="D16" i="10"/>
  <c r="C16" i="10"/>
  <c r="D15" i="10"/>
  <c r="C15" i="10"/>
  <c r="D14" i="10"/>
  <c r="C14" i="10"/>
  <c r="D13" i="10"/>
  <c r="C13" i="10"/>
  <c r="D12" i="10"/>
  <c r="C12" i="10"/>
  <c r="D11" i="10"/>
  <c r="C11" i="10"/>
  <c r="D9" i="10"/>
  <c r="C9" i="10"/>
  <c r="D8" i="10"/>
  <c r="C8" i="10"/>
  <c r="D7" i="10"/>
  <c r="C7" i="10"/>
  <c r="E6" i="10" a="1"/>
  <c r="D6" i="10"/>
  <c r="C6" i="10"/>
  <c r="E4" i="10" a="1"/>
  <c r="H4" i="10"/>
  <c r="F40" i="10" a="1"/>
  <c r="AF40" i="10"/>
  <c r="C40" i="10"/>
  <c r="F39" i="10" a="1"/>
  <c r="F39" i="10"/>
  <c r="AC39" i="10"/>
  <c r="AF39" i="10"/>
  <c r="C39" i="10"/>
  <c r="F38" i="10" a="1"/>
  <c r="C38" i="10"/>
  <c r="F37" i="10" a="1"/>
  <c r="C37" i="10"/>
  <c r="F36" i="10" a="1"/>
  <c r="C36" i="10"/>
  <c r="F35" i="10" a="1"/>
  <c r="AI35" i="10"/>
  <c r="C35" i="10"/>
  <c r="F34" i="10" a="1"/>
  <c r="C34" i="10"/>
  <c r="E32" i="10" a="1"/>
  <c r="AJ32" i="10"/>
  <c r="D62" i="10"/>
  <c r="C62" i="10"/>
  <c r="D61" i="10"/>
  <c r="C61" i="10"/>
  <c r="D60" i="10"/>
  <c r="C60" i="10"/>
  <c r="D59" i="10"/>
  <c r="C59" i="10"/>
  <c r="D58" i="10"/>
  <c r="C58" i="10"/>
  <c r="D57" i="10"/>
  <c r="C57" i="10"/>
  <c r="D56" i="10"/>
  <c r="C56" i="10"/>
  <c r="D54" i="10"/>
  <c r="C53" i="10"/>
  <c r="D52" i="10"/>
  <c r="C52" i="10"/>
  <c r="D51" i="10"/>
  <c r="C51" i="10"/>
  <c r="D50" i="10"/>
  <c r="C50" i="10"/>
  <c r="D49" i="10"/>
  <c r="C49" i="10"/>
  <c r="D48" i="10"/>
  <c r="C48" i="10"/>
  <c r="D47" i="10"/>
  <c r="C47" i="10"/>
  <c r="D46" i="10"/>
  <c r="C46" i="10"/>
  <c r="D44" i="10"/>
  <c r="E42" i="10" a="1"/>
  <c r="E42" i="10"/>
  <c r="C138" i="10"/>
  <c r="C137" i="10"/>
  <c r="C136" i="10"/>
  <c r="C135" i="10"/>
  <c r="C134" i="10"/>
  <c r="C133" i="10"/>
  <c r="C131" i="10"/>
  <c r="C130" i="10"/>
  <c r="C129" i="10"/>
  <c r="C128" i="10"/>
  <c r="C127" i="10"/>
  <c r="C126" i="10"/>
  <c r="C125" i="10"/>
  <c r="C123" i="10"/>
  <c r="C122" i="10"/>
  <c r="C121" i="10"/>
  <c r="C120" i="10"/>
  <c r="C119" i="10"/>
  <c r="C118" i="10"/>
  <c r="C117" i="10"/>
  <c r="C115" i="10"/>
  <c r="C114" i="10"/>
  <c r="C113" i="10"/>
  <c r="C112" i="10"/>
  <c r="C111" i="10"/>
  <c r="C110" i="10"/>
  <c r="C109" i="10"/>
  <c r="C107" i="10"/>
  <c r="C106" i="10"/>
  <c r="C105" i="10"/>
  <c r="C104" i="10"/>
  <c r="C103" i="10"/>
  <c r="C102" i="10"/>
  <c r="C101" i="10"/>
  <c r="C99" i="10"/>
  <c r="C98" i="10"/>
  <c r="C97" i="10"/>
  <c r="C96" i="10"/>
  <c r="C95" i="10"/>
  <c r="C94" i="10"/>
  <c r="C93" i="10"/>
  <c r="C91" i="10"/>
  <c r="C90" i="10"/>
  <c r="C89" i="10"/>
  <c r="C88" i="10"/>
  <c r="C87" i="10"/>
  <c r="C86" i="10"/>
  <c r="C85" i="10"/>
  <c r="C84" i="10"/>
  <c r="C83" i="10"/>
  <c r="C81" i="10"/>
  <c r="C80" i="10"/>
  <c r="C79" i="10"/>
  <c r="C78" i="10"/>
  <c r="C77" i="10"/>
  <c r="C76" i="10"/>
  <c r="C75" i="10"/>
  <c r="E73" i="10" a="1"/>
  <c r="F73" i="10"/>
  <c r="D73" i="10"/>
  <c r="C73" i="10"/>
  <c r="E72" i="10" a="1"/>
  <c r="E72" i="10"/>
  <c r="D72" i="10"/>
  <c r="C72" i="10"/>
  <c r="E71" i="10" a="1"/>
  <c r="F71" i="10"/>
  <c r="D71" i="10"/>
  <c r="C71" i="10"/>
  <c r="E70" i="10" a="1"/>
  <c r="H70" i="10"/>
  <c r="D70" i="10"/>
  <c r="C70" i="10"/>
  <c r="E69" i="10" a="1"/>
  <c r="F69" i="10"/>
  <c r="D69" i="10"/>
  <c r="C69" i="10"/>
  <c r="E68" i="10" a="1"/>
  <c r="E68" i="10"/>
  <c r="D68" i="10"/>
  <c r="C68" i="10"/>
  <c r="E67" i="10" a="1"/>
  <c r="E67" i="10"/>
  <c r="D67" i="10"/>
  <c r="C67" i="10"/>
  <c r="D65" i="10"/>
  <c r="E64" i="10" a="1"/>
  <c r="F64" i="10"/>
  <c r="D5" i="9" a="1"/>
  <c r="AG5" i="9"/>
  <c r="D4" i="9" a="1"/>
  <c r="Q4" i="9"/>
  <c r="C4" i="9"/>
  <c r="D7" i="9" a="1"/>
  <c r="C7" i="9"/>
  <c r="D10" i="9" a="1"/>
  <c r="W10" i="9"/>
  <c r="C10" i="9"/>
  <c r="D13" i="9" a="1"/>
  <c r="AK13" i="9"/>
  <c r="C13" i="9"/>
  <c r="C11" i="8"/>
  <c r="C10" i="8"/>
  <c r="C9" i="8"/>
  <c r="C8" i="8"/>
  <c r="C7" i="8"/>
  <c r="C6" i="8"/>
  <c r="C5" i="8"/>
  <c r="D4" i="8" a="1"/>
  <c r="O4" i="8"/>
  <c r="C38" i="2"/>
  <c r="C37" i="2"/>
  <c r="AA24" i="7" a="1"/>
  <c r="AB24" i="7"/>
  <c r="CR24" i="7"/>
  <c r="C23" i="7"/>
  <c r="C22" i="7"/>
  <c r="C21" i="7"/>
  <c r="C20" i="7"/>
  <c r="C19" i="7"/>
  <c r="C18" i="7"/>
  <c r="C17" i="7"/>
  <c r="E15" i="7" a="1"/>
  <c r="AQ15" i="7"/>
  <c r="C13" i="7"/>
  <c r="C12" i="7"/>
  <c r="C11" i="7"/>
  <c r="C10" i="7"/>
  <c r="C9" i="7"/>
  <c r="C8" i="7"/>
  <c r="C7" i="7"/>
  <c r="C6" i="7"/>
  <c r="C5" i="7"/>
  <c r="E4" i="7" a="1"/>
  <c r="CJ4" i="7"/>
  <c r="AA51" i="7" a="1"/>
  <c r="AA50" i="7" a="1"/>
  <c r="E49" i="7" a="1"/>
  <c r="E49" i="7"/>
  <c r="C46" i="7"/>
  <c r="C43" i="7"/>
  <c r="C40" i="7"/>
  <c r="C37" i="7"/>
  <c r="C34" i="7"/>
  <c r="C31" i="7"/>
  <c r="C28" i="7"/>
  <c r="D5" i="6"/>
  <c r="C5" i="6"/>
  <c r="E4" i="6" a="1"/>
  <c r="CL4" i="6"/>
  <c r="C4" i="6"/>
  <c r="E8" i="6" a="1"/>
  <c r="CF8" i="6"/>
  <c r="D8" i="6"/>
  <c r="C8" i="6"/>
  <c r="E7" i="6" a="1"/>
  <c r="BX7" i="6"/>
  <c r="E11" i="6" a="1"/>
  <c r="E11" i="6"/>
  <c r="D11" i="6"/>
  <c r="C11" i="6"/>
  <c r="E10" i="6" a="1"/>
  <c r="E10" i="6"/>
  <c r="E14" i="6" a="1"/>
  <c r="CN14" i="6"/>
  <c r="D14" i="6"/>
  <c r="C14" i="6"/>
  <c r="E13" i="6" a="1"/>
  <c r="CF13" i="6"/>
  <c r="D17" i="6"/>
  <c r="E16" i="6" a="1"/>
  <c r="E16" i="6"/>
  <c r="C16" i="6"/>
  <c r="C65" i="2"/>
  <c r="C55" i="2" a="1"/>
  <c r="C55" i="2"/>
  <c r="B45" i="2" a="1"/>
  <c r="B39" i="2"/>
  <c r="B36" i="2"/>
  <c r="B33" i="2"/>
  <c r="B30" i="2"/>
  <c r="B27" i="2"/>
  <c r="B24" i="2"/>
  <c r="B21" i="2"/>
  <c r="B12" i="2" a="1"/>
  <c r="B12" i="2"/>
  <c r="T36" i="10"/>
  <c r="P39" i="10"/>
  <c r="U34" i="10"/>
  <c r="AC37" i="10"/>
  <c r="H39" i="10"/>
  <c r="AG34" i="10"/>
  <c r="X19" i="16"/>
  <c r="AE67" i="15"/>
  <c r="H19" i="16"/>
  <c r="T94" i="17"/>
  <c r="T58" i="15"/>
  <c r="AJ58" i="17"/>
  <c r="AG35" i="10"/>
  <c r="AJ39" i="10"/>
  <c r="AB39" i="10"/>
  <c r="T39" i="10"/>
  <c r="L39" i="10"/>
  <c r="O103" i="17"/>
  <c r="AB19" i="18"/>
  <c r="M35" i="10"/>
  <c r="AG39" i="10"/>
  <c r="Y39" i="10"/>
  <c r="Q39" i="10"/>
  <c r="Y67" i="14"/>
  <c r="AB49" i="16"/>
  <c r="M103" i="17"/>
  <c r="AB40" i="18"/>
  <c r="O40" i="18"/>
  <c r="T19" i="18"/>
  <c r="AJ31" i="17"/>
  <c r="AE19" i="16"/>
  <c r="G19" i="16"/>
  <c r="AE103" i="17"/>
  <c r="AE40" i="18"/>
  <c r="K40" i="18"/>
  <c r="AG19" i="18"/>
  <c r="Y19" i="18"/>
  <c r="I19" i="18"/>
  <c r="AF76" i="18"/>
  <c r="X19" i="18"/>
  <c r="P19" i="18"/>
  <c r="H19" i="18"/>
  <c r="H19" i="14"/>
  <c r="G40" i="16"/>
  <c r="P19" i="16"/>
  <c r="Q58" i="17"/>
  <c r="P31" i="17"/>
  <c r="AK3" i="17"/>
  <c r="AK19" i="18"/>
  <c r="M19" i="18"/>
  <c r="E19" i="18"/>
  <c r="F76" i="15"/>
  <c r="R76" i="15"/>
  <c r="AB76" i="15"/>
  <c r="AL76" i="15"/>
  <c r="J76" i="15"/>
  <c r="AH76" i="15"/>
  <c r="E19" i="13"/>
  <c r="AJ19" i="13"/>
  <c r="V19" i="13"/>
  <c r="L19" i="17"/>
  <c r="AF19" i="17"/>
  <c r="P19" i="17"/>
  <c r="T19" i="17"/>
  <c r="F3" i="15"/>
  <c r="T3" i="15"/>
  <c r="AB103" i="12"/>
  <c r="Z94" i="14"/>
  <c r="AF94" i="14"/>
  <c r="X49" i="13"/>
  <c r="AJ19" i="16"/>
  <c r="T19" i="16"/>
  <c r="AI49" i="15"/>
  <c r="AA49" i="15"/>
  <c r="S49" i="15"/>
  <c r="U58" i="17"/>
  <c r="X3" i="17"/>
  <c r="O85" i="18"/>
  <c r="K67" i="15"/>
  <c r="L58" i="15"/>
  <c r="X49" i="15"/>
  <c r="P49" i="15"/>
  <c r="S85" i="16"/>
  <c r="AB19" i="16"/>
  <c r="O19" i="16"/>
  <c r="AC58" i="17"/>
  <c r="I58" i="17"/>
  <c r="AK94" i="18"/>
  <c r="Y94" i="18"/>
  <c r="F31" i="18"/>
  <c r="AB67" i="18"/>
  <c r="L67" i="18"/>
  <c r="X49" i="18"/>
  <c r="AF40" i="18"/>
  <c r="X40" i="18"/>
  <c r="P40" i="18"/>
  <c r="H40" i="18"/>
  <c r="AI19" i="18"/>
  <c r="AE19" i="18"/>
  <c r="W19" i="18"/>
  <c r="S19" i="18"/>
  <c r="O19" i="18"/>
  <c r="K19" i="18"/>
  <c r="G19" i="18"/>
  <c r="AL19" i="18"/>
  <c r="AH19" i="18"/>
  <c r="Z19" i="18"/>
  <c r="V19" i="18"/>
  <c r="R19" i="18"/>
  <c r="N19" i="18"/>
  <c r="J19" i="18"/>
  <c r="AL40" i="18"/>
  <c r="AH40" i="18"/>
  <c r="Z40" i="18"/>
  <c r="V40" i="18"/>
  <c r="R40" i="18"/>
  <c r="N40" i="18"/>
  <c r="J40" i="18"/>
  <c r="F40" i="18"/>
  <c r="AK40" i="18"/>
  <c r="AC40" i="18"/>
  <c r="Y40" i="18"/>
  <c r="U40" i="18"/>
  <c r="Q40" i="18"/>
  <c r="M40" i="18"/>
  <c r="I40" i="18"/>
  <c r="AC49" i="18"/>
  <c r="I49" i="18"/>
  <c r="AG67" i="18"/>
  <c r="AI94" i="18"/>
  <c r="AA94" i="18"/>
  <c r="AD94" i="18"/>
  <c r="X103" i="18"/>
  <c r="H103" i="18"/>
  <c r="G103" i="18"/>
  <c r="AH103" i="18"/>
  <c r="AD103" i="18"/>
  <c r="J103" i="18"/>
  <c r="AE103" i="18"/>
  <c r="W103" i="18"/>
  <c r="AG103" i="18"/>
  <c r="AC103" i="18"/>
  <c r="U103" i="18"/>
  <c r="AJ103" i="15"/>
  <c r="AJ58" i="14"/>
  <c r="AB3" i="14"/>
  <c r="P3" i="14"/>
  <c r="AH103" i="15"/>
  <c r="O3" i="15"/>
  <c r="AF94" i="16"/>
  <c r="X85" i="16"/>
  <c r="W49" i="16"/>
  <c r="O11" i="16"/>
  <c r="AG103" i="17"/>
  <c r="W103" i="17"/>
  <c r="G103" i="17"/>
  <c r="AI3" i="14"/>
  <c r="R94" i="12"/>
  <c r="X40" i="12"/>
  <c r="X67" i="13"/>
  <c r="AL19" i="13"/>
  <c r="T19" i="13"/>
  <c r="AJ76" i="14"/>
  <c r="T103" i="15"/>
  <c r="N85" i="15"/>
  <c r="AI67" i="15"/>
  <c r="W67" i="15"/>
  <c r="L67" i="15"/>
  <c r="I3" i="15"/>
  <c r="W85" i="16"/>
  <c r="O85" i="16"/>
  <c r="AF19" i="16"/>
  <c r="W19" i="16"/>
  <c r="L19" i="16"/>
  <c r="AA103" i="17"/>
  <c r="P103" i="17"/>
  <c r="AL94" i="12"/>
  <c r="L94" i="12"/>
  <c r="X58" i="13"/>
  <c r="K11" i="13"/>
  <c r="AJ3" i="14"/>
  <c r="AB103" i="15"/>
  <c r="AD85" i="15"/>
  <c r="W11" i="16"/>
  <c r="E85" i="17"/>
  <c r="AB85" i="17"/>
  <c r="P85" i="17"/>
  <c r="W67" i="17"/>
  <c r="AA67" i="17"/>
  <c r="AE94" i="17"/>
  <c r="AA94" i="17"/>
  <c r="AF94" i="17"/>
  <c r="E76" i="17"/>
  <c r="AB76" i="17"/>
  <c r="E31" i="17"/>
  <c r="AI31" i="17"/>
  <c r="O31" i="17"/>
  <c r="W31" i="17"/>
  <c r="AE31" i="17"/>
  <c r="E19" i="17"/>
  <c r="G19" i="17"/>
  <c r="W19" i="17"/>
  <c r="AE19" i="17"/>
  <c r="X31" i="17"/>
  <c r="H31" i="17"/>
  <c r="AF58" i="17"/>
  <c r="P58" i="17"/>
  <c r="H58" i="17"/>
  <c r="AH3" i="17"/>
  <c r="AD3" i="17"/>
  <c r="Z3" i="17"/>
  <c r="AH19" i="17"/>
  <c r="AD19" i="17"/>
  <c r="Z19" i="17"/>
  <c r="R19" i="17"/>
  <c r="F19" i="17"/>
  <c r="AG19" i="17"/>
  <c r="AC19" i="17"/>
  <c r="Y19" i="17"/>
  <c r="U19" i="17"/>
  <c r="I19" i="17"/>
  <c r="AH31" i="17"/>
  <c r="AD31" i="17"/>
  <c r="Z31" i="17"/>
  <c r="V31" i="17"/>
  <c r="J31" i="17"/>
  <c r="AK31" i="17"/>
  <c r="AG31" i="17"/>
  <c r="AC31" i="17"/>
  <c r="Y31" i="17"/>
  <c r="M31" i="17"/>
  <c r="AI58" i="17"/>
  <c r="AE58" i="17"/>
  <c r="S58" i="17"/>
  <c r="K58" i="17"/>
  <c r="G58" i="17"/>
  <c r="AH58" i="17"/>
  <c r="Z58" i="17"/>
  <c r="V58" i="17"/>
  <c r="R58" i="17"/>
  <c r="AD67" i="17"/>
  <c r="AK67" i="17"/>
  <c r="AC67" i="17"/>
  <c r="F76" i="17"/>
  <c r="AC76" i="17"/>
  <c r="AL85" i="17"/>
  <c r="AD85" i="17"/>
  <c r="AG85" i="17"/>
  <c r="U85" i="17"/>
  <c r="AD94" i="17"/>
  <c r="Z94" i="17"/>
  <c r="AK94" i="17"/>
  <c r="AH103" i="17"/>
  <c r="AD103" i="17"/>
  <c r="J103" i="17"/>
  <c r="AJ103" i="16"/>
  <c r="AB94" i="12"/>
  <c r="N94" i="12"/>
  <c r="AL40" i="12"/>
  <c r="S40" i="12"/>
  <c r="AJ76" i="13"/>
  <c r="AJ58" i="13"/>
  <c r="AJ67" i="14"/>
  <c r="AF85" i="15"/>
  <c r="V85" i="15"/>
  <c r="L85" i="15"/>
  <c r="AE11" i="15"/>
  <c r="G11" i="15"/>
  <c r="AK3" i="15"/>
  <c r="AF3" i="15"/>
  <c r="AA3" i="15"/>
  <c r="U3" i="15"/>
  <c r="P3" i="15"/>
  <c r="K3" i="15"/>
  <c r="E3" i="15"/>
  <c r="AD103" i="16"/>
  <c r="N103" i="16"/>
  <c r="AJ11" i="15"/>
  <c r="AB11" i="15"/>
  <c r="T11" i="15"/>
  <c r="AJ3" i="15"/>
  <c r="AE3" i="15"/>
  <c r="Y3" i="15"/>
  <c r="H3" i="16"/>
  <c r="X3" i="16"/>
  <c r="AF3" i="16"/>
  <c r="AA3" i="16"/>
  <c r="W3" i="16"/>
  <c r="AE3" i="16"/>
  <c r="AJ94" i="12"/>
  <c r="V94" i="12"/>
  <c r="F94" i="12"/>
  <c r="P94" i="13"/>
  <c r="P58" i="13"/>
  <c r="AB19" i="13"/>
  <c r="O67" i="14"/>
  <c r="L49" i="14"/>
  <c r="K31" i="14"/>
  <c r="AF3" i="14"/>
  <c r="T3" i="14"/>
  <c r="AF103" i="15"/>
  <c r="H103" i="15"/>
  <c r="AL85" i="15"/>
  <c r="AB85" i="15"/>
  <c r="P85" i="15"/>
  <c r="AF76" i="15"/>
  <c r="AF67" i="15"/>
  <c r="H67" i="15"/>
  <c r="AA11" i="15"/>
  <c r="S11" i="15"/>
  <c r="AI3" i="15"/>
  <c r="AC3" i="15"/>
  <c r="X3" i="15"/>
  <c r="S3" i="15"/>
  <c r="M3" i="15"/>
  <c r="H3" i="15"/>
  <c r="AH103" i="16"/>
  <c r="R103" i="16"/>
  <c r="J103" i="16"/>
  <c r="P11" i="15"/>
  <c r="AG3" i="15"/>
  <c r="AB3" i="15"/>
  <c r="W3" i="15"/>
  <c r="Q3" i="15"/>
  <c r="L3" i="15"/>
  <c r="G3" i="15"/>
  <c r="AF103" i="16"/>
  <c r="H76" i="16"/>
  <c r="Z76" i="16"/>
  <c r="AH76" i="16"/>
  <c r="F76" i="16"/>
  <c r="AI40" i="16"/>
  <c r="S40" i="16"/>
  <c r="AI19" i="16"/>
  <c r="AA19" i="16"/>
  <c r="S19" i="16"/>
  <c r="K19" i="16"/>
  <c r="P11" i="16"/>
  <c r="H11" i="16"/>
  <c r="W31" i="16"/>
  <c r="AE94" i="16"/>
  <c r="Z67" i="16"/>
  <c r="J67" i="16"/>
  <c r="AA49" i="16"/>
  <c r="S49" i="16"/>
  <c r="K49" i="16"/>
  <c r="AI11" i="16"/>
  <c r="AA11" i="16"/>
  <c r="S11" i="16"/>
  <c r="K11" i="16"/>
  <c r="AL3" i="16"/>
  <c r="V3" i="16"/>
  <c r="R3" i="16"/>
  <c r="J3" i="16"/>
  <c r="F3" i="16"/>
  <c r="AK3" i="16"/>
  <c r="U3" i="16"/>
  <c r="Q3" i="16"/>
  <c r="I3" i="16"/>
  <c r="AL11" i="16"/>
  <c r="AD11" i="16"/>
  <c r="Z11" i="16"/>
  <c r="V11" i="16"/>
  <c r="R11" i="16"/>
  <c r="N11" i="16"/>
  <c r="J11" i="16"/>
  <c r="F11" i="16"/>
  <c r="AG11" i="16"/>
  <c r="AC11" i="16"/>
  <c r="Y11" i="16"/>
  <c r="U11" i="16"/>
  <c r="Q11" i="16"/>
  <c r="M11" i="16"/>
  <c r="I11" i="16"/>
  <c r="AL19" i="16"/>
  <c r="AH19" i="16"/>
  <c r="AD19" i="16"/>
  <c r="Z19" i="16"/>
  <c r="V19" i="16"/>
  <c r="R19" i="16"/>
  <c r="N19" i="16"/>
  <c r="J19" i="16"/>
  <c r="F19" i="16"/>
  <c r="AK19" i="16"/>
  <c r="AG19" i="16"/>
  <c r="AC19" i="16"/>
  <c r="Y19" i="16"/>
  <c r="U19" i="16"/>
  <c r="Q19" i="16"/>
  <c r="M19" i="16"/>
  <c r="I19" i="16"/>
  <c r="AL31" i="16"/>
  <c r="U31" i="16"/>
  <c r="R40" i="16"/>
  <c r="J40" i="16"/>
  <c r="AL49" i="16"/>
  <c r="AH49" i="16"/>
  <c r="Q49" i="16"/>
  <c r="M49" i="16"/>
  <c r="I49" i="16"/>
  <c r="S67" i="16"/>
  <c r="Q67" i="16"/>
  <c r="AI76" i="16"/>
  <c r="W76" i="16"/>
  <c r="AG76" i="16"/>
  <c r="Y76" i="16"/>
  <c r="AH85" i="16"/>
  <c r="AD85" i="16"/>
  <c r="Z85" i="16"/>
  <c r="AK85" i="16"/>
  <c r="I85" i="16"/>
  <c r="AL94" i="16"/>
  <c r="AH94" i="16"/>
  <c r="AD94" i="16"/>
  <c r="AG94" i="16"/>
  <c r="M94" i="16"/>
  <c r="I94" i="16"/>
  <c r="AE103" i="16"/>
  <c r="G103" i="16"/>
  <c r="AG103" i="16"/>
  <c r="AC103" i="16"/>
  <c r="Y103" i="16"/>
  <c r="M103" i="16"/>
  <c r="E94" i="15"/>
  <c r="H94" i="15"/>
  <c r="X94" i="15"/>
  <c r="AF94" i="15"/>
  <c r="L94" i="15"/>
  <c r="V94" i="15"/>
  <c r="AH94" i="15"/>
  <c r="N94" i="15"/>
  <c r="AB94" i="15"/>
  <c r="AJ94" i="15"/>
  <c r="F94" i="15"/>
  <c r="Z94" i="15"/>
  <c r="AJ67" i="12"/>
  <c r="R67" i="12"/>
  <c r="AI40" i="12"/>
  <c r="Z40" i="12"/>
  <c r="P40" i="12"/>
  <c r="AF76" i="13"/>
  <c r="H76" i="13"/>
  <c r="AF58" i="13"/>
  <c r="H58" i="13"/>
  <c r="T49" i="13"/>
  <c r="AJ11" i="13"/>
  <c r="J94" i="14"/>
  <c r="L85" i="14"/>
  <c r="AG67" i="14"/>
  <c r="W67" i="14"/>
  <c r="L67" i="14"/>
  <c r="AB58" i="14"/>
  <c r="AF49" i="14"/>
  <c r="K49" i="14"/>
  <c r="AI40" i="14"/>
  <c r="X40" i="14"/>
  <c r="AD94" i="15"/>
  <c r="P85" i="13"/>
  <c r="P67" i="13"/>
  <c r="J40" i="13"/>
  <c r="AE103" i="14"/>
  <c r="T103" i="14"/>
  <c r="AE67" i="14"/>
  <c r="T67" i="14"/>
  <c r="I67" i="14"/>
  <c r="T58" i="14"/>
  <c r="AE40" i="14"/>
  <c r="T40" i="14"/>
  <c r="T94" i="15"/>
  <c r="AD94" i="12"/>
  <c r="T94" i="12"/>
  <c r="J94" i="12"/>
  <c r="AB67" i="12"/>
  <c r="F67" i="12"/>
  <c r="AE40" i="12"/>
  <c r="T40" i="12"/>
  <c r="H85" i="13"/>
  <c r="H67" i="13"/>
  <c r="T58" i="13"/>
  <c r="G40" i="13"/>
  <c r="G85" i="14"/>
  <c r="AB67" i="14"/>
  <c r="Q67" i="14"/>
  <c r="G67" i="14"/>
  <c r="L58" i="14"/>
  <c r="P49" i="14"/>
  <c r="G49" i="14"/>
  <c r="H40" i="14"/>
  <c r="J94" i="15"/>
  <c r="E85" i="15"/>
  <c r="R85" i="15"/>
  <c r="Z85" i="15"/>
  <c r="AH85" i="15"/>
  <c r="AL3" i="15"/>
  <c r="AH3" i="15"/>
  <c r="AD3" i="15"/>
  <c r="Z3" i="15"/>
  <c r="V3" i="15"/>
  <c r="R3" i="15"/>
  <c r="N3" i="15"/>
  <c r="J3" i="15"/>
  <c r="AH11" i="15"/>
  <c r="Z11" i="15"/>
  <c r="V11" i="15"/>
  <c r="R11" i="15"/>
  <c r="N11" i="15"/>
  <c r="AK11" i="15"/>
  <c r="AC11" i="15"/>
  <c r="Y11" i="15"/>
  <c r="U11" i="15"/>
  <c r="Q11" i="15"/>
  <c r="J40" i="15"/>
  <c r="AL49" i="15"/>
  <c r="AH49" i="15"/>
  <c r="V49" i="15"/>
  <c r="N49" i="15"/>
  <c r="J49" i="15"/>
  <c r="F49" i="15"/>
  <c r="Q49" i="15"/>
  <c r="M49" i="15"/>
  <c r="I49" i="15"/>
  <c r="AI58" i="15"/>
  <c r="W58" i="15"/>
  <c r="O58" i="15"/>
  <c r="AL58" i="15"/>
  <c r="Z58" i="15"/>
  <c r="R58" i="15"/>
  <c r="N58" i="15"/>
  <c r="J58" i="15"/>
  <c r="F58" i="15"/>
  <c r="Q58" i="15"/>
  <c r="M58" i="15"/>
  <c r="I58" i="15"/>
  <c r="AD67" i="15"/>
  <c r="V67" i="15"/>
  <c r="R67" i="15"/>
  <c r="N67" i="15"/>
  <c r="J67" i="15"/>
  <c r="AG67" i="15"/>
  <c r="Y67" i="15"/>
  <c r="U67" i="15"/>
  <c r="Q67" i="15"/>
  <c r="M67" i="15"/>
  <c r="I67" i="15"/>
  <c r="AE76" i="15"/>
  <c r="AA76" i="15"/>
  <c r="W76" i="15"/>
  <c r="S76" i="15"/>
  <c r="K76" i="15"/>
  <c r="G76" i="15"/>
  <c r="AK76" i="15"/>
  <c r="AC76" i="15"/>
  <c r="Y76" i="15"/>
  <c r="U76" i="15"/>
  <c r="M76" i="15"/>
  <c r="I76" i="15"/>
  <c r="AI85" i="15"/>
  <c r="AE85" i="15"/>
  <c r="W85" i="15"/>
  <c r="S85" i="15"/>
  <c r="K85" i="15"/>
  <c r="G85" i="15"/>
  <c r="AK85" i="15"/>
  <c r="AG85" i="15"/>
  <c r="AC85" i="15"/>
  <c r="U85" i="15"/>
  <c r="M85" i="15"/>
  <c r="I85" i="15"/>
  <c r="AI94" i="15"/>
  <c r="AE94" i="15"/>
  <c r="AA94" i="15"/>
  <c r="W94" i="15"/>
  <c r="O94" i="15"/>
  <c r="K94" i="15"/>
  <c r="G94" i="15"/>
  <c r="AK94" i="15"/>
  <c r="AG94" i="15"/>
  <c r="AC94" i="15"/>
  <c r="Y94" i="15"/>
  <c r="Q94" i="15"/>
  <c r="M94" i="15"/>
  <c r="I94" i="15"/>
  <c r="AI103" i="15"/>
  <c r="AE103" i="15"/>
  <c r="S103" i="15"/>
  <c r="O103" i="15"/>
  <c r="K103" i="15"/>
  <c r="G103" i="15"/>
  <c r="AK103" i="15"/>
  <c r="AG103" i="15"/>
  <c r="U103" i="15"/>
  <c r="Q103" i="15"/>
  <c r="M103" i="15"/>
  <c r="I103" i="15"/>
  <c r="E4" i="11"/>
  <c r="W11" i="12"/>
  <c r="O11" i="12"/>
  <c r="H11" i="12"/>
  <c r="Z31" i="13"/>
  <c r="Y11" i="12"/>
  <c r="S11" i="12"/>
  <c r="L11" i="12"/>
  <c r="E64" i="10"/>
  <c r="AF94" i="12"/>
  <c r="X94" i="12"/>
  <c r="P94" i="12"/>
  <c r="H94" i="12"/>
  <c r="Y58" i="12"/>
  <c r="AI11" i="12"/>
  <c r="AB11" i="12"/>
  <c r="T11" i="12"/>
  <c r="G11" i="12"/>
  <c r="L94" i="13"/>
  <c r="AB76" i="13"/>
  <c r="AB67" i="13"/>
  <c r="AB58" i="13"/>
  <c r="L58" i="13"/>
  <c r="X40" i="13"/>
  <c r="N40" i="13"/>
  <c r="AE11" i="13"/>
  <c r="J11" i="13"/>
  <c r="K11" i="14"/>
  <c r="S11" i="14"/>
  <c r="AA11" i="14"/>
  <c r="AI11" i="14"/>
  <c r="G11" i="14"/>
  <c r="O11" i="14"/>
  <c r="W11" i="14"/>
  <c r="H11" i="14"/>
  <c r="P11" i="14"/>
  <c r="X11" i="14"/>
  <c r="AF11" i="14"/>
  <c r="AB11" i="14"/>
  <c r="L11" i="14"/>
  <c r="T11" i="14"/>
  <c r="Z67" i="12"/>
  <c r="L67" i="12"/>
  <c r="AJ40" i="12"/>
  <c r="AD40" i="12"/>
  <c r="V40" i="12"/>
  <c r="H40" i="12"/>
  <c r="AE11" i="12"/>
  <c r="Q11" i="12"/>
  <c r="I11" i="12"/>
  <c r="AL40" i="13"/>
  <c r="AA40" i="13"/>
  <c r="V40" i="13"/>
  <c r="K40" i="13"/>
  <c r="AK40" i="14"/>
  <c r="U40" i="14"/>
  <c r="P40" i="14"/>
  <c r="K40" i="14"/>
  <c r="P19" i="14"/>
  <c r="AE3" i="14"/>
  <c r="W3" i="14"/>
  <c r="O3" i="14"/>
  <c r="G3" i="14"/>
  <c r="L94" i="14"/>
  <c r="X85" i="14"/>
  <c r="P85" i="14"/>
  <c r="X76" i="14"/>
  <c r="AI67" i="14"/>
  <c r="AC67" i="14"/>
  <c r="X67" i="14"/>
  <c r="S67" i="14"/>
  <c r="M67" i="14"/>
  <c r="H67" i="14"/>
  <c r="AF58" i="14"/>
  <c r="P58" i="14"/>
  <c r="L19" i="14"/>
  <c r="AK67" i="14"/>
  <c r="AF67" i="14"/>
  <c r="AA67" i="14"/>
  <c r="U67" i="14"/>
  <c r="P67" i="14"/>
  <c r="K67" i="14"/>
  <c r="E67" i="14"/>
  <c r="X58" i="14"/>
  <c r="H58" i="14"/>
  <c r="AE49" i="14"/>
  <c r="AG40" i="14"/>
  <c r="W40" i="14"/>
  <c r="L40" i="14"/>
  <c r="G40" i="14"/>
  <c r="AL3" i="14"/>
  <c r="AH3" i="14"/>
  <c r="AD3" i="14"/>
  <c r="Z3" i="14"/>
  <c r="V3" i="14"/>
  <c r="N3" i="14"/>
  <c r="J3" i="14"/>
  <c r="F3" i="14"/>
  <c r="AK3" i="14"/>
  <c r="AG3" i="14"/>
  <c r="AC3" i="14"/>
  <c r="Y3" i="14"/>
  <c r="Q3" i="14"/>
  <c r="M3" i="14"/>
  <c r="I3" i="14"/>
  <c r="AL11" i="14"/>
  <c r="AH11" i="14"/>
  <c r="AD11" i="14"/>
  <c r="Z11" i="14"/>
  <c r="R11" i="14"/>
  <c r="N11" i="14"/>
  <c r="J11" i="14"/>
  <c r="F11" i="14"/>
  <c r="AK11" i="14"/>
  <c r="AG11" i="14"/>
  <c r="AC11" i="14"/>
  <c r="U11" i="14"/>
  <c r="Q11" i="14"/>
  <c r="M11" i="14"/>
  <c r="I11" i="14"/>
  <c r="W19" i="14"/>
  <c r="S19" i="14"/>
  <c r="K19" i="14"/>
  <c r="G19" i="14"/>
  <c r="AL19" i="14"/>
  <c r="R19" i="14"/>
  <c r="N19" i="14"/>
  <c r="F19" i="14"/>
  <c r="AG19" i="14"/>
  <c r="AC19" i="14"/>
  <c r="M19" i="14"/>
  <c r="I19" i="14"/>
  <c r="AH40" i="14"/>
  <c r="AD40" i="14"/>
  <c r="V40" i="14"/>
  <c r="J40" i="14"/>
  <c r="AL49" i="14"/>
  <c r="AD49" i="14"/>
  <c r="V49" i="14"/>
  <c r="R49" i="14"/>
  <c r="F49" i="14"/>
  <c r="AK49" i="14"/>
  <c r="Y49" i="14"/>
  <c r="U49" i="14"/>
  <c r="Q49" i="14"/>
  <c r="AI58" i="14"/>
  <c r="AE58" i="14"/>
  <c r="AA58" i="14"/>
  <c r="W58" i="14"/>
  <c r="S58" i="14"/>
  <c r="O58" i="14"/>
  <c r="K58" i="14"/>
  <c r="G58" i="14"/>
  <c r="AL58" i="14"/>
  <c r="AH58" i="14"/>
  <c r="AD58" i="14"/>
  <c r="Z58" i="14"/>
  <c r="V58" i="14"/>
  <c r="R58" i="14"/>
  <c r="N58" i="14"/>
  <c r="J58" i="14"/>
  <c r="F58" i="14"/>
  <c r="AK58" i="14"/>
  <c r="AG58" i="14"/>
  <c r="AC58" i="14"/>
  <c r="Y58" i="14"/>
  <c r="U58" i="14"/>
  <c r="Q58" i="14"/>
  <c r="M58" i="14"/>
  <c r="I58" i="14"/>
  <c r="AL67" i="14"/>
  <c r="AH67" i="14"/>
  <c r="AD67" i="14"/>
  <c r="Z67" i="14"/>
  <c r="V67" i="14"/>
  <c r="R67" i="14"/>
  <c r="N67" i="14"/>
  <c r="J67" i="14"/>
  <c r="Z76" i="14"/>
  <c r="N76" i="14"/>
  <c r="J76" i="14"/>
  <c r="F76" i="14"/>
  <c r="I76" i="14"/>
  <c r="AH85" i="14"/>
  <c r="AD85" i="14"/>
  <c r="N85" i="14"/>
  <c r="AG85" i="14"/>
  <c r="AC85" i="14"/>
  <c r="U85" i="14"/>
  <c r="Y94" i="14"/>
  <c r="Q94" i="14"/>
  <c r="M94" i="14"/>
  <c r="AD103" i="14"/>
  <c r="X31" i="12"/>
  <c r="N31" i="12"/>
  <c r="AF58" i="12"/>
  <c r="Z31" i="12"/>
  <c r="BP42" i="10"/>
  <c r="AD67" i="12"/>
  <c r="T67" i="12"/>
  <c r="AH40" i="12"/>
  <c r="AB40" i="12"/>
  <c r="R40" i="12"/>
  <c r="L40" i="12"/>
  <c r="G40" i="12"/>
  <c r="L31" i="12"/>
  <c r="AK11" i="12"/>
  <c r="AF11" i="12"/>
  <c r="AA11" i="12"/>
  <c r="U11" i="12"/>
  <c r="P11" i="12"/>
  <c r="K11" i="12"/>
  <c r="AA3" i="12"/>
  <c r="I3" i="12"/>
  <c r="AB31" i="12"/>
  <c r="S31" i="12"/>
  <c r="AI3" i="12"/>
  <c r="H3" i="13"/>
  <c r="P3" i="13"/>
  <c r="AF3" i="13"/>
  <c r="K3" i="13"/>
  <c r="AA3" i="13"/>
  <c r="O3" i="13"/>
  <c r="AE3" i="13"/>
  <c r="T3" i="13"/>
  <c r="L3" i="13"/>
  <c r="AJ3" i="13"/>
  <c r="E31" i="13"/>
  <c r="G31" i="13"/>
  <c r="W31" i="13"/>
  <c r="AB31" i="13"/>
  <c r="AH31" i="13"/>
  <c r="H31" i="13"/>
  <c r="N31" i="13"/>
  <c r="S31" i="13"/>
  <c r="X31" i="13"/>
  <c r="F31" i="13"/>
  <c r="K31" i="13"/>
  <c r="P31" i="13"/>
  <c r="V31" i="13"/>
  <c r="AA31" i="13"/>
  <c r="AF31" i="13"/>
  <c r="O31" i="13"/>
  <c r="J31" i="13"/>
  <c r="AE31" i="13"/>
  <c r="AI94" i="13"/>
  <c r="AA94" i="13"/>
  <c r="S94" i="13"/>
  <c r="K94" i="13"/>
  <c r="AI85" i="13"/>
  <c r="K85" i="13"/>
  <c r="AA76" i="13"/>
  <c r="S76" i="13"/>
  <c r="K76" i="13"/>
  <c r="AI58" i="13"/>
  <c r="AA58" i="13"/>
  <c r="S58" i="13"/>
  <c r="K58" i="13"/>
  <c r="AF19" i="13"/>
  <c r="X19" i="13"/>
  <c r="P19" i="13"/>
  <c r="W11" i="13"/>
  <c r="R11" i="13"/>
  <c r="L11" i="13"/>
  <c r="AE94" i="13"/>
  <c r="W94" i="13"/>
  <c r="O94" i="13"/>
  <c r="AE76" i="13"/>
  <c r="W76" i="13"/>
  <c r="G76" i="13"/>
  <c r="AE67" i="13"/>
  <c r="O67" i="13"/>
  <c r="AE58" i="13"/>
  <c r="W58" i="13"/>
  <c r="O58" i="13"/>
  <c r="G58" i="13"/>
  <c r="W49" i="13"/>
  <c r="AH19" i="13"/>
  <c r="R19" i="13"/>
  <c r="J19" i="13"/>
  <c r="AI11" i="13"/>
  <c r="AD11" i="13"/>
  <c r="X11" i="13"/>
  <c r="S11" i="13"/>
  <c r="AD3" i="13"/>
  <c r="Z3" i="13"/>
  <c r="V3" i="13"/>
  <c r="R3" i="13"/>
  <c r="N3" i="13"/>
  <c r="J3" i="13"/>
  <c r="AC3" i="13"/>
  <c r="U3" i="13"/>
  <c r="Q3" i="13"/>
  <c r="M3" i="13"/>
  <c r="AK11" i="13"/>
  <c r="AC11" i="13"/>
  <c r="U11" i="13"/>
  <c r="Q11" i="13"/>
  <c r="AE19" i="13"/>
  <c r="AA19" i="13"/>
  <c r="W19" i="13"/>
  <c r="S19" i="13"/>
  <c r="O19" i="13"/>
  <c r="K19" i="13"/>
  <c r="G19" i="13"/>
  <c r="AG19" i="13"/>
  <c r="AC19" i="13"/>
  <c r="Y19" i="13"/>
  <c r="U19" i="13"/>
  <c r="Q19" i="13"/>
  <c r="M19" i="13"/>
  <c r="I19" i="13"/>
  <c r="AK31" i="13"/>
  <c r="AG31" i="13"/>
  <c r="AC31" i="13"/>
  <c r="Y31" i="13"/>
  <c r="U31" i="13"/>
  <c r="Q31" i="13"/>
  <c r="M31" i="13"/>
  <c r="AG40" i="13"/>
  <c r="Y40" i="13"/>
  <c r="M40" i="13"/>
  <c r="AD49" i="13"/>
  <c r="AC49" i="13"/>
  <c r="Q49" i="13"/>
  <c r="AL58" i="13"/>
  <c r="AH58" i="13"/>
  <c r="AD58" i="13"/>
  <c r="Z58" i="13"/>
  <c r="V58" i="13"/>
  <c r="R58" i="13"/>
  <c r="N58" i="13"/>
  <c r="J58" i="13"/>
  <c r="F58" i="13"/>
  <c r="AK58" i="13"/>
  <c r="AG58" i="13"/>
  <c r="AC58" i="13"/>
  <c r="Y58" i="13"/>
  <c r="U58" i="13"/>
  <c r="Q58" i="13"/>
  <c r="M58" i="13"/>
  <c r="I58" i="13"/>
  <c r="AD67" i="13"/>
  <c r="V67" i="13"/>
  <c r="N67" i="13"/>
  <c r="J67" i="13"/>
  <c r="AK67" i="13"/>
  <c r="U67" i="13"/>
  <c r="Q67" i="13"/>
  <c r="AL76" i="13"/>
  <c r="AH76" i="13"/>
  <c r="AD76" i="13"/>
  <c r="N76" i="13"/>
  <c r="F76" i="13"/>
  <c r="AG76" i="13"/>
  <c r="AC76" i="13"/>
  <c r="Y76" i="13"/>
  <c r="AL85" i="13"/>
  <c r="AH85" i="13"/>
  <c r="Z85" i="13"/>
  <c r="V85" i="13"/>
  <c r="J85" i="13"/>
  <c r="AG85" i="13"/>
  <c r="AC85" i="13"/>
  <c r="U85" i="13"/>
  <c r="I85" i="13"/>
  <c r="AH94" i="13"/>
  <c r="AD94" i="13"/>
  <c r="V94" i="13"/>
  <c r="N94" i="13"/>
  <c r="J94" i="13"/>
  <c r="F94" i="13"/>
  <c r="AG94" i="13"/>
  <c r="AC94" i="13"/>
  <c r="Y94" i="13"/>
  <c r="M94" i="13"/>
  <c r="I94" i="13"/>
  <c r="Y103" i="13"/>
  <c r="U103" i="13"/>
  <c r="AJ42" i="10"/>
  <c r="CF42" i="10"/>
  <c r="T42" i="10"/>
  <c r="K103" i="12"/>
  <c r="AZ42" i="10"/>
  <c r="X32" i="10"/>
  <c r="E76" i="12"/>
  <c r="G76" i="12"/>
  <c r="O76" i="12"/>
  <c r="AE76" i="12"/>
  <c r="L76" i="12"/>
  <c r="X76" i="12"/>
  <c r="AI76" i="12"/>
  <c r="H76" i="12"/>
  <c r="S76" i="12"/>
  <c r="AB76" i="12"/>
  <c r="T76" i="12"/>
  <c r="AF76" i="12"/>
  <c r="P76" i="12"/>
  <c r="AA76" i="12"/>
  <c r="AJ76" i="12"/>
  <c r="E49" i="12"/>
  <c r="K49" i="12"/>
  <c r="S49" i="12"/>
  <c r="AA49" i="12"/>
  <c r="AI49" i="12"/>
  <c r="L49" i="12"/>
  <c r="W49" i="12"/>
  <c r="AF49" i="12"/>
  <c r="G49" i="12"/>
  <c r="P49" i="12"/>
  <c r="AB49" i="12"/>
  <c r="H49" i="12"/>
  <c r="T49" i="12"/>
  <c r="AE49" i="12"/>
  <c r="O49" i="12"/>
  <c r="X49" i="12"/>
  <c r="AJ49" i="12"/>
  <c r="E85" i="12"/>
  <c r="N85" i="12"/>
  <c r="V85" i="12"/>
  <c r="AD85" i="12"/>
  <c r="AL85" i="12"/>
  <c r="L85" i="12"/>
  <c r="X85" i="12"/>
  <c r="AH85" i="12"/>
  <c r="R85" i="12"/>
  <c r="AB85" i="12"/>
  <c r="J85" i="12"/>
  <c r="T85" i="12"/>
  <c r="AF85" i="12"/>
  <c r="F58" i="12"/>
  <c r="H58" i="12"/>
  <c r="M58" i="12"/>
  <c r="S58" i="12"/>
  <c r="X58" i="12"/>
  <c r="AC58" i="12"/>
  <c r="AI58" i="12"/>
  <c r="I58" i="12"/>
  <c r="P58" i="12"/>
  <c r="W58" i="12"/>
  <c r="AE58" i="12"/>
  <c r="AK58" i="12"/>
  <c r="E58" i="12"/>
  <c r="L58" i="12"/>
  <c r="T58" i="12"/>
  <c r="AA58" i="12"/>
  <c r="AG58" i="12"/>
  <c r="G58" i="12"/>
  <c r="O58" i="12"/>
  <c r="U58" i="12"/>
  <c r="AB58" i="12"/>
  <c r="AJ58" i="12"/>
  <c r="AJ85" i="12"/>
  <c r="Z85" i="12"/>
  <c r="Q58" i="12"/>
  <c r="K31" i="12"/>
  <c r="P31" i="12"/>
  <c r="V31" i="12"/>
  <c r="AF31" i="12"/>
  <c r="AL31" i="12"/>
  <c r="Q3" i="12"/>
  <c r="W3" i="12"/>
  <c r="AG3" i="12"/>
  <c r="E67" i="12"/>
  <c r="H67" i="12"/>
  <c r="X67" i="12"/>
  <c r="AF67" i="12"/>
  <c r="AD31" i="12"/>
  <c r="W31" i="12"/>
  <c r="H19" i="12"/>
  <c r="X19" i="12"/>
  <c r="F11" i="12"/>
  <c r="N11" i="12"/>
  <c r="R11" i="12"/>
  <c r="V11" i="12"/>
  <c r="Z11" i="12"/>
  <c r="AD11" i="12"/>
  <c r="AH11" i="12"/>
  <c r="AL11" i="12"/>
  <c r="U3" i="12"/>
  <c r="O3" i="12"/>
  <c r="AH3" i="12"/>
  <c r="Z3" i="12"/>
  <c r="V3" i="12"/>
  <c r="R3" i="12"/>
  <c r="AG19" i="12"/>
  <c r="AG31" i="12"/>
  <c r="AC31" i="12"/>
  <c r="Y31" i="12"/>
  <c r="M31" i="12"/>
  <c r="I31" i="12"/>
  <c r="AG40" i="12"/>
  <c r="AC40" i="12"/>
  <c r="Q40" i="12"/>
  <c r="M40" i="12"/>
  <c r="I40" i="12"/>
  <c r="AL49" i="12"/>
  <c r="AH49" i="12"/>
  <c r="AD49" i="12"/>
  <c r="Z49" i="12"/>
  <c r="V49" i="12"/>
  <c r="R49" i="12"/>
  <c r="N49" i="12"/>
  <c r="J49" i="12"/>
  <c r="F49" i="12"/>
  <c r="AK49" i="12"/>
  <c r="AG49" i="12"/>
  <c r="AC49" i="12"/>
  <c r="Y49" i="12"/>
  <c r="U49" i="12"/>
  <c r="Q49" i="12"/>
  <c r="M49" i="12"/>
  <c r="I49" i="12"/>
  <c r="AL58" i="12"/>
  <c r="AH58" i="12"/>
  <c r="AD58" i="12"/>
  <c r="Z58" i="12"/>
  <c r="V58" i="12"/>
  <c r="R58" i="12"/>
  <c r="N58" i="12"/>
  <c r="J58" i="12"/>
  <c r="AI67" i="12"/>
  <c r="AE67" i="12"/>
  <c r="AA67" i="12"/>
  <c r="W67" i="12"/>
  <c r="S67" i="12"/>
  <c r="K67" i="12"/>
  <c r="G67" i="12"/>
  <c r="AK67" i="12"/>
  <c r="AG67" i="12"/>
  <c r="AC67" i="12"/>
  <c r="Y67" i="12"/>
  <c r="U67" i="12"/>
  <c r="M67" i="12"/>
  <c r="I67" i="12"/>
  <c r="AL76" i="12"/>
  <c r="AH76" i="12"/>
  <c r="AD76" i="12"/>
  <c r="Z76" i="12"/>
  <c r="V76" i="12"/>
  <c r="N76" i="12"/>
  <c r="J76" i="12"/>
  <c r="F76" i="12"/>
  <c r="AK76" i="12"/>
  <c r="AG76" i="12"/>
  <c r="AC76" i="12"/>
  <c r="Y76" i="12"/>
  <c r="Q76" i="12"/>
  <c r="M76" i="12"/>
  <c r="I76" i="12"/>
  <c r="AI85" i="12"/>
  <c r="AE85" i="12"/>
  <c r="AA85" i="12"/>
  <c r="W85" i="12"/>
  <c r="O85" i="12"/>
  <c r="K85" i="12"/>
  <c r="G85" i="12"/>
  <c r="AK85" i="12"/>
  <c r="AG85" i="12"/>
  <c r="AC85" i="12"/>
  <c r="Y85" i="12"/>
  <c r="Q85" i="12"/>
  <c r="M85" i="12"/>
  <c r="I85" i="12"/>
  <c r="AI94" i="12"/>
  <c r="AE94" i="12"/>
  <c r="AA94" i="12"/>
  <c r="W94" i="12"/>
  <c r="S94" i="12"/>
  <c r="O94" i="12"/>
  <c r="K94" i="12"/>
  <c r="G94" i="12"/>
  <c r="AK94" i="12"/>
  <c r="AG94" i="12"/>
  <c r="AC94" i="12"/>
  <c r="Y94" i="12"/>
  <c r="U94" i="12"/>
  <c r="Q94" i="12"/>
  <c r="M94" i="12"/>
  <c r="I94" i="12"/>
  <c r="CN42" i="10"/>
  <c r="BX42" i="10"/>
  <c r="BH42" i="10"/>
  <c r="AR42" i="10"/>
  <c r="AB42" i="10"/>
  <c r="L42" i="10"/>
  <c r="CI42" i="10"/>
  <c r="BS42" i="10"/>
  <c r="BC42" i="10"/>
  <c r="AM42" i="10"/>
  <c r="W42" i="10"/>
  <c r="G42" i="10"/>
  <c r="AB32" i="10"/>
  <c r="AY4" i="8"/>
  <c r="CQ42" i="10"/>
  <c r="CA42" i="10"/>
  <c r="BK42" i="10"/>
  <c r="AU42" i="10"/>
  <c r="AE42" i="10"/>
  <c r="O42" i="10"/>
  <c r="AF32" i="10"/>
  <c r="L32" i="10"/>
  <c r="H4" i="11"/>
  <c r="G4" i="11"/>
  <c r="J4" i="11"/>
  <c r="BI4" i="11"/>
  <c r="BP4" i="11"/>
  <c r="AJ4" i="11"/>
  <c r="AO4" i="11"/>
  <c r="AV4" i="11"/>
  <c r="BF4" i="11"/>
  <c r="BN4" i="11"/>
  <c r="BS4" i="11"/>
  <c r="AO4" i="8"/>
  <c r="D10" i="9"/>
  <c r="G10" i="9"/>
  <c r="AE10" i="9"/>
  <c r="K10" i="9"/>
  <c r="O10" i="9"/>
  <c r="F4" i="8"/>
  <c r="BB4" i="8"/>
  <c r="BJ4" i="8"/>
  <c r="AT4" i="8"/>
  <c r="BG4" i="8"/>
  <c r="W4" i="8"/>
  <c r="D4" i="9"/>
  <c r="I4" i="9"/>
  <c r="S4" i="9"/>
  <c r="K4" i="9"/>
  <c r="U4" i="9"/>
  <c r="CM42" i="10"/>
  <c r="CE42" i="10"/>
  <c r="BW42" i="10"/>
  <c r="BO42" i="10"/>
  <c r="BG42" i="10"/>
  <c r="AY42" i="10"/>
  <c r="AQ42" i="10"/>
  <c r="AI42" i="10"/>
  <c r="AA42" i="10"/>
  <c r="S42" i="10"/>
  <c r="K42" i="10"/>
  <c r="AE7" i="9"/>
  <c r="H64" i="10"/>
  <c r="CR42" i="10"/>
  <c r="CJ42" i="10"/>
  <c r="CB42" i="10"/>
  <c r="BT42" i="10"/>
  <c r="BL42" i="10"/>
  <c r="BD42" i="10"/>
  <c r="AV42" i="10"/>
  <c r="AN42" i="10"/>
  <c r="AF42" i="10"/>
  <c r="X42" i="10"/>
  <c r="P42" i="10"/>
  <c r="H42" i="10"/>
  <c r="AI32" i="10"/>
  <c r="AA32" i="10"/>
  <c r="S32" i="10"/>
  <c r="K32" i="10"/>
  <c r="AH4" i="10"/>
  <c r="G4" i="10"/>
  <c r="Y4" i="10"/>
  <c r="I71" i="10"/>
  <c r="H72" i="10"/>
  <c r="AE40" i="10"/>
  <c r="O40" i="10"/>
  <c r="AL40" i="10"/>
  <c r="AI39" i="10"/>
  <c r="AE39" i="10"/>
  <c r="AA39" i="10"/>
  <c r="W39" i="10"/>
  <c r="S39" i="10"/>
  <c r="O39" i="10"/>
  <c r="K39" i="10"/>
  <c r="G39" i="10"/>
  <c r="AL39" i="10"/>
  <c r="AH39" i="10"/>
  <c r="AD39" i="10"/>
  <c r="Z39" i="10"/>
  <c r="V39" i="10"/>
  <c r="R39" i="10"/>
  <c r="N39" i="10"/>
  <c r="J39" i="10"/>
  <c r="W38" i="10"/>
  <c r="J38" i="10"/>
  <c r="AI37" i="10"/>
  <c r="W37" i="10"/>
  <c r="G37" i="10"/>
  <c r="V37" i="10"/>
  <c r="R37" i="10"/>
  <c r="N37" i="10"/>
  <c r="J37" i="10"/>
  <c r="W36" i="10"/>
  <c r="S36" i="10"/>
  <c r="G36" i="10"/>
  <c r="Z36" i="10"/>
  <c r="AJ35" i="10"/>
  <c r="AF35" i="10"/>
  <c r="AB35" i="10"/>
  <c r="X35" i="10"/>
  <c r="P35" i="10"/>
  <c r="L35" i="10"/>
  <c r="H35" i="10"/>
  <c r="AE35" i="10"/>
  <c r="AA35" i="10"/>
  <c r="W35" i="10"/>
  <c r="O35" i="10"/>
  <c r="K35" i="10"/>
  <c r="G35" i="10"/>
  <c r="AL35" i="10"/>
  <c r="AD35" i="10"/>
  <c r="Z35" i="10"/>
  <c r="R35" i="10"/>
  <c r="N35" i="10"/>
  <c r="J35" i="10"/>
  <c r="AJ34" i="10"/>
  <c r="AB34" i="10"/>
  <c r="X34" i="10"/>
  <c r="L34" i="10"/>
  <c r="H34" i="10"/>
  <c r="AI34" i="10"/>
  <c r="AA34" i="10"/>
  <c r="W34" i="10"/>
  <c r="S34" i="10"/>
  <c r="K34" i="10"/>
  <c r="AL34" i="10"/>
  <c r="AD34" i="10"/>
  <c r="Z34" i="10"/>
  <c r="V34" i="10"/>
  <c r="R34" i="10"/>
  <c r="J34" i="10"/>
  <c r="AL32" i="10"/>
  <c r="Z32" i="10"/>
  <c r="V32" i="10"/>
  <c r="R32" i="10"/>
  <c r="N32" i="10"/>
  <c r="F32" i="10"/>
  <c r="AG32" i="10"/>
  <c r="AC32" i="10"/>
  <c r="U32" i="10"/>
  <c r="Q32" i="10"/>
  <c r="M32" i="10"/>
  <c r="CP42" i="10"/>
  <c r="CL42" i="10"/>
  <c r="CH42" i="10"/>
  <c r="CD42" i="10"/>
  <c r="BZ42" i="10"/>
  <c r="BV42" i="10"/>
  <c r="BR42" i="10"/>
  <c r="BN42" i="10"/>
  <c r="BJ42" i="10"/>
  <c r="BF42" i="10"/>
  <c r="BB42" i="10"/>
  <c r="AX42" i="10"/>
  <c r="AT42" i="10"/>
  <c r="AP42" i="10"/>
  <c r="AL42" i="10"/>
  <c r="AH42" i="10"/>
  <c r="AD42" i="10"/>
  <c r="Z42" i="10"/>
  <c r="V42" i="10"/>
  <c r="R42" i="10"/>
  <c r="N42" i="10"/>
  <c r="J42" i="10"/>
  <c r="F42" i="10"/>
  <c r="CS42" i="10"/>
  <c r="CO42" i="10"/>
  <c r="CK42" i="10"/>
  <c r="CG42" i="10"/>
  <c r="CC42" i="10"/>
  <c r="BY42" i="10"/>
  <c r="BU42" i="10"/>
  <c r="BQ42" i="10"/>
  <c r="BM42" i="10"/>
  <c r="BI42" i="10"/>
  <c r="BE42" i="10"/>
  <c r="BA42" i="10"/>
  <c r="AW42" i="10"/>
  <c r="AS42" i="10"/>
  <c r="AO42" i="10"/>
  <c r="AK42" i="10"/>
  <c r="AG42" i="10"/>
  <c r="AC42" i="10"/>
  <c r="Y42" i="10"/>
  <c r="U42" i="10"/>
  <c r="Q42" i="10"/>
  <c r="M42" i="10"/>
  <c r="I42" i="10"/>
  <c r="G71" i="10"/>
  <c r="H73" i="10"/>
  <c r="G73" i="10"/>
  <c r="E73" i="10"/>
  <c r="G72" i="10"/>
  <c r="E71" i="10"/>
  <c r="H71" i="10"/>
  <c r="H69" i="10"/>
  <c r="G69" i="10"/>
  <c r="I69" i="10"/>
  <c r="E69" i="10"/>
  <c r="G68" i="10"/>
  <c r="H67" i="10"/>
  <c r="J73" i="10"/>
  <c r="F72" i="10"/>
  <c r="J71" i="10"/>
  <c r="J70" i="10"/>
  <c r="J69" i="10"/>
  <c r="I68" i="10"/>
  <c r="G67" i="10"/>
  <c r="J67" i="10"/>
  <c r="F67" i="10"/>
  <c r="I67" i="10"/>
  <c r="G64" i="10"/>
  <c r="AF4" i="6"/>
  <c r="BT4" i="7"/>
  <c r="BD4" i="7"/>
  <c r="AN4" i="7"/>
  <c r="X4" i="7"/>
  <c r="H4" i="7"/>
  <c r="AI4" i="8"/>
  <c r="AC4" i="8"/>
  <c r="S10" i="9"/>
  <c r="I10" i="9"/>
  <c r="R7" i="9"/>
  <c r="J7" i="9"/>
  <c r="AE4" i="9"/>
  <c r="O4" i="9"/>
  <c r="G4" i="9"/>
  <c r="BP4" i="7"/>
  <c r="AZ4" i="7"/>
  <c r="AJ4" i="7"/>
  <c r="CR4" i="7"/>
  <c r="CB4" i="7"/>
  <c r="BL4" i="7"/>
  <c r="AV4" i="7"/>
  <c r="AF4" i="7"/>
  <c r="P4" i="7"/>
  <c r="AA10" i="9"/>
  <c r="M10" i="9"/>
  <c r="E10" i="9"/>
  <c r="AH7" i="9"/>
  <c r="V7" i="9"/>
  <c r="N7" i="9"/>
  <c r="F7" i="9"/>
  <c r="CR4" i="6"/>
  <c r="CN4" i="7"/>
  <c r="BX4" i="7"/>
  <c r="BH4" i="7"/>
  <c r="AR4" i="7"/>
  <c r="AB4" i="7"/>
  <c r="AH4" i="9"/>
  <c r="AD4" i="9"/>
  <c r="V4" i="9"/>
  <c r="R4" i="9"/>
  <c r="AJ4" i="9"/>
  <c r="AF4" i="9"/>
  <c r="X4" i="9"/>
  <c r="T4" i="9"/>
  <c r="AD7" i="9"/>
  <c r="AG7" i="9"/>
  <c r="Q7" i="9"/>
  <c r="M7" i="9"/>
  <c r="I7" i="9"/>
  <c r="E7" i="9"/>
  <c r="AB7" i="9"/>
  <c r="P7" i="9"/>
  <c r="H7" i="9"/>
  <c r="AI10" i="9"/>
  <c r="AH10" i="9"/>
  <c r="AD10" i="9"/>
  <c r="Z10" i="9"/>
  <c r="V10" i="9"/>
  <c r="R10" i="9"/>
  <c r="N10" i="9"/>
  <c r="J10" i="9"/>
  <c r="F10" i="9"/>
  <c r="AK10" i="9"/>
  <c r="AG10" i="9"/>
  <c r="AC10" i="9"/>
  <c r="Y10" i="9"/>
  <c r="U10" i="9"/>
  <c r="Q10" i="9"/>
  <c r="AJ10" i="9"/>
  <c r="AF10" i="9"/>
  <c r="AB10" i="9"/>
  <c r="X10" i="9"/>
  <c r="T10" i="9"/>
  <c r="P10" i="9"/>
  <c r="L10" i="9"/>
  <c r="H10" i="9"/>
  <c r="AI13" i="9"/>
  <c r="S13" i="9"/>
  <c r="K13" i="9"/>
  <c r="G13" i="9"/>
  <c r="AD13" i="9"/>
  <c r="V13" i="9"/>
  <c r="F13" i="9"/>
  <c r="Y13" i="9"/>
  <c r="M13" i="9"/>
  <c r="E13" i="9"/>
  <c r="AJ13" i="9"/>
  <c r="X13" i="9"/>
  <c r="T13" i="9"/>
  <c r="L13" i="9"/>
  <c r="BP4" i="6"/>
  <c r="AJ4" i="6"/>
  <c r="G4" i="6"/>
  <c r="T49" i="7"/>
  <c r="BA4" i="8"/>
  <c r="AU4" i="8"/>
  <c r="AP4" i="8"/>
  <c r="BH4" i="8"/>
  <c r="AR4" i="8"/>
  <c r="AN4" i="8"/>
  <c r="AF4" i="8"/>
  <c r="T4" i="8"/>
  <c r="P4" i="8"/>
  <c r="AF49" i="7"/>
  <c r="P49" i="7"/>
  <c r="H10" i="6"/>
  <c r="BT4" i="6"/>
  <c r="BD4" i="6"/>
  <c r="X4" i="6"/>
  <c r="AN49" i="7"/>
  <c r="X49" i="7"/>
  <c r="H49" i="7"/>
  <c r="P10" i="6"/>
  <c r="T7" i="6"/>
  <c r="CN4" i="6"/>
  <c r="AR4" i="6"/>
  <c r="AB4" i="6"/>
  <c r="L4" i="6"/>
  <c r="AR49" i="7"/>
  <c r="AB49" i="7"/>
  <c r="L49" i="7"/>
  <c r="CO24" i="7"/>
  <c r="CK24" i="7"/>
  <c r="CC24" i="7"/>
  <c r="BU24" i="7"/>
  <c r="BI24" i="7"/>
  <c r="BE24" i="7"/>
  <c r="AW24" i="7"/>
  <c r="AO24" i="7"/>
  <c r="BP15" i="7"/>
  <c r="BL15" i="7"/>
  <c r="BD15" i="7"/>
  <c r="AN15" i="7"/>
  <c r="X15" i="7"/>
  <c r="CE15" i="7"/>
  <c r="AY15" i="7"/>
  <c r="AA15" i="7"/>
  <c r="O15" i="7"/>
  <c r="BZ15" i="7"/>
  <c r="BV15" i="7"/>
  <c r="BF15" i="7"/>
  <c r="AP15" i="7"/>
  <c r="AH15" i="7"/>
  <c r="V15" i="7"/>
  <c r="N15" i="7"/>
  <c r="F15" i="7"/>
  <c r="AJ15" i="7"/>
  <c r="CQ15" i="7"/>
  <c r="CA15" i="7"/>
  <c r="BO15" i="7"/>
  <c r="CS15" i="7"/>
  <c r="CK15" i="7"/>
  <c r="CC15" i="7"/>
  <c r="BI15" i="7"/>
  <c r="BA15" i="7"/>
  <c r="AW15" i="7"/>
  <c r="AS15" i="7"/>
  <c r="Q15" i="7"/>
  <c r="CQ4" i="7"/>
  <c r="CI4" i="7"/>
  <c r="CA4" i="7"/>
  <c r="BS4" i="7"/>
  <c r="BK4" i="7"/>
  <c r="BC4" i="7"/>
  <c r="AU4" i="7"/>
  <c r="S4" i="7"/>
  <c r="G4" i="7"/>
  <c r="CP4" i="7"/>
  <c r="CL4" i="7"/>
  <c r="CH4" i="7"/>
  <c r="CD4" i="7"/>
  <c r="BZ4" i="7"/>
  <c r="BR4" i="7"/>
  <c r="BN4" i="7"/>
  <c r="BJ4" i="7"/>
  <c r="BF4" i="7"/>
  <c r="BB4" i="7"/>
  <c r="AX4" i="7"/>
  <c r="AT4" i="7"/>
  <c r="AL4" i="7"/>
  <c r="AH4" i="7"/>
  <c r="AD4" i="7"/>
  <c r="Z4" i="7"/>
  <c r="V4" i="7"/>
  <c r="R4" i="7"/>
  <c r="N4" i="7"/>
  <c r="F4" i="7"/>
  <c r="CM4" i="7"/>
  <c r="CE4" i="7"/>
  <c r="BW4" i="7"/>
  <c r="BO4" i="7"/>
  <c r="BG4" i="7"/>
  <c r="AY4" i="7"/>
  <c r="AI4" i="7"/>
  <c r="AE4" i="7"/>
  <c r="AA4" i="7"/>
  <c r="W4" i="7"/>
  <c r="O4" i="7"/>
  <c r="K4" i="7"/>
  <c r="CS4" i="7"/>
  <c r="CK4" i="7"/>
  <c r="CG4" i="7"/>
  <c r="CC4" i="7"/>
  <c r="BY4" i="7"/>
  <c r="BU4" i="7"/>
  <c r="BQ4" i="7"/>
  <c r="BM4" i="7"/>
  <c r="BE4" i="7"/>
  <c r="BA4" i="7"/>
  <c r="AW4" i="7"/>
  <c r="AS4" i="7"/>
  <c r="AO4" i="7"/>
  <c r="AK4" i="7"/>
  <c r="AG4" i="7"/>
  <c r="Y4" i="7"/>
  <c r="U4" i="7"/>
  <c r="Q4" i="7"/>
  <c r="M4" i="7"/>
  <c r="I4" i="7"/>
  <c r="CC51" i="7"/>
  <c r="CH51" i="7"/>
  <c r="BN51" i="7"/>
  <c r="AL51" i="7"/>
  <c r="CE51" i="7"/>
  <c r="CR49" i="7"/>
  <c r="CN49" i="7"/>
  <c r="CF49" i="7"/>
  <c r="BX49" i="7"/>
  <c r="BT49" i="7"/>
  <c r="BL49" i="7"/>
  <c r="AZ49" i="7"/>
  <c r="CQ49" i="7"/>
  <c r="CM49" i="7"/>
  <c r="CE49" i="7"/>
  <c r="CA49" i="7"/>
  <c r="BS49" i="7"/>
  <c r="BK49" i="7"/>
  <c r="BC49" i="7"/>
  <c r="AU49" i="7"/>
  <c r="AM49" i="7"/>
  <c r="AE49" i="7"/>
  <c r="W49" i="7"/>
  <c r="S49" i="7"/>
  <c r="O49" i="7"/>
  <c r="G49" i="7"/>
  <c r="CP49" i="7"/>
  <c r="CL49" i="7"/>
  <c r="CH49" i="7"/>
  <c r="CD49" i="7"/>
  <c r="BZ49" i="7"/>
  <c r="BV49" i="7"/>
  <c r="BR49" i="7"/>
  <c r="BN49" i="7"/>
  <c r="BJ49" i="7"/>
  <c r="BF49" i="7"/>
  <c r="BB49" i="7"/>
  <c r="AX49" i="7"/>
  <c r="AT49" i="7"/>
  <c r="AP49" i="7"/>
  <c r="AL49" i="7"/>
  <c r="AH49" i="7"/>
  <c r="AD49" i="7"/>
  <c r="Z49" i="7"/>
  <c r="V49" i="7"/>
  <c r="R49" i="7"/>
  <c r="N49" i="7"/>
  <c r="J49" i="7"/>
  <c r="F49" i="7"/>
  <c r="CJ49" i="7"/>
  <c r="CB49" i="7"/>
  <c r="BP49" i="7"/>
  <c r="BH49" i="7"/>
  <c r="BD49" i="7"/>
  <c r="AV49" i="7"/>
  <c r="CI49" i="7"/>
  <c r="BW49" i="7"/>
  <c r="BO49" i="7"/>
  <c r="BG49" i="7"/>
  <c r="AY49" i="7"/>
  <c r="AQ49" i="7"/>
  <c r="AI49" i="7"/>
  <c r="AA49" i="7"/>
  <c r="K49" i="7"/>
  <c r="CS49" i="7"/>
  <c r="CO49" i="7"/>
  <c r="CK49" i="7"/>
  <c r="CG49" i="7"/>
  <c r="CC49" i="7"/>
  <c r="BY49" i="7"/>
  <c r="BU49" i="7"/>
  <c r="BQ49" i="7"/>
  <c r="BM49" i="7"/>
  <c r="BI49" i="7"/>
  <c r="BE49" i="7"/>
  <c r="BA49" i="7"/>
  <c r="AW49" i="7"/>
  <c r="AS49" i="7"/>
  <c r="AO49" i="7"/>
  <c r="AK49" i="7"/>
  <c r="AG49" i="7"/>
  <c r="AC49" i="7"/>
  <c r="Y49" i="7"/>
  <c r="U49" i="7"/>
  <c r="Q49" i="7"/>
  <c r="M49" i="7"/>
  <c r="I49" i="7"/>
  <c r="CR16" i="6"/>
  <c r="CB16" i="6"/>
  <c r="CJ16" i="6"/>
  <c r="BT16" i="6"/>
  <c r="CF16" i="6"/>
  <c r="BP16" i="6"/>
  <c r="L10" i="6"/>
  <c r="CN16" i="6"/>
  <c r="BX16" i="6"/>
  <c r="CQ4" i="6"/>
  <c r="BS4" i="6"/>
  <c r="BK4" i="6"/>
  <c r="AU4" i="6"/>
  <c r="AM4" i="6"/>
  <c r="CH4" i="6"/>
  <c r="BZ4" i="6"/>
  <c r="BV4" i="6"/>
  <c r="BR4" i="6"/>
  <c r="BF4" i="6"/>
  <c r="BB4" i="6"/>
  <c r="AP4" i="6"/>
  <c r="Z4" i="6"/>
  <c r="V4" i="6"/>
  <c r="N4" i="6"/>
  <c r="J4" i="6"/>
  <c r="F4" i="6"/>
  <c r="BO4" i="6"/>
  <c r="AY4" i="6"/>
  <c r="AI4" i="6"/>
  <c r="O4" i="6"/>
  <c r="K4" i="6"/>
  <c r="CO4" i="6"/>
  <c r="CG4" i="6"/>
  <c r="BU4" i="6"/>
  <c r="BQ4" i="6"/>
  <c r="BE4" i="6"/>
  <c r="BA4" i="6"/>
  <c r="AO4" i="6"/>
  <c r="AC4" i="6"/>
  <c r="Y4" i="6"/>
  <c r="U4" i="6"/>
  <c r="I4" i="6"/>
  <c r="CN8" i="6"/>
  <c r="BP8" i="6"/>
  <c r="BD8" i="6"/>
  <c r="AR8" i="6"/>
  <c r="AJ8" i="6"/>
  <c r="AF8" i="6"/>
  <c r="P8" i="6"/>
  <c r="CI8" i="6"/>
  <c r="CA8" i="6"/>
  <c r="BW8" i="6"/>
  <c r="BC8" i="6"/>
  <c r="AY8" i="6"/>
  <c r="AQ8" i="6"/>
  <c r="W8" i="6"/>
  <c r="S8" i="6"/>
  <c r="CP8" i="6"/>
  <c r="CL8" i="6"/>
  <c r="CD8" i="6"/>
  <c r="BV8" i="6"/>
  <c r="BJ8" i="6"/>
  <c r="BF8" i="6"/>
  <c r="BB8" i="6"/>
  <c r="AX8" i="6"/>
  <c r="AT8" i="6"/>
  <c r="AD8" i="6"/>
  <c r="V8" i="6"/>
  <c r="R8" i="6"/>
  <c r="N8" i="6"/>
  <c r="J8" i="6"/>
  <c r="CJ8" i="6"/>
  <c r="CB8" i="6"/>
  <c r="AZ8" i="6"/>
  <c r="AN8" i="6"/>
  <c r="AB8" i="6"/>
  <c r="CQ8" i="6"/>
  <c r="CE8" i="6"/>
  <c r="BS8" i="6"/>
  <c r="BG8" i="6"/>
  <c r="O8" i="6"/>
  <c r="CS8" i="6"/>
  <c r="CO8" i="6"/>
  <c r="CK8" i="6"/>
  <c r="CG8" i="6"/>
  <c r="CC8" i="6"/>
  <c r="BQ8" i="6"/>
  <c r="BE8" i="6"/>
  <c r="BA8" i="6"/>
  <c r="AW8" i="6"/>
  <c r="AO8" i="6"/>
  <c r="AK8" i="6"/>
  <c r="AC8" i="6"/>
  <c r="Y8" i="6"/>
  <c r="U8" i="6"/>
  <c r="Q8" i="6"/>
  <c r="I8" i="6"/>
  <c r="BS7" i="6"/>
  <c r="AY7" i="6"/>
  <c r="CD7" i="6"/>
  <c r="BZ7" i="6"/>
  <c r="AT7" i="6"/>
  <c r="V7" i="6"/>
  <c r="BH7" i="6"/>
  <c r="AZ7" i="6"/>
  <c r="AU7" i="6"/>
  <c r="G7" i="6"/>
  <c r="BQ7" i="6"/>
  <c r="BE7" i="6"/>
  <c r="AW7" i="6"/>
  <c r="CR11" i="6"/>
  <c r="CJ11" i="6"/>
  <c r="CB11" i="6"/>
  <c r="BX11" i="6"/>
  <c r="BP11" i="6"/>
  <c r="BH11" i="6"/>
  <c r="AZ11" i="6"/>
  <c r="AR11" i="6"/>
  <c r="AJ11" i="6"/>
  <c r="AF11" i="6"/>
  <c r="X11" i="6"/>
  <c r="P11" i="6"/>
  <c r="H11" i="6"/>
  <c r="CQ11" i="6"/>
  <c r="CI11" i="6"/>
  <c r="CE11" i="6"/>
  <c r="BW11" i="6"/>
  <c r="BS11" i="6"/>
  <c r="BK11" i="6"/>
  <c r="BG11" i="6"/>
  <c r="AY11" i="6"/>
  <c r="AU11" i="6"/>
  <c r="AM11" i="6"/>
  <c r="AI11" i="6"/>
  <c r="AA11" i="6"/>
  <c r="S11" i="6"/>
  <c r="K11" i="6"/>
  <c r="CP11" i="6"/>
  <c r="CL11" i="6"/>
  <c r="CH11" i="6"/>
  <c r="CD11" i="6"/>
  <c r="BZ11" i="6"/>
  <c r="BV11" i="6"/>
  <c r="BR11" i="6"/>
  <c r="BN11" i="6"/>
  <c r="BJ11" i="6"/>
  <c r="BF11" i="6"/>
  <c r="BB11" i="6"/>
  <c r="AX11" i="6"/>
  <c r="AT11" i="6"/>
  <c r="AP11" i="6"/>
  <c r="AL11" i="6"/>
  <c r="AH11" i="6"/>
  <c r="AD11" i="6"/>
  <c r="Z11" i="6"/>
  <c r="V11" i="6"/>
  <c r="R11" i="6"/>
  <c r="N11" i="6"/>
  <c r="J11" i="6"/>
  <c r="F11" i="6"/>
  <c r="CN11" i="6"/>
  <c r="CF11" i="6"/>
  <c r="BT11" i="6"/>
  <c r="BL11" i="6"/>
  <c r="BD11" i="6"/>
  <c r="AV11" i="6"/>
  <c r="AN11" i="6"/>
  <c r="AB11" i="6"/>
  <c r="T11" i="6"/>
  <c r="L11" i="6"/>
  <c r="CM11" i="6"/>
  <c r="CA11" i="6"/>
  <c r="BO11" i="6"/>
  <c r="BC11" i="6"/>
  <c r="AQ11" i="6"/>
  <c r="AE11" i="6"/>
  <c r="W11" i="6"/>
  <c r="O11" i="6"/>
  <c r="G11" i="6"/>
  <c r="CS11" i="6"/>
  <c r="CO11" i="6"/>
  <c r="CK11" i="6"/>
  <c r="CG11" i="6"/>
  <c r="CC11" i="6"/>
  <c r="BY11" i="6"/>
  <c r="BU11" i="6"/>
  <c r="BQ11" i="6"/>
  <c r="BM11" i="6"/>
  <c r="BI11" i="6"/>
  <c r="BE11" i="6"/>
  <c r="BA11" i="6"/>
  <c r="AW11" i="6"/>
  <c r="AS11" i="6"/>
  <c r="AO11" i="6"/>
  <c r="AK11" i="6"/>
  <c r="AG11" i="6"/>
  <c r="AC11" i="6"/>
  <c r="Y11" i="6"/>
  <c r="U11" i="6"/>
  <c r="Q11" i="6"/>
  <c r="M11" i="6"/>
  <c r="I11" i="6"/>
  <c r="CN10" i="6"/>
  <c r="CJ10" i="6"/>
  <c r="CB10" i="6"/>
  <c r="BX10" i="6"/>
  <c r="BP10" i="6"/>
  <c r="BL10" i="6"/>
  <c r="BD10" i="6"/>
  <c r="AZ10" i="6"/>
  <c r="AR10" i="6"/>
  <c r="AN10" i="6"/>
  <c r="AF10" i="6"/>
  <c r="X10" i="6"/>
  <c r="CM10" i="6"/>
  <c r="CI10" i="6"/>
  <c r="CA10" i="6"/>
  <c r="BW10" i="6"/>
  <c r="BO10" i="6"/>
  <c r="BG10" i="6"/>
  <c r="AY10" i="6"/>
  <c r="AQ10" i="6"/>
  <c r="AM10" i="6"/>
  <c r="AE10" i="6"/>
  <c r="W10" i="6"/>
  <c r="K10" i="6"/>
  <c r="CP10" i="6"/>
  <c r="CL10" i="6"/>
  <c r="CH10" i="6"/>
  <c r="CD10" i="6"/>
  <c r="BZ10" i="6"/>
  <c r="BV10" i="6"/>
  <c r="BR10" i="6"/>
  <c r="BN10" i="6"/>
  <c r="BJ10" i="6"/>
  <c r="BF10" i="6"/>
  <c r="BB10" i="6"/>
  <c r="AX10" i="6"/>
  <c r="AT10" i="6"/>
  <c r="AP10" i="6"/>
  <c r="AL10" i="6"/>
  <c r="AH10" i="6"/>
  <c r="AD10" i="6"/>
  <c r="Z10" i="6"/>
  <c r="V10" i="6"/>
  <c r="R10" i="6"/>
  <c r="N10" i="6"/>
  <c r="J10" i="6"/>
  <c r="F10" i="6"/>
  <c r="CR10" i="6"/>
  <c r="CF10" i="6"/>
  <c r="BT10" i="6"/>
  <c r="BH10" i="6"/>
  <c r="AV10" i="6"/>
  <c r="AJ10" i="6"/>
  <c r="AB10" i="6"/>
  <c r="T10" i="6"/>
  <c r="CQ10" i="6"/>
  <c r="CE10" i="6"/>
  <c r="BS10" i="6"/>
  <c r="BK10" i="6"/>
  <c r="BC10" i="6"/>
  <c r="AU10" i="6"/>
  <c r="AI10" i="6"/>
  <c r="AA10" i="6"/>
  <c r="S10" i="6"/>
  <c r="O10" i="6"/>
  <c r="G10" i="6"/>
  <c r="CS10" i="6"/>
  <c r="CO10" i="6"/>
  <c r="CK10" i="6"/>
  <c r="CG10" i="6"/>
  <c r="CC10" i="6"/>
  <c r="BY10" i="6"/>
  <c r="BU10" i="6"/>
  <c r="BQ10" i="6"/>
  <c r="BM10" i="6"/>
  <c r="BI10" i="6"/>
  <c r="BE10" i="6"/>
  <c r="BA10" i="6"/>
  <c r="AW10" i="6"/>
  <c r="AS10" i="6"/>
  <c r="AO10" i="6"/>
  <c r="AK10" i="6"/>
  <c r="AG10" i="6"/>
  <c r="AC10" i="6"/>
  <c r="Y10" i="6"/>
  <c r="U10" i="6"/>
  <c r="Q10" i="6"/>
  <c r="M10" i="6"/>
  <c r="I10" i="6"/>
  <c r="BT14" i="6"/>
  <c r="BL14" i="6"/>
  <c r="BD14" i="6"/>
  <c r="AB14" i="6"/>
  <c r="CQ14" i="6"/>
  <c r="CI14" i="6"/>
  <c r="BW14" i="6"/>
  <c r="BG14" i="6"/>
  <c r="AM14" i="6"/>
  <c r="W14" i="6"/>
  <c r="CH14" i="6"/>
  <c r="BZ14" i="6"/>
  <c r="BN14" i="6"/>
  <c r="AX14" i="6"/>
  <c r="AP14" i="6"/>
  <c r="AL14" i="6"/>
  <c r="AH14" i="6"/>
  <c r="N14" i="6"/>
  <c r="CB14" i="6"/>
  <c r="BP14" i="6"/>
  <c r="BH14" i="6"/>
  <c r="AR14" i="6"/>
  <c r="CM14" i="6"/>
  <c r="BO14" i="6"/>
  <c r="O14" i="6"/>
  <c r="G14" i="6"/>
  <c r="CO14" i="6"/>
  <c r="CC14" i="6"/>
  <c r="BQ14" i="6"/>
  <c r="BM14" i="6"/>
  <c r="BI14" i="6"/>
  <c r="AG14" i="6"/>
  <c r="AC14" i="6"/>
  <c r="Y14" i="6"/>
  <c r="U14" i="6"/>
  <c r="M14" i="6"/>
  <c r="BD13" i="6"/>
  <c r="X13" i="6"/>
  <c r="P13" i="6"/>
  <c r="L13" i="6"/>
  <c r="CE13" i="6"/>
  <c r="BS13" i="6"/>
  <c r="AY13" i="6"/>
  <c r="AQ13" i="6"/>
  <c r="S13" i="6"/>
  <c r="G13" i="6"/>
  <c r="BZ13" i="6"/>
  <c r="BR13" i="6"/>
  <c r="BN13" i="6"/>
  <c r="AT13" i="6"/>
  <c r="AH13" i="6"/>
  <c r="F13" i="6"/>
  <c r="CS13" i="6"/>
  <c r="BY13" i="6"/>
  <c r="BM13" i="6"/>
  <c r="AS13" i="6"/>
  <c r="AK13" i="6"/>
  <c r="AG13" i="6"/>
  <c r="BL16" i="6"/>
  <c r="BH16" i="6"/>
  <c r="BD16" i="6"/>
  <c r="AZ16" i="6"/>
  <c r="AV16" i="6"/>
  <c r="AR16" i="6"/>
  <c r="AN16" i="6"/>
  <c r="AJ16" i="6"/>
  <c r="AF16" i="6"/>
  <c r="AB16" i="6"/>
  <c r="X16" i="6"/>
  <c r="T16" i="6"/>
  <c r="P16" i="6"/>
  <c r="L16" i="6"/>
  <c r="H16" i="6"/>
  <c r="CQ16" i="6"/>
  <c r="CM16" i="6"/>
  <c r="CI16" i="6"/>
  <c r="CE16" i="6"/>
  <c r="CA16" i="6"/>
  <c r="BW16" i="6"/>
  <c r="BS16" i="6"/>
  <c r="BO16" i="6"/>
  <c r="BK16" i="6"/>
  <c r="BG16" i="6"/>
  <c r="BC16" i="6"/>
  <c r="AY16" i="6"/>
  <c r="AU16" i="6"/>
  <c r="AQ16" i="6"/>
  <c r="AM16" i="6"/>
  <c r="AI16" i="6"/>
  <c r="AE16" i="6"/>
  <c r="AA16" i="6"/>
  <c r="W16" i="6"/>
  <c r="S16" i="6"/>
  <c r="O16" i="6"/>
  <c r="K16" i="6"/>
  <c r="G16" i="6"/>
  <c r="CP16" i="6"/>
  <c r="CL16" i="6"/>
  <c r="CH16" i="6"/>
  <c r="CD16" i="6"/>
  <c r="BZ16" i="6"/>
  <c r="BV16" i="6"/>
  <c r="BR16" i="6"/>
  <c r="BN16" i="6"/>
  <c r="BJ16" i="6"/>
  <c r="BF16" i="6"/>
  <c r="BB16" i="6"/>
  <c r="AX16" i="6"/>
  <c r="AT16" i="6"/>
  <c r="AP16" i="6"/>
  <c r="AL16" i="6"/>
  <c r="AH16" i="6"/>
  <c r="AD16" i="6"/>
  <c r="Z16" i="6"/>
  <c r="V16" i="6"/>
  <c r="R16" i="6"/>
  <c r="N16" i="6"/>
  <c r="J16" i="6"/>
  <c r="F16" i="6"/>
  <c r="CS16" i="6"/>
  <c r="CO16" i="6"/>
  <c r="CK16" i="6"/>
  <c r="CG16" i="6"/>
  <c r="CC16" i="6"/>
  <c r="BY16" i="6"/>
  <c r="BU16" i="6"/>
  <c r="BQ16" i="6"/>
  <c r="BM16" i="6"/>
  <c r="BI16" i="6"/>
  <c r="BE16" i="6"/>
  <c r="BA16" i="6"/>
  <c r="AW16" i="6"/>
  <c r="AS16" i="6"/>
  <c r="AO16" i="6"/>
  <c r="AK16" i="6"/>
  <c r="AG16" i="6"/>
  <c r="AC16" i="6"/>
  <c r="Y16" i="6"/>
  <c r="U16" i="6"/>
  <c r="Q16" i="6"/>
  <c r="M16" i="6"/>
  <c r="I16" i="6"/>
  <c r="BB55" i="2"/>
  <c r="AX55" i="2"/>
  <c r="AT55" i="2"/>
  <c r="AP55" i="2"/>
  <c r="AL55" i="2"/>
  <c r="AH55" i="2"/>
  <c r="AD55" i="2"/>
  <c r="R55" i="2"/>
  <c r="N55" i="2"/>
  <c r="J55" i="2"/>
  <c r="F55" i="2"/>
  <c r="BI55" i="2"/>
  <c r="BE55" i="2"/>
  <c r="AW55" i="2"/>
  <c r="AO55" i="2"/>
  <c r="AK55" i="2"/>
  <c r="AG55" i="2"/>
  <c r="AC55" i="2"/>
  <c r="Y55" i="2"/>
  <c r="Q55" i="2"/>
  <c r="M55" i="2"/>
  <c r="E55" i="2"/>
  <c r="BH55" i="2"/>
  <c r="BD55" i="2"/>
  <c r="AZ55" i="2"/>
  <c r="AR55" i="2"/>
  <c r="AN55" i="2"/>
  <c r="AJ55" i="2"/>
  <c r="AB55" i="2"/>
  <c r="X55" i="2"/>
  <c r="T55" i="2"/>
  <c r="L55" i="2"/>
  <c r="H55" i="2"/>
  <c r="D55" i="2"/>
  <c r="BG55" i="2"/>
  <c r="AY55" i="2"/>
  <c r="AU55" i="2"/>
  <c r="AM55" i="2"/>
  <c r="AI55" i="2"/>
  <c r="AE55" i="2"/>
  <c r="AA55" i="2"/>
  <c r="W55" i="2"/>
  <c r="O55" i="2"/>
  <c r="G55" i="2"/>
  <c r="B48" i="2"/>
  <c r="B51" i="2"/>
  <c r="B47" i="2"/>
  <c r="B50" i="2"/>
  <c r="B46" i="2"/>
  <c r="B15" i="2"/>
  <c r="B18" i="2"/>
  <c r="B14" i="2"/>
  <c r="B17" i="2"/>
  <c r="B13" i="2"/>
  <c r="B16" i="2"/>
  <c r="Y5" i="9"/>
  <c r="M5" i="9"/>
  <c r="AK5" i="9"/>
  <c r="H5" i="9"/>
  <c r="S5" i="9"/>
  <c r="L5" i="9"/>
  <c r="E5" i="9"/>
  <c r="H8" i="22"/>
  <c r="F37" i="22"/>
  <c r="AE19" i="15"/>
  <c r="AB19" i="15"/>
  <c r="F19" i="15"/>
  <c r="N19" i="15"/>
  <c r="V11" i="18"/>
  <c r="AA11" i="18"/>
  <c r="R11" i="18"/>
  <c r="K4" i="10"/>
  <c r="N4" i="10"/>
  <c r="AC103" i="13"/>
  <c r="W103" i="13"/>
  <c r="AJ103" i="13"/>
  <c r="AL40" i="15"/>
  <c r="S103" i="14"/>
  <c r="G11" i="18"/>
  <c r="O4" i="10"/>
  <c r="F4" i="10"/>
  <c r="AJ4" i="10"/>
  <c r="F103" i="13"/>
  <c r="AB103" i="13"/>
  <c r="I103" i="14"/>
  <c r="AB103" i="14"/>
  <c r="W11" i="18"/>
  <c r="S4" i="10"/>
  <c r="P4" i="10"/>
  <c r="AA103" i="13"/>
  <c r="AH103" i="13"/>
  <c r="AK94" i="14"/>
  <c r="N103" i="13"/>
  <c r="AD4" i="10"/>
  <c r="AK11" i="17"/>
  <c r="E103" i="13"/>
  <c r="G103" i="13"/>
  <c r="P103" i="13"/>
  <c r="AK103" i="13"/>
  <c r="H103" i="13"/>
  <c r="R103" i="13"/>
  <c r="V103" i="13"/>
  <c r="M103" i="13"/>
  <c r="L103" i="13"/>
  <c r="K103" i="13"/>
  <c r="I103" i="13"/>
  <c r="AE103" i="13"/>
  <c r="O103" i="13"/>
  <c r="AI103" i="13"/>
  <c r="AG103" i="13"/>
  <c r="T103" i="13"/>
  <c r="X103" i="13"/>
  <c r="O103" i="14"/>
  <c r="AJ103" i="14"/>
  <c r="K103" i="14"/>
  <c r="G103" i="14"/>
  <c r="AI103" i="14"/>
  <c r="R103" i="14"/>
  <c r="Q103" i="14"/>
  <c r="AA103" i="14"/>
  <c r="AG103" i="14"/>
  <c r="AL103" i="14"/>
  <c r="AC103" i="14"/>
  <c r="W103" i="14"/>
  <c r="X103" i="14"/>
  <c r="Z103" i="14"/>
  <c r="U103" i="14"/>
  <c r="L103" i="14"/>
  <c r="P103" i="14"/>
  <c r="V103" i="14"/>
  <c r="M103" i="14"/>
  <c r="I4" i="10"/>
  <c r="AE4" i="10"/>
  <c r="AB4" i="10"/>
  <c r="AF103" i="13"/>
  <c r="F103" i="14"/>
  <c r="I94" i="18"/>
  <c r="S94" i="18"/>
  <c r="V94" i="18"/>
  <c r="Q94" i="18"/>
  <c r="O94" i="18"/>
  <c r="R94" i="18"/>
  <c r="L94" i="18"/>
  <c r="E94" i="18"/>
  <c r="AG94" i="18"/>
  <c r="G94" i="18"/>
  <c r="J94" i="18"/>
  <c r="M94" i="18"/>
  <c r="AF94" i="18"/>
  <c r="W94" i="18"/>
  <c r="U94" i="18"/>
  <c r="K94" i="18"/>
  <c r="H94" i="18"/>
  <c r="AL94" i="18"/>
  <c r="X94" i="18"/>
  <c r="AH94" i="18"/>
  <c r="T94" i="18"/>
  <c r="Z94" i="18"/>
  <c r="F94" i="18"/>
  <c r="N94" i="18"/>
  <c r="L85" i="18"/>
  <c r="AE85" i="18"/>
  <c r="AL85" i="18"/>
  <c r="V85" i="18"/>
  <c r="AA85" i="18"/>
  <c r="M85" i="18"/>
  <c r="U85" i="18"/>
  <c r="Q85" i="18"/>
  <c r="AD85" i="18"/>
  <c r="AK76" i="18"/>
  <c r="J76" i="18"/>
  <c r="G76" i="18"/>
  <c r="P67" i="18"/>
  <c r="J67" i="18"/>
  <c r="AH67" i="18"/>
  <c r="W67" i="18"/>
  <c r="G67" i="18"/>
  <c r="AK67" i="18"/>
  <c r="AI67" i="18"/>
  <c r="R67" i="18"/>
  <c r="AH58" i="18"/>
  <c r="AK58" i="18"/>
  <c r="AB58" i="18"/>
  <c r="AC58" i="18"/>
  <c r="W58" i="18"/>
  <c r="W31" i="15"/>
  <c r="E31" i="15"/>
  <c r="J31" i="15"/>
  <c r="F31" i="15"/>
  <c r="M31" i="15"/>
  <c r="AE11" i="17"/>
  <c r="G11" i="17"/>
  <c r="AF11" i="17"/>
  <c r="X11" i="17"/>
  <c r="S103" i="13"/>
  <c r="S94" i="14"/>
  <c r="X94" i="14"/>
  <c r="P94" i="14"/>
  <c r="AJ94" i="14"/>
  <c r="AI94" i="14"/>
  <c r="E94" i="14"/>
  <c r="V94" i="14"/>
  <c r="T94" i="14"/>
  <c r="AL94" i="14"/>
  <c r="H94" i="14"/>
  <c r="AA94" i="14"/>
  <c r="AB94" i="14"/>
  <c r="U94" i="14"/>
  <c r="AE94" i="14"/>
  <c r="N94" i="14"/>
  <c r="AD94" i="14"/>
  <c r="F94" i="14"/>
  <c r="W94" i="14"/>
  <c r="I94" i="14"/>
  <c r="K94" i="14"/>
  <c r="O94" i="14"/>
  <c r="R94" i="14"/>
  <c r="G94" i="14"/>
  <c r="AG94" i="14"/>
  <c r="AC94" i="14"/>
  <c r="K85" i="14"/>
  <c r="O85" i="14"/>
  <c r="AJ85" i="14"/>
  <c r="AI85" i="14"/>
  <c r="Z85" i="14"/>
  <c r="Y85" i="14"/>
  <c r="AE85" i="14"/>
  <c r="V85" i="14"/>
  <c r="Q85" i="14"/>
  <c r="AB85" i="14"/>
  <c r="R85" i="14"/>
  <c r="M85" i="14"/>
  <c r="J85" i="14"/>
  <c r="AF85" i="14"/>
  <c r="AK85" i="14"/>
  <c r="E76" i="14"/>
  <c r="L76" i="14"/>
  <c r="AB76" i="14"/>
  <c r="AE76" i="14"/>
  <c r="S76" i="14"/>
  <c r="O76" i="14"/>
  <c r="AF76" i="14"/>
  <c r="AD76" i="14"/>
  <c r="AC76" i="14"/>
  <c r="AI76" i="14"/>
  <c r="P76" i="14"/>
  <c r="AG76" i="14"/>
  <c r="W76" i="14"/>
  <c r="H76" i="14"/>
  <c r="AL76" i="14"/>
  <c r="Y76" i="14"/>
  <c r="G76" i="14"/>
  <c r="V76" i="14"/>
  <c r="Q76" i="14"/>
  <c r="R76" i="14"/>
  <c r="M76" i="14"/>
  <c r="AI94" i="17"/>
  <c r="R94" i="17"/>
  <c r="U94" i="17"/>
  <c r="E94" i="17"/>
  <c r="L94" i="17"/>
  <c r="N94" i="17"/>
  <c r="Q94" i="17"/>
  <c r="O94" i="17"/>
  <c r="X94" i="17"/>
  <c r="AL94" i="17"/>
  <c r="F94" i="17"/>
  <c r="I94" i="17"/>
  <c r="AB94" i="17"/>
  <c r="AC94" i="17"/>
  <c r="P94" i="17"/>
  <c r="AH94" i="17"/>
  <c r="Y94" i="17"/>
  <c r="V94" i="17"/>
  <c r="G94" i="17"/>
  <c r="J94" i="17"/>
  <c r="AJ94" i="17"/>
  <c r="K94" i="17"/>
  <c r="AG94" i="17"/>
  <c r="S94" i="17"/>
  <c r="M94" i="17"/>
  <c r="AJ85" i="17"/>
  <c r="K85" i="17"/>
  <c r="AF85" i="17"/>
  <c r="N85" i="17"/>
  <c r="Q85" i="17"/>
  <c r="S85" i="17"/>
  <c r="J85" i="17"/>
  <c r="M85" i="17"/>
  <c r="AI85" i="17"/>
  <c r="AH85" i="17"/>
  <c r="AK85" i="17"/>
  <c r="AE85" i="17"/>
  <c r="T85" i="17"/>
  <c r="Z85" i="17"/>
  <c r="I85" i="17"/>
  <c r="AA85" i="17"/>
  <c r="V85" i="17"/>
  <c r="O85" i="17"/>
  <c r="R85" i="17"/>
  <c r="W85" i="17"/>
  <c r="F85" i="17"/>
  <c r="H85" i="17"/>
  <c r="AC85" i="17"/>
  <c r="X85" i="17"/>
  <c r="Y85" i="17"/>
  <c r="AE76" i="17"/>
  <c r="AH76" i="17"/>
  <c r="Y76" i="17"/>
  <c r="K76" i="17"/>
  <c r="AD76" i="17"/>
  <c r="I76" i="17"/>
  <c r="L76" i="17"/>
  <c r="J76" i="17"/>
  <c r="AL76" i="17"/>
  <c r="Z76" i="17"/>
  <c r="G76" i="17"/>
  <c r="AI76" i="17"/>
  <c r="P76" i="17"/>
  <c r="AK76" i="17"/>
  <c r="AG76" i="17"/>
  <c r="P67" i="17"/>
  <c r="R67" i="17"/>
  <c r="G67" i="17"/>
  <c r="N67" i="17"/>
  <c r="AE67" i="17"/>
  <c r="AG67" i="17"/>
  <c r="AI67" i="17"/>
  <c r="H67" i="17"/>
  <c r="AL67" i="17"/>
  <c r="X67" i="17"/>
  <c r="Q67" i="17"/>
  <c r="I67" i="17"/>
  <c r="AH67" i="17"/>
  <c r="G40" i="15"/>
  <c r="AI40" i="15"/>
  <c r="AF40" i="15"/>
  <c r="Z40" i="15"/>
  <c r="AC40" i="15"/>
  <c r="AA40" i="15"/>
  <c r="X40" i="15"/>
  <c r="V40" i="15"/>
  <c r="Y40" i="15"/>
  <c r="AJ40" i="15"/>
  <c r="H40" i="15"/>
  <c r="N40" i="15"/>
  <c r="Q40" i="15"/>
  <c r="K40" i="15"/>
  <c r="P40" i="15"/>
  <c r="AH40" i="15"/>
  <c r="M40" i="15"/>
  <c r="AD40" i="15"/>
  <c r="I40" i="15"/>
  <c r="AE40" i="15"/>
  <c r="F40" i="15"/>
  <c r="AK40" i="15"/>
  <c r="E40" i="15"/>
  <c r="T40" i="15"/>
  <c r="U40" i="15"/>
  <c r="E4" i="10"/>
  <c r="AF4" i="10"/>
  <c r="AA4" i="10"/>
  <c r="AC4" i="10"/>
  <c r="X4" i="10"/>
  <c r="V4" i="10"/>
  <c r="J4" i="10"/>
  <c r="AK4" i="10"/>
  <c r="L4" i="10"/>
  <c r="AI4" i="10"/>
  <c r="AG4" i="10"/>
  <c r="AL4" i="10"/>
  <c r="W4" i="10"/>
  <c r="U4" i="10"/>
  <c r="T4" i="10"/>
  <c r="M4" i="10"/>
  <c r="R4" i="10"/>
  <c r="AL103" i="13"/>
  <c r="J103" i="14"/>
  <c r="H103" i="14"/>
  <c r="AH50" i="7"/>
  <c r="AP50" i="7"/>
  <c r="AA50" i="7"/>
  <c r="BD50" i="7"/>
  <c r="AZ50" i="7"/>
  <c r="Q4" i="10"/>
  <c r="Z4" i="10"/>
  <c r="Q103" i="13"/>
  <c r="N103" i="14"/>
  <c r="AF103" i="14"/>
  <c r="AD103" i="13"/>
  <c r="J103" i="13"/>
  <c r="AG40" i="15"/>
  <c r="P19" i="15"/>
  <c r="T85" i="14"/>
  <c r="W85" i="14"/>
  <c r="AE94" i="18"/>
  <c r="AC94" i="18"/>
  <c r="O40" i="15"/>
  <c r="AJ40" i="16"/>
  <c r="T40" i="16"/>
  <c r="U40" i="16"/>
  <c r="AE40" i="16"/>
  <c r="M40" i="16"/>
  <c r="Z40" i="16"/>
  <c r="K40" i="16"/>
  <c r="O40" i="16"/>
  <c r="W40" i="16"/>
  <c r="H40" i="16"/>
  <c r="V40" i="16"/>
  <c r="N40" i="16"/>
  <c r="AG40" i="16"/>
  <c r="AL40" i="16"/>
  <c r="Y40" i="16"/>
  <c r="AC40" i="16"/>
  <c r="AK40" i="16"/>
  <c r="X40" i="16"/>
  <c r="Q40" i="16"/>
  <c r="AH40" i="16"/>
  <c r="AF40" i="16"/>
  <c r="AD40" i="16"/>
  <c r="J31" i="16"/>
  <c r="AE31" i="16"/>
  <c r="AK31" i="16"/>
  <c r="O31" i="16"/>
  <c r="M31" i="16"/>
  <c r="I31" i="16"/>
  <c r="AH31" i="16"/>
  <c r="R31" i="16"/>
  <c r="K31" i="16"/>
  <c r="G31" i="16"/>
  <c r="BY51" i="7"/>
  <c r="AF51" i="7"/>
  <c r="P37" i="10"/>
  <c r="X37" i="10"/>
  <c r="AG37" i="10"/>
  <c r="O37" i="10"/>
  <c r="G94" i="16"/>
  <c r="Z94" i="16"/>
  <c r="AC94" i="16"/>
  <c r="P94" i="16"/>
  <c r="S94" i="16"/>
  <c r="V94" i="16"/>
  <c r="Y94" i="16"/>
  <c r="T94" i="16"/>
  <c r="N94" i="16"/>
  <c r="Q94" i="16"/>
  <c r="W94" i="16"/>
  <c r="J94" i="16"/>
  <c r="AJ94" i="16"/>
  <c r="H94" i="16"/>
  <c r="O94" i="16"/>
  <c r="F94" i="16"/>
  <c r="E94" i="16"/>
  <c r="K85" i="16"/>
  <c r="V85" i="16"/>
  <c r="Y85" i="16"/>
  <c r="R85" i="16"/>
  <c r="U85" i="16"/>
  <c r="AE85" i="16"/>
  <c r="J85" i="16"/>
  <c r="M85" i="16"/>
  <c r="AG85" i="16"/>
  <c r="AI85" i="16"/>
  <c r="AL85" i="16"/>
  <c r="AC85" i="16"/>
  <c r="T76" i="16"/>
  <c r="P76" i="16"/>
  <c r="V76" i="16"/>
  <c r="S76" i="16"/>
  <c r="U76" i="16"/>
  <c r="X76" i="16"/>
  <c r="AD76" i="16"/>
  <c r="O76" i="16"/>
  <c r="Q76" i="16"/>
  <c r="R76" i="16"/>
  <c r="G76" i="16"/>
  <c r="I76" i="16"/>
  <c r="N76" i="16"/>
  <c r="AE76" i="16"/>
  <c r="M76" i="16"/>
  <c r="AB76" i="16"/>
  <c r="AA76" i="16"/>
  <c r="V67" i="16"/>
  <c r="AL67" i="16"/>
  <c r="K67" i="16"/>
  <c r="F67" i="16"/>
  <c r="AH67" i="16"/>
  <c r="AK67" i="16"/>
  <c r="R67" i="16"/>
  <c r="I67" i="16"/>
  <c r="BI4" i="6"/>
  <c r="AQ4" i="6"/>
  <c r="AL4" i="6"/>
  <c r="AC51" i="7"/>
  <c r="Y15" i="7"/>
  <c r="AU15" i="7"/>
  <c r="Z15" i="7"/>
  <c r="AB4" i="9"/>
  <c r="AH35" i="10"/>
  <c r="AL37" i="10"/>
  <c r="U94" i="16"/>
  <c r="Q85" i="16"/>
  <c r="AC76" i="16"/>
  <c r="AF76" i="16"/>
  <c r="H85" i="16"/>
  <c r="B45" i="2"/>
  <c r="B49" i="2"/>
  <c r="AE58" i="15"/>
  <c r="AH58" i="15"/>
  <c r="AK58" i="15"/>
  <c r="AA58" i="15"/>
  <c r="AD58" i="15"/>
  <c r="AG58" i="15"/>
  <c r="X58" i="15"/>
  <c r="S58" i="15"/>
  <c r="V58" i="15"/>
  <c r="Y58" i="15"/>
  <c r="K58" i="15"/>
  <c r="AC58" i="15"/>
  <c r="AJ58" i="15"/>
  <c r="AF58" i="15"/>
  <c r="G58" i="15"/>
  <c r="U58" i="15"/>
  <c r="E58" i="15"/>
  <c r="AD49" i="15"/>
  <c r="AG49" i="15"/>
  <c r="Z49" i="15"/>
  <c r="AC49" i="15"/>
  <c r="R49" i="15"/>
  <c r="U49" i="15"/>
  <c r="AK49" i="15"/>
  <c r="Y49" i="15"/>
  <c r="N49" i="16"/>
  <c r="J49" i="16"/>
  <c r="X49" i="16"/>
  <c r="AG49" i="16"/>
  <c r="AD49" i="16"/>
  <c r="AF49" i="16"/>
  <c r="AK49" i="16"/>
  <c r="K37" i="10"/>
  <c r="AK94" i="16"/>
  <c r="F85" i="16"/>
  <c r="AK76" i="16"/>
  <c r="E76" i="16"/>
  <c r="AF85" i="16"/>
  <c r="AB37" i="10"/>
  <c r="CF15" i="7"/>
  <c r="P15" i="7"/>
  <c r="BR15" i="7"/>
  <c r="BH15" i="7"/>
  <c r="CG15" i="7"/>
  <c r="I15" i="7"/>
  <c r="AA103" i="12"/>
  <c r="F103" i="12"/>
  <c r="AE3" i="12"/>
  <c r="T3" i="12"/>
  <c r="AK3" i="12"/>
  <c r="AJ3" i="12"/>
  <c r="S3" i="13"/>
  <c r="AI3" i="13"/>
  <c r="AH3" i="13"/>
  <c r="Y3" i="13"/>
  <c r="E11" i="14"/>
  <c r="AE11" i="14"/>
  <c r="AJ11" i="14"/>
  <c r="V11" i="14"/>
  <c r="Y11" i="14"/>
  <c r="S3" i="14"/>
  <c r="AA3" i="14"/>
  <c r="L3" i="14"/>
  <c r="H3" i="14"/>
  <c r="R3" i="14"/>
  <c r="U3" i="14"/>
  <c r="AD103" i="15"/>
  <c r="N103" i="15"/>
  <c r="L103" i="15"/>
  <c r="R103" i="15"/>
  <c r="X103" i="15"/>
  <c r="Z103" i="15"/>
  <c r="F103" i="15"/>
  <c r="P103" i="15"/>
  <c r="J103" i="15"/>
  <c r="V103" i="15"/>
  <c r="AA103" i="15"/>
  <c r="AC103" i="15"/>
  <c r="AL103" i="15"/>
  <c r="W103" i="15"/>
  <c r="Y103" i="15"/>
  <c r="AB103" i="16"/>
  <c r="W103" i="16"/>
  <c r="U103" i="16"/>
  <c r="T103" i="16"/>
  <c r="S103" i="16"/>
  <c r="Q103" i="16"/>
  <c r="V103" i="16"/>
  <c r="X103" i="16"/>
  <c r="K103" i="16"/>
  <c r="I103" i="16"/>
  <c r="H103" i="16"/>
  <c r="AA103" i="16"/>
  <c r="O103" i="16"/>
  <c r="BG51" i="7"/>
  <c r="S37" i="10"/>
  <c r="R94" i="16"/>
  <c r="N85" i="16"/>
  <c r="K76" i="16"/>
  <c r="G85" i="16"/>
  <c r="K94" i="16"/>
  <c r="AI94" i="16"/>
  <c r="CB4" i="6"/>
  <c r="CF4" i="6"/>
  <c r="AE4" i="6"/>
  <c r="AT4" i="6"/>
  <c r="BW4" i="6"/>
  <c r="CK4" i="6"/>
  <c r="AK4" i="6"/>
  <c r="S4" i="8"/>
  <c r="AH4" i="8"/>
  <c r="N4" i="8"/>
  <c r="Z4" i="8"/>
  <c r="AC4" i="9"/>
  <c r="AK4" i="9"/>
  <c r="Z4" i="9"/>
  <c r="L4" i="9"/>
  <c r="Q35" i="10"/>
  <c r="Y35" i="10"/>
  <c r="T35" i="10"/>
  <c r="S35" i="10"/>
  <c r="V35" i="10"/>
  <c r="BM4" i="11"/>
  <c r="BO4" i="11"/>
  <c r="BC4" i="11"/>
  <c r="BD4" i="11"/>
  <c r="E11" i="12"/>
  <c r="AJ11" i="12"/>
  <c r="M11" i="12"/>
  <c r="X11" i="12"/>
  <c r="J11" i="12"/>
  <c r="AC11" i="12"/>
  <c r="AG11" i="12"/>
  <c r="AH11" i="13"/>
  <c r="M11" i="13"/>
  <c r="AJ67" i="15"/>
  <c r="T67" i="15"/>
  <c r="S67" i="15"/>
  <c r="X67" i="15"/>
  <c r="AL67" i="15"/>
  <c r="F67" i="15"/>
  <c r="P67" i="15"/>
  <c r="AH67" i="15"/>
  <c r="AK67" i="15"/>
  <c r="AB67" i="15"/>
  <c r="AA67" i="15"/>
  <c r="Z67" i="15"/>
  <c r="AC67" i="15"/>
  <c r="AR24" i="7"/>
  <c r="BC24" i="7"/>
  <c r="K31" i="17"/>
  <c r="R31" i="17"/>
  <c r="U31" i="17"/>
  <c r="S31" i="17"/>
  <c r="N31" i="17"/>
  <c r="Q31" i="17"/>
  <c r="T31" i="17"/>
  <c r="AB31" i="17"/>
  <c r="L31" i="17"/>
  <c r="G31" i="17"/>
  <c r="AL31" i="17"/>
  <c r="F31" i="17"/>
  <c r="I31" i="17"/>
  <c r="K19" i="17"/>
  <c r="H19" i="17"/>
  <c r="N19" i="17"/>
  <c r="Q19" i="17"/>
  <c r="AA19" i="17"/>
  <c r="J19" i="17"/>
  <c r="M19" i="17"/>
  <c r="O19" i="17"/>
  <c r="AL19" i="17"/>
  <c r="AK19" i="17"/>
  <c r="S55" i="2"/>
  <c r="BC55" i="2"/>
  <c r="AF55" i="2"/>
  <c r="I55" i="2"/>
  <c r="AS55" i="2"/>
  <c r="V55" i="2"/>
  <c r="BJ55" i="2"/>
  <c r="AS14" i="6"/>
  <c r="BC14" i="6"/>
  <c r="Z14" i="6"/>
  <c r="K14" i="6"/>
  <c r="AV14" i="6"/>
  <c r="BI8" i="6"/>
  <c r="AI8" i="6"/>
  <c r="BT8" i="6"/>
  <c r="AL8" i="6"/>
  <c r="CH8" i="6"/>
  <c r="BO8" i="6"/>
  <c r="AV8" i="6"/>
  <c r="BA24" i="7"/>
  <c r="CF4" i="7"/>
  <c r="F68" i="10"/>
  <c r="I73" i="10"/>
  <c r="W11" i="15"/>
  <c r="L11" i="15"/>
  <c r="AF11" i="15"/>
  <c r="J11" i="15"/>
  <c r="M11" i="15"/>
  <c r="O11" i="15"/>
  <c r="X11" i="15"/>
  <c r="AL11" i="15"/>
  <c r="F11" i="15"/>
  <c r="I11" i="15"/>
  <c r="AI11" i="15"/>
  <c r="H11" i="15"/>
  <c r="AD11" i="15"/>
  <c r="AG11" i="15"/>
  <c r="AI103" i="17"/>
  <c r="AC103" i="17"/>
  <c r="E20" i="22"/>
  <c r="F20" i="22"/>
  <c r="BR4" i="11"/>
  <c r="AX4" i="11"/>
  <c r="K4" i="11"/>
  <c r="I4" i="11"/>
  <c r="AT4" i="11"/>
  <c r="BQ4" i="11"/>
  <c r="BH4" i="11"/>
  <c r="BE4" i="11"/>
  <c r="G135" i="10"/>
  <c r="G132" i="10"/>
  <c r="G137" i="10"/>
  <c r="G136" i="10"/>
  <c r="E41" i="12" a="1"/>
  <c r="E41" i="12"/>
  <c r="J132" i="10" a="1"/>
  <c r="J136" i="10"/>
  <c r="E101" i="10"/>
  <c r="E106" i="10"/>
  <c r="E103" i="10"/>
  <c r="E100" i="10"/>
  <c r="E104" i="10"/>
  <c r="AF38" i="10"/>
  <c r="X38" i="10"/>
  <c r="AG38" i="10"/>
  <c r="AA38" i="10"/>
  <c r="F38" i="10"/>
  <c r="AL38" i="10"/>
  <c r="AI38" i="10"/>
  <c r="AH38" i="10"/>
  <c r="S38" i="10"/>
  <c r="V38" i="10"/>
  <c r="AE38" i="10"/>
  <c r="AY50" i="7"/>
  <c r="BH50" i="7"/>
  <c r="R38" i="10"/>
  <c r="CH50" i="7"/>
  <c r="X36" i="10"/>
  <c r="AF36" i="10"/>
  <c r="Q36" i="10"/>
  <c r="Y36" i="10"/>
  <c r="L36" i="10"/>
  <c r="M36" i="10"/>
  <c r="AJ36" i="10"/>
  <c r="U36" i="10"/>
  <c r="I36" i="10"/>
  <c r="P36" i="10"/>
  <c r="O36" i="10"/>
  <c r="R36" i="10"/>
  <c r="AC36" i="10"/>
  <c r="K36" i="10"/>
  <c r="N36" i="10"/>
  <c r="H36" i="10"/>
  <c r="AG36" i="10"/>
  <c r="AE36" i="10"/>
  <c r="AH36" i="10"/>
  <c r="P11" i="17"/>
  <c r="AB11" i="17"/>
  <c r="W11" i="17"/>
  <c r="V11" i="17"/>
  <c r="Q11" i="17"/>
  <c r="AA11" i="17"/>
  <c r="N11" i="17"/>
  <c r="I11" i="17"/>
  <c r="AJ11" i="17"/>
  <c r="S11" i="17"/>
  <c r="J11" i="17"/>
  <c r="AL11" i="17"/>
  <c r="AG11" i="17"/>
  <c r="Z11" i="17"/>
  <c r="F11" i="17"/>
  <c r="K11" i="17"/>
  <c r="Y11" i="17"/>
  <c r="W3" i="18"/>
  <c r="P3" i="18"/>
  <c r="X3" i="18"/>
  <c r="J3" i="18"/>
  <c r="V3" i="18"/>
  <c r="AK3" i="18"/>
  <c r="AH3" i="18"/>
  <c r="AE3" i="18"/>
  <c r="K3" i="18"/>
  <c r="AG3" i="18"/>
  <c r="O3" i="18"/>
  <c r="AF3" i="18"/>
  <c r="AD3" i="18"/>
  <c r="BT50" i="7"/>
  <c r="J36" i="10"/>
  <c r="AA36" i="10"/>
  <c r="Z38" i="10"/>
  <c r="M11" i="17"/>
  <c r="AB36" i="10"/>
  <c r="M13" i="6"/>
  <c r="N13" i="6"/>
  <c r="AM13" i="6"/>
  <c r="AR13" i="6"/>
  <c r="U7" i="6"/>
  <c r="BX50" i="7"/>
  <c r="V36" i="10"/>
  <c r="AI36" i="10"/>
  <c r="AD38" i="10"/>
  <c r="AC11" i="17"/>
  <c r="K103" i="17"/>
  <c r="N38" i="10"/>
  <c r="BW50" i="7"/>
  <c r="T38" i="10"/>
  <c r="CJ50" i="7"/>
  <c r="G38" i="10"/>
  <c r="AF50" i="7"/>
  <c r="CN50" i="7"/>
  <c r="AD36" i="10"/>
  <c r="K38" i="10"/>
  <c r="AD11" i="17"/>
  <c r="L11" i="17"/>
  <c r="M3" i="18"/>
  <c r="Q38" i="10"/>
  <c r="I92" i="10" a="1"/>
  <c r="I94" i="10"/>
  <c r="J92" i="10" a="1"/>
  <c r="J96" i="10"/>
  <c r="E41" i="17" a="1"/>
  <c r="E44" i="17"/>
  <c r="F44" i="17" a="1"/>
  <c r="AK50" i="7"/>
  <c r="BU50" i="7"/>
  <c r="BG50" i="7"/>
  <c r="BF50" i="7"/>
  <c r="BE50" i="7"/>
  <c r="BS50" i="7"/>
  <c r="AL50" i="7"/>
  <c r="CG50" i="7"/>
  <c r="AI50" i="7"/>
  <c r="BI50" i="7"/>
  <c r="CA50" i="7"/>
  <c r="CL50" i="7"/>
  <c r="CE50" i="7"/>
  <c r="BC50" i="7"/>
  <c r="BR50" i="7"/>
  <c r="CF50" i="7"/>
  <c r="AV50" i="7"/>
  <c r="BJ50" i="7"/>
  <c r="CB50" i="7"/>
  <c r="AR50" i="7"/>
  <c r="CI50" i="7"/>
  <c r="BB50" i="7"/>
  <c r="BL50" i="7"/>
  <c r="J100" i="10" a="1"/>
  <c r="J100" i="10"/>
  <c r="E41" i="16" a="1"/>
  <c r="H100" i="10" a="1"/>
  <c r="H102" i="10"/>
  <c r="G100" i="10" a="1"/>
  <c r="G105" i="10"/>
  <c r="I100" i="10" a="1"/>
  <c r="I105" i="10"/>
  <c r="F100" i="10" a="1"/>
  <c r="F103" i="10"/>
  <c r="AN50" i="7"/>
  <c r="CR50" i="7"/>
  <c r="AL36" i="10"/>
  <c r="O38" i="10"/>
  <c r="AH11" i="17"/>
  <c r="H11" i="17"/>
  <c r="BN50" i="7"/>
  <c r="AZ13" i="6"/>
  <c r="CA13" i="6"/>
  <c r="O13" i="6"/>
  <c r="AP13" i="6"/>
  <c r="BU13" i="6"/>
  <c r="I13" i="6"/>
  <c r="K13" i="6"/>
  <c r="CJ13" i="6"/>
  <c r="AV13" i="6"/>
  <c r="BW13" i="6"/>
  <c r="AL13" i="6"/>
  <c r="BQ13" i="6"/>
  <c r="T13" i="6"/>
  <c r="AU13" i="6"/>
  <c r="BV13" i="6"/>
  <c r="J13" i="6"/>
  <c r="AO13" i="6"/>
  <c r="AP7" i="6"/>
  <c r="AI7" i="6"/>
  <c r="M7" i="6"/>
  <c r="CE7" i="6"/>
  <c r="AH7" i="6"/>
  <c r="AA7" i="6"/>
  <c r="CH7" i="6"/>
  <c r="BL7" i="6"/>
  <c r="BM7" i="6"/>
  <c r="CQ50" i="7"/>
  <c r="AC38" i="10"/>
  <c r="F103" i="17"/>
  <c r="X103" i="17"/>
  <c r="Y103" i="17"/>
  <c r="S103" i="17"/>
  <c r="Q103" i="17"/>
  <c r="AK103" i="17"/>
  <c r="Z103" i="17"/>
  <c r="T103" i="17"/>
  <c r="V103" i="17"/>
  <c r="H103" i="17"/>
  <c r="I103" i="17"/>
  <c r="R103" i="17"/>
  <c r="AJ103" i="17"/>
  <c r="AB103" i="17"/>
  <c r="U103" i="17"/>
  <c r="E103" i="17"/>
  <c r="AL103" i="17"/>
  <c r="L103" i="17"/>
  <c r="AF103" i="17"/>
  <c r="N103" i="17"/>
  <c r="H85" i="18"/>
  <c r="AB85" i="18"/>
  <c r="T85" i="18"/>
  <c r="Y85" i="18"/>
  <c r="P85" i="18"/>
  <c r="AC85" i="18"/>
  <c r="I85" i="18"/>
  <c r="AH85" i="18"/>
  <c r="E85" i="18"/>
  <c r="AJ85" i="18"/>
  <c r="AK85" i="18"/>
  <c r="J85" i="18"/>
  <c r="K85" i="18"/>
  <c r="G85" i="18"/>
  <c r="F85" i="18"/>
  <c r="AF85" i="18"/>
  <c r="W85" i="18"/>
  <c r="Z85" i="18"/>
  <c r="S85" i="18"/>
  <c r="R85" i="18"/>
  <c r="X85" i="18"/>
  <c r="N85" i="18"/>
  <c r="AG85" i="18"/>
  <c r="AI85" i="18"/>
  <c r="Y76" i="18"/>
  <c r="I76" i="18"/>
  <c r="AG76" i="18"/>
  <c r="T67" i="18"/>
  <c r="H67" i="18"/>
  <c r="AJ67" i="18"/>
  <c r="V67" i="18"/>
  <c r="K67" i="18"/>
  <c r="M67" i="18"/>
  <c r="AD67" i="18"/>
  <c r="AE67" i="18"/>
  <c r="AC67" i="18"/>
  <c r="E67" i="18"/>
  <c r="AL67" i="18"/>
  <c r="AA67" i="18"/>
  <c r="Y67" i="18"/>
  <c r="X67" i="18"/>
  <c r="AF67" i="18"/>
  <c r="Z67" i="18"/>
  <c r="O67" i="18"/>
  <c r="I67" i="18"/>
  <c r="F67" i="18"/>
  <c r="U67" i="18"/>
  <c r="N67" i="18"/>
  <c r="Q67" i="18"/>
  <c r="S67" i="18"/>
  <c r="AA58" i="18"/>
  <c r="Q58" i="18"/>
  <c r="N58" i="18"/>
  <c r="S58" i="18"/>
  <c r="O58" i="18"/>
  <c r="AF58" i="18"/>
  <c r="Y58" i="18"/>
  <c r="R58" i="18"/>
  <c r="T58" i="18"/>
  <c r="U58" i="18"/>
  <c r="J58" i="18"/>
  <c r="M58" i="18"/>
  <c r="X58" i="18"/>
  <c r="AI58" i="18"/>
  <c r="AB49" i="18"/>
  <c r="P49" i="18"/>
  <c r="AH49" i="18"/>
  <c r="Z49" i="18"/>
  <c r="J49" i="18"/>
  <c r="Y49" i="18"/>
  <c r="AL49" i="18"/>
  <c r="F49" i="18"/>
  <c r="G49" i="18"/>
  <c r="T85" i="13"/>
  <c r="X85" i="13"/>
  <c r="E85" i="13"/>
  <c r="AF85" i="13"/>
  <c r="S85" i="13"/>
  <c r="AE85" i="13"/>
  <c r="R85" i="13"/>
  <c r="M85" i="13"/>
  <c r="P76" i="13"/>
  <c r="V76" i="13"/>
  <c r="U76" i="13"/>
  <c r="E67" i="13"/>
  <c r="K67" i="13"/>
  <c r="W67" i="13"/>
  <c r="Z67" i="13"/>
  <c r="Y67" i="13"/>
  <c r="E49" i="14"/>
  <c r="AJ49" i="14"/>
  <c r="X49" i="14"/>
  <c r="AB49" i="14"/>
  <c r="AA49" i="14"/>
  <c r="AI49" i="14"/>
  <c r="Z49" i="14"/>
  <c r="AC49" i="14"/>
  <c r="Y40" i="14"/>
  <c r="AA40" i="14"/>
  <c r="AB40" i="14"/>
  <c r="Z40" i="14"/>
  <c r="AJ19" i="14"/>
  <c r="E19" i="14"/>
  <c r="AA19" i="14"/>
  <c r="Z19" i="14"/>
  <c r="Y19" i="14"/>
  <c r="E3" i="16"/>
  <c r="AI3" i="16"/>
  <c r="AJ3" i="16"/>
  <c r="K3" i="16"/>
  <c r="AB3" i="16"/>
  <c r="S3" i="16"/>
  <c r="L3" i="16"/>
  <c r="AD3" i="16"/>
  <c r="AG3" i="16"/>
  <c r="AG4" i="6"/>
  <c r="BM4" i="6"/>
  <c r="CS4" i="6"/>
  <c r="BG4" i="6"/>
  <c r="R4" i="6"/>
  <c r="AX4" i="6"/>
  <c r="CD4" i="6"/>
  <c r="BC4" i="6"/>
  <c r="AG15" i="7"/>
  <c r="CO15" i="7"/>
  <c r="CB15" i="7"/>
  <c r="BN15" i="7"/>
  <c r="BK15" i="7"/>
  <c r="BH4" i="6"/>
  <c r="AN4" i="6"/>
  <c r="T4" i="6"/>
  <c r="BL4" i="6"/>
  <c r="Y85" i="13"/>
  <c r="AD85" i="13"/>
  <c r="AK76" i="13"/>
  <c r="M67" i="13"/>
  <c r="R67" i="13"/>
  <c r="O76" i="13"/>
  <c r="AI76" i="13"/>
  <c r="AJ49" i="7"/>
  <c r="AG49" i="14"/>
  <c r="AH49" i="14"/>
  <c r="AL40" i="14"/>
  <c r="J19" i="14"/>
  <c r="O19" i="14"/>
  <c r="Q40" i="14"/>
  <c r="AB19" i="14"/>
  <c r="AF40" i="14"/>
  <c r="L67" i="13"/>
  <c r="I40" i="14"/>
  <c r="AJ85" i="13"/>
  <c r="T49" i="14"/>
  <c r="T67" i="13"/>
  <c r="M3" i="16"/>
  <c r="N3" i="16"/>
  <c r="T3" i="16"/>
  <c r="P3" i="16"/>
  <c r="L11" i="18"/>
  <c r="G31" i="12"/>
  <c r="AA31" i="12"/>
  <c r="AF19" i="12"/>
  <c r="AC19" i="12"/>
  <c r="AD19" i="13"/>
  <c r="N19" i="13"/>
  <c r="L19" i="13"/>
  <c r="H19" i="13"/>
  <c r="Z19" i="13"/>
  <c r="AI19" i="13"/>
  <c r="AK19" i="13"/>
  <c r="F19" i="13"/>
  <c r="E11" i="16"/>
  <c r="AJ11" i="16"/>
  <c r="G11" i="16"/>
  <c r="AB11" i="16"/>
  <c r="AF11" i="16"/>
  <c r="AE11" i="16"/>
  <c r="L11" i="16"/>
  <c r="T11" i="16"/>
  <c r="X11" i="16"/>
  <c r="AH11" i="16"/>
  <c r="AK11" i="16"/>
  <c r="M4" i="6"/>
  <c r="AS4" i="6"/>
  <c r="BY4" i="6"/>
  <c r="W4" i="6"/>
  <c r="CE4" i="6"/>
  <c r="AD4" i="6"/>
  <c r="BJ4" i="6"/>
  <c r="CP4" i="6"/>
  <c r="CA4" i="6"/>
  <c r="CJ4" i="6"/>
  <c r="P4" i="6"/>
  <c r="AK85" i="13"/>
  <c r="I76" i="13"/>
  <c r="R76" i="13"/>
  <c r="AC67" i="13"/>
  <c r="AH67" i="13"/>
  <c r="O85" i="13"/>
  <c r="S67" i="13"/>
  <c r="I49" i="14"/>
  <c r="J49" i="14"/>
  <c r="N40" i="14"/>
  <c r="Q19" i="14"/>
  <c r="V19" i="14"/>
  <c r="AI19" i="14"/>
  <c r="O49" i="14"/>
  <c r="AF19" i="14"/>
  <c r="L85" i="13"/>
  <c r="S40" i="14"/>
  <c r="AF67" i="13"/>
  <c r="H49" i="14"/>
  <c r="T19" i="14"/>
  <c r="Y3" i="16"/>
  <c r="Z3" i="16"/>
  <c r="O3" i="16"/>
  <c r="E11" i="13"/>
  <c r="P11" i="13"/>
  <c r="AL11" i="13"/>
  <c r="U11" i="18"/>
  <c r="Y11" i="18"/>
  <c r="O11" i="18"/>
  <c r="T11" i="18"/>
  <c r="X11" i="18"/>
  <c r="Q11" i="18"/>
  <c r="AH11" i="18"/>
  <c r="S11" i="18"/>
  <c r="K11" i="18"/>
  <c r="AE11" i="18"/>
  <c r="N11" i="18"/>
  <c r="P11" i="18"/>
  <c r="J11" i="18"/>
  <c r="AI11" i="18"/>
  <c r="AB11" i="18"/>
  <c r="AL11" i="18"/>
  <c r="Q4" i="6"/>
  <c r="AW4" i="6"/>
  <c r="CC4" i="6"/>
  <c r="AA4" i="6"/>
  <c r="CM4" i="6"/>
  <c r="AH4" i="6"/>
  <c r="BN4" i="6"/>
  <c r="S4" i="6"/>
  <c r="CI4" i="6"/>
  <c r="F85" i="13"/>
  <c r="Q76" i="13"/>
  <c r="Z76" i="13"/>
  <c r="AG67" i="13"/>
  <c r="W85" i="13"/>
  <c r="AI67" i="13"/>
  <c r="M49" i="14"/>
  <c r="N49" i="14"/>
  <c r="R40" i="14"/>
  <c r="U19" i="14"/>
  <c r="AD19" i="14"/>
  <c r="W49" i="14"/>
  <c r="E40" i="14"/>
  <c r="AB85" i="13"/>
  <c r="AC40" i="14"/>
  <c r="T76" i="13"/>
  <c r="S49" i="14"/>
  <c r="M40" i="14"/>
  <c r="AC3" i="16"/>
  <c r="AH3" i="16"/>
  <c r="G3" i="16"/>
  <c r="AD11" i="18"/>
  <c r="I11" i="18"/>
  <c r="E11" i="18"/>
  <c r="E103" i="16"/>
  <c r="L103" i="16"/>
  <c r="F103" i="16"/>
  <c r="Z103" i="16"/>
  <c r="P103" i="16"/>
  <c r="AL103" i="16"/>
  <c r="AI103" i="16"/>
  <c r="AK103" i="16"/>
  <c r="H31" i="16"/>
  <c r="Q31" i="16"/>
  <c r="P31" i="16"/>
  <c r="AJ76" i="17"/>
  <c r="T76" i="17"/>
  <c r="S76" i="17"/>
  <c r="AF76" i="17"/>
  <c r="N76" i="17"/>
  <c r="Q76" i="17"/>
  <c r="O76" i="17"/>
  <c r="H76" i="17"/>
  <c r="V76" i="17"/>
  <c r="U76" i="17"/>
  <c r="W76" i="17"/>
  <c r="X76" i="17"/>
  <c r="R76" i="17"/>
  <c r="M76" i="17"/>
  <c r="AA76" i="17"/>
  <c r="AJ67" i="17"/>
  <c r="O67" i="17"/>
  <c r="AB67" i="17"/>
  <c r="J67" i="17"/>
  <c r="M67" i="17"/>
  <c r="K67" i="17"/>
  <c r="AF67" i="17"/>
  <c r="Z67" i="17"/>
  <c r="Y67" i="17"/>
  <c r="S67" i="17"/>
  <c r="V67" i="17"/>
  <c r="U67" i="17"/>
  <c r="E67" i="17"/>
  <c r="L67" i="17"/>
  <c r="T67" i="17"/>
  <c r="F67" i="17"/>
  <c r="BX24" i="7"/>
  <c r="AA24" i="7"/>
  <c r="CB24" i="7"/>
  <c r="AD24" i="7"/>
  <c r="J67" i="12"/>
  <c r="V67" i="12"/>
  <c r="E11" i="15"/>
  <c r="K11" i="15"/>
  <c r="E58" i="17"/>
  <c r="W58" i="17"/>
  <c r="J58" i="17"/>
  <c r="BZ24" i="7"/>
  <c r="AJ103" i="18"/>
  <c r="AA103" i="18"/>
  <c r="S40" i="18"/>
  <c r="E40" i="18"/>
  <c r="G40" i="18"/>
  <c r="AJ40" i="18"/>
  <c r="T40" i="18"/>
  <c r="AD40" i="18"/>
  <c r="AG40" i="18"/>
  <c r="U19" i="18"/>
  <c r="Q19" i="18"/>
  <c r="AC19" i="18"/>
  <c r="AJ19" i="18"/>
  <c r="AF19" i="18"/>
  <c r="AA19" i="18"/>
  <c r="AD19" i="18"/>
  <c r="BT24" i="7"/>
  <c r="X3" i="14"/>
  <c r="K3" i="14"/>
  <c r="H58" i="15"/>
  <c r="P58" i="15"/>
  <c r="AB58" i="15"/>
  <c r="E49" i="15"/>
  <c r="H49" i="15"/>
  <c r="K49" i="15"/>
  <c r="AA94" i="16"/>
  <c r="AB94" i="16"/>
  <c r="L76" i="16"/>
  <c r="AJ76" i="16"/>
  <c r="J76" i="16"/>
  <c r="AL76" i="16"/>
  <c r="R4" i="11"/>
  <c r="U4" i="11"/>
  <c r="T4" i="11"/>
  <c r="O4" i="11"/>
  <c r="M103" i="12"/>
  <c r="AK19" i="15"/>
  <c r="V31" i="15"/>
  <c r="BT13" i="6"/>
  <c r="BP13" i="6"/>
  <c r="BX13" i="6"/>
  <c r="AJ13" i="6"/>
  <c r="CQ13" i="6"/>
  <c r="BK13" i="6"/>
  <c r="AE13" i="6"/>
  <c r="CL13" i="6"/>
  <c r="BF13" i="6"/>
  <c r="Z13" i="6"/>
  <c r="CK13" i="6"/>
  <c r="BE13" i="6"/>
  <c r="Y13" i="6"/>
  <c r="BL13" i="6"/>
  <c r="AF13" i="6"/>
  <c r="CM13" i="6"/>
  <c r="BG13" i="6"/>
  <c r="AA13" i="6"/>
  <c r="CH13" i="6"/>
  <c r="BB13" i="6"/>
  <c r="V13" i="6"/>
  <c r="CG13" i="6"/>
  <c r="BA13" i="6"/>
  <c r="U13" i="6"/>
  <c r="BH13" i="6"/>
  <c r="AB13" i="6"/>
  <c r="CI13" i="6"/>
  <c r="BC13" i="6"/>
  <c r="W13" i="6"/>
  <c r="CD13" i="6"/>
  <c r="AX13" i="6"/>
  <c r="R13" i="6"/>
  <c r="CC13" i="6"/>
  <c r="AW13" i="6"/>
  <c r="Q13" i="6"/>
  <c r="CR13" i="6"/>
  <c r="CN13" i="6"/>
  <c r="AN13" i="6"/>
  <c r="H13" i="6"/>
  <c r="BO13" i="6"/>
  <c r="AI13" i="6"/>
  <c r="CP13" i="6"/>
  <c r="BJ13" i="6"/>
  <c r="AD13" i="6"/>
  <c r="CO13" i="6"/>
  <c r="BI13" i="6"/>
  <c r="AC13" i="6"/>
  <c r="AN7" i="6"/>
  <c r="BO7" i="6"/>
  <c r="H7" i="6"/>
  <c r="CR7" i="6"/>
  <c r="AM7" i="6"/>
  <c r="BF7" i="6"/>
  <c r="N7" i="6"/>
  <c r="AR7" i="6"/>
  <c r="CG7" i="6"/>
  <c r="AK7" i="6"/>
  <c r="CJ7" i="6"/>
  <c r="W7" i="6"/>
  <c r="BB7" i="6"/>
  <c r="J7" i="6"/>
  <c r="BW7" i="6"/>
  <c r="CC7" i="6"/>
  <c r="AG7" i="6"/>
  <c r="AF7" i="6"/>
  <c r="BP7" i="6"/>
  <c r="K7" i="6"/>
  <c r="AX7" i="6"/>
  <c r="F7" i="6"/>
  <c r="BC7" i="6"/>
  <c r="BY7" i="6"/>
  <c r="AC7" i="6"/>
  <c r="AB7" i="6"/>
  <c r="BD7" i="6"/>
  <c r="CL7" i="6"/>
  <c r="AJ7" i="6"/>
  <c r="AQ7" i="6"/>
  <c r="BR7" i="6"/>
  <c r="R7" i="6"/>
  <c r="AV7" i="6"/>
  <c r="CO7" i="6"/>
  <c r="AS7" i="6"/>
  <c r="Q58" i="16"/>
  <c r="AK19" i="12"/>
  <c r="U31" i="15"/>
  <c r="U58" i="16"/>
  <c r="AH19" i="12"/>
  <c r="S103" i="12"/>
  <c r="V58" i="16"/>
  <c r="G70" i="10"/>
  <c r="I70" i="10"/>
  <c r="E70" i="10"/>
  <c r="F70" i="10"/>
  <c r="P31" i="15"/>
  <c r="AJ31" i="15"/>
  <c r="N31" i="15"/>
  <c r="Z31" i="15"/>
  <c r="G31" i="15"/>
  <c r="I31" i="15"/>
  <c r="X31" i="15"/>
  <c r="T31" i="15"/>
  <c r="AH31" i="15"/>
  <c r="AB31" i="15"/>
  <c r="AE31" i="15"/>
  <c r="AC31" i="15"/>
  <c r="AL31" i="15"/>
  <c r="K31" i="15"/>
  <c r="H31" i="15"/>
  <c r="O31" i="15"/>
  <c r="AF31" i="15"/>
  <c r="R31" i="15"/>
  <c r="AK31" i="15"/>
  <c r="L31" i="15"/>
  <c r="AG31" i="15"/>
  <c r="Y31" i="15"/>
  <c r="AD31" i="15"/>
  <c r="S31" i="15"/>
  <c r="AJ19" i="12"/>
  <c r="AB19" i="12"/>
  <c r="K19" i="12"/>
  <c r="N19" i="12"/>
  <c r="Q19" i="12"/>
  <c r="AA19" i="12"/>
  <c r="Z19" i="12"/>
  <c r="Y19" i="12"/>
  <c r="AE19" i="12"/>
  <c r="V19" i="12"/>
  <c r="M19" i="12"/>
  <c r="P19" i="12"/>
  <c r="W19" i="12"/>
  <c r="R19" i="12"/>
  <c r="I19" i="12"/>
  <c r="T19" i="12"/>
  <c r="S19" i="12"/>
  <c r="J19" i="12"/>
  <c r="E19" i="12"/>
  <c r="O19" i="12"/>
  <c r="F19" i="12"/>
  <c r="L19" i="12"/>
  <c r="AI19" i="12"/>
  <c r="AD19" i="12"/>
  <c r="U19" i="12"/>
  <c r="AL19" i="12"/>
  <c r="AA31" i="15"/>
  <c r="X58" i="16"/>
  <c r="AJ58" i="16"/>
  <c r="T58" i="16"/>
  <c r="AB58" i="16"/>
  <c r="P58" i="16"/>
  <c r="AA58" i="16"/>
  <c r="AD58" i="16"/>
  <c r="AG58" i="16"/>
  <c r="O58" i="16"/>
  <c r="N58" i="16"/>
  <c r="M58" i="16"/>
  <c r="AE58" i="16"/>
  <c r="Z58" i="16"/>
  <c r="Y58" i="16"/>
  <c r="L58" i="16"/>
  <c r="W58" i="16"/>
  <c r="J58" i="16"/>
  <c r="S58" i="16"/>
  <c r="F58" i="16"/>
  <c r="K58" i="16"/>
  <c r="AK58" i="16"/>
  <c r="G58" i="16"/>
  <c r="AC58" i="16"/>
  <c r="E58" i="16"/>
  <c r="H58" i="16"/>
  <c r="AI58" i="16"/>
  <c r="R58" i="16"/>
  <c r="I58" i="16"/>
  <c r="L19" i="15"/>
  <c r="S19" i="15"/>
  <c r="AD19" i="15"/>
  <c r="AG19" i="15"/>
  <c r="X19" i="15"/>
  <c r="E19" i="15"/>
  <c r="AF19" i="15"/>
  <c r="AH19" i="15"/>
  <c r="AC19" i="15"/>
  <c r="H19" i="15"/>
  <c r="J19" i="15"/>
  <c r="I19" i="15"/>
  <c r="AJ19" i="15"/>
  <c r="AL19" i="15"/>
  <c r="U19" i="15"/>
  <c r="G19" i="15"/>
  <c r="K19" i="15"/>
  <c r="Z19" i="15"/>
  <c r="Q19" i="15"/>
  <c r="O19" i="15"/>
  <c r="AA19" i="15"/>
  <c r="V19" i="15"/>
  <c r="M19" i="15"/>
  <c r="W19" i="15"/>
  <c r="AI19" i="15"/>
  <c r="R19" i="15"/>
  <c r="T19" i="15"/>
  <c r="Y19" i="15"/>
  <c r="E41" i="15" a="1"/>
  <c r="E41" i="15"/>
  <c r="E108" i="10" a="1"/>
  <c r="H108" i="10" a="1"/>
  <c r="J108" i="10" a="1"/>
  <c r="J113" i="10"/>
  <c r="F108" i="10" a="1"/>
  <c r="F108" i="10"/>
  <c r="G108" i="10" a="1"/>
  <c r="G113" i="10"/>
  <c r="I108" i="10" a="1"/>
  <c r="I109" i="10"/>
  <c r="Q31" i="15"/>
  <c r="AF58" i="16"/>
  <c r="AC4" i="11"/>
  <c r="AE4" i="11"/>
  <c r="AA4" i="11"/>
  <c r="Y4" i="11"/>
  <c r="AD4" i="11"/>
  <c r="Z4" i="11"/>
  <c r="V103" i="12"/>
  <c r="O103" i="12"/>
  <c r="U103" i="12"/>
  <c r="R103" i="12"/>
  <c r="W103" i="12"/>
  <c r="AC103" i="12"/>
  <c r="AJ103" i="12"/>
  <c r="X103" i="12"/>
  <c r="T103" i="12"/>
  <c r="P103" i="12"/>
  <c r="AK103" i="12"/>
  <c r="L103" i="12"/>
  <c r="J103" i="12"/>
  <c r="AI103" i="12"/>
  <c r="AG103" i="12"/>
  <c r="AB4" i="11"/>
  <c r="G19" i="12"/>
  <c r="AI31" i="15"/>
  <c r="AL58" i="16"/>
  <c r="D13" i="9"/>
  <c r="AH13" i="9"/>
  <c r="U13" i="9"/>
  <c r="N13" i="9"/>
  <c r="AB13" i="9"/>
  <c r="D5" i="9"/>
  <c r="P5" i="9"/>
  <c r="W5" i="9"/>
  <c r="V5" i="9"/>
  <c r="AB5" i="9"/>
  <c r="AI5" i="9"/>
  <c r="J72" i="10"/>
  <c r="I72" i="10"/>
  <c r="F34" i="10"/>
  <c r="AK34" i="10"/>
  <c r="I34" i="10"/>
  <c r="Y34" i="10"/>
  <c r="AC34" i="10"/>
  <c r="AF34" i="10"/>
  <c r="AE34" i="10"/>
  <c r="AH34" i="10"/>
  <c r="Q34" i="10"/>
  <c r="M34" i="10"/>
  <c r="T34" i="10"/>
  <c r="O34" i="10"/>
  <c r="N34" i="10"/>
  <c r="L37" i="10"/>
  <c r="T37" i="10"/>
  <c r="Q37" i="10"/>
  <c r="AE37" i="10"/>
  <c r="AH37" i="10"/>
  <c r="AJ37" i="10"/>
  <c r="AA37" i="10"/>
  <c r="Z37" i="10"/>
  <c r="AK37" i="10"/>
  <c r="Y37" i="10"/>
  <c r="AS4" i="11"/>
  <c r="AW4" i="11"/>
  <c r="AU4" i="11"/>
  <c r="AM4" i="11"/>
  <c r="AL4" i="11"/>
  <c r="J31" i="12"/>
  <c r="AH31" i="12"/>
  <c r="R31" i="12"/>
  <c r="AE31" i="12"/>
  <c r="E31" i="12"/>
  <c r="AJ31" i="12"/>
  <c r="Q31" i="12"/>
  <c r="F31" i="12"/>
  <c r="O31" i="12"/>
  <c r="U31" i="12"/>
  <c r="X94" i="13"/>
  <c r="R94" i="13"/>
  <c r="U94" i="13"/>
  <c r="H94" i="13"/>
  <c r="AL94" i="13"/>
  <c r="AK94" i="13"/>
  <c r="AJ94" i="13"/>
  <c r="T94" i="13"/>
  <c r="Y58" i="17"/>
  <c r="M58" i="17"/>
  <c r="AK58" i="17"/>
  <c r="AG58" i="17"/>
  <c r="AA58" i="17"/>
  <c r="AD58" i="17"/>
  <c r="T58" i="17"/>
  <c r="X58" i="17"/>
  <c r="AL58" i="17"/>
  <c r="AB58" i="17"/>
  <c r="L58" i="17"/>
  <c r="O58" i="17"/>
  <c r="N58" i="17"/>
  <c r="Z49" i="17"/>
  <c r="T49" i="17"/>
  <c r="H49" i="17"/>
  <c r="S49" i="17"/>
  <c r="AE49" i="18"/>
  <c r="AF49" i="18"/>
  <c r="AD49" i="18"/>
  <c r="AG49" i="18"/>
  <c r="AI49" i="18"/>
  <c r="S49" i="18"/>
  <c r="N49" i="18"/>
  <c r="M49" i="18"/>
  <c r="O49" i="18"/>
  <c r="L49" i="18"/>
  <c r="W49" i="18"/>
  <c r="R49" i="18"/>
  <c r="Q49" i="18"/>
  <c r="AJ49" i="18"/>
  <c r="AK49" i="18"/>
  <c r="E49" i="18"/>
  <c r="AA49" i="18"/>
  <c r="T49" i="18"/>
  <c r="V49" i="18"/>
  <c r="K55" i="2"/>
  <c r="AQ55" i="2"/>
  <c r="P55" i="2"/>
  <c r="AV55" i="2"/>
  <c r="U55" i="2"/>
  <c r="BA55" i="2"/>
  <c r="Z55" i="2"/>
  <c r="BF55" i="2"/>
  <c r="BE14" i="6"/>
  <c r="AI14" i="6"/>
  <c r="CR14" i="6"/>
  <c r="BV14" i="6"/>
  <c r="CE14" i="6"/>
  <c r="AG8" i="6"/>
  <c r="BU8" i="6"/>
  <c r="AU8" i="6"/>
  <c r="BH8" i="6"/>
  <c r="Z8" i="6"/>
  <c r="BR8" i="6"/>
  <c r="AE8" i="6"/>
  <c r="H8" i="6"/>
  <c r="AG13" i="9"/>
  <c r="AE13" i="9"/>
  <c r="F4" i="9"/>
  <c r="AJ5" i="9"/>
  <c r="J5" i="9"/>
  <c r="Y32" i="10"/>
  <c r="AD32" i="10"/>
  <c r="G34" i="10"/>
  <c r="P34" i="10"/>
  <c r="AD37" i="10"/>
  <c r="G32" i="10"/>
  <c r="T32" i="10"/>
  <c r="AK40" i="12"/>
  <c r="AK31" i="12"/>
  <c r="H31" i="12"/>
  <c r="Q94" i="13"/>
  <c r="Z94" i="13"/>
  <c r="Y11" i="13"/>
  <c r="AG3" i="13"/>
  <c r="N11" i="13"/>
  <c r="G94" i="13"/>
  <c r="AB3" i="13"/>
  <c r="T31" i="12"/>
  <c r="AI31" i="12"/>
  <c r="AB94" i="13"/>
  <c r="O11" i="13"/>
  <c r="K40" i="12"/>
  <c r="AF94" i="13"/>
  <c r="U49" i="18"/>
  <c r="K49" i="18"/>
  <c r="E8" i="6"/>
  <c r="BX8" i="6"/>
  <c r="X8" i="6"/>
  <c r="BK8" i="6"/>
  <c r="K8" i="6"/>
  <c r="BN8" i="6"/>
  <c r="AH8" i="6"/>
  <c r="CR8" i="6"/>
  <c r="T8" i="6"/>
  <c r="AA8" i="6"/>
  <c r="BY8" i="6"/>
  <c r="AS8" i="6"/>
  <c r="M8" i="6"/>
  <c r="BL8" i="6"/>
  <c r="CM8" i="6"/>
  <c r="AM8" i="6"/>
  <c r="BZ8" i="6"/>
  <c r="AP8" i="6"/>
  <c r="F8" i="6"/>
  <c r="L8" i="6"/>
  <c r="G8" i="6"/>
  <c r="BM8" i="6"/>
  <c r="E32" i="10"/>
  <c r="H32" i="10"/>
  <c r="AE32" i="10"/>
  <c r="W32" i="10"/>
  <c r="AH32" i="10"/>
  <c r="AK32" i="10"/>
  <c r="O32" i="10"/>
  <c r="P32" i="10"/>
  <c r="J32" i="10"/>
  <c r="I32" i="10"/>
  <c r="X3" i="13"/>
  <c r="W3" i="13"/>
  <c r="AL3" i="13"/>
  <c r="F3" i="13"/>
  <c r="I3" i="13"/>
  <c r="E3" i="13"/>
  <c r="G3" i="13"/>
  <c r="AK3" i="13"/>
  <c r="M4" i="9"/>
  <c r="AA4" i="9"/>
  <c r="W4" i="9"/>
  <c r="N4" i="9"/>
  <c r="P4" i="9"/>
  <c r="AI4" i="9"/>
  <c r="Y4" i="9"/>
  <c r="E4" i="9"/>
  <c r="AG4" i="9"/>
  <c r="J4" i="9"/>
  <c r="H4" i="9"/>
  <c r="E40" i="12"/>
  <c r="AF40" i="12"/>
  <c r="N40" i="12"/>
  <c r="Y40" i="12"/>
  <c r="O40" i="12"/>
  <c r="W40" i="12"/>
  <c r="U40" i="12"/>
  <c r="AA40" i="12"/>
  <c r="F40" i="12"/>
  <c r="Z11" i="13"/>
  <c r="V11" i="13"/>
  <c r="T11" i="13"/>
  <c r="G11" i="13"/>
  <c r="I11" i="13"/>
  <c r="AF11" i="13"/>
  <c r="F11" i="13"/>
  <c r="AB11" i="13"/>
  <c r="H11" i="13"/>
  <c r="AG11" i="13"/>
  <c r="AA11" i="13"/>
  <c r="E103" i="14"/>
  <c r="AH103" i="14"/>
  <c r="AK103" i="14"/>
  <c r="P94" i="15"/>
  <c r="R94" i="15"/>
  <c r="S94" i="15"/>
  <c r="U94" i="15"/>
  <c r="AJ85" i="15"/>
  <c r="H85" i="15"/>
  <c r="AA85" i="15"/>
  <c r="Y85" i="15"/>
  <c r="Z76" i="15"/>
  <c r="AI76" i="15"/>
  <c r="AG76" i="15"/>
  <c r="AE50" i="7"/>
  <c r="BV50" i="7"/>
  <c r="AB50" i="7"/>
  <c r="BQ50" i="7"/>
  <c r="BO50" i="7"/>
  <c r="CD50" i="7"/>
  <c r="AM50" i="7"/>
  <c r="BM50" i="7"/>
  <c r="BA50" i="7"/>
  <c r="CK50" i="7"/>
  <c r="AO50" i="7"/>
  <c r="CO50" i="7"/>
  <c r="AS50" i="7"/>
  <c r="CM50" i="7"/>
  <c r="AQ50" i="7"/>
  <c r="BK50" i="7"/>
  <c r="BZ50" i="7"/>
  <c r="AD50" i="7"/>
  <c r="BY50" i="7"/>
  <c r="AC50" i="7"/>
  <c r="CC50" i="7"/>
  <c r="AG50" i="7"/>
  <c r="AU50" i="7"/>
  <c r="CP50" i="7"/>
  <c r="AT50" i="7"/>
  <c r="AX50" i="7"/>
  <c r="CS50" i="7"/>
  <c r="AW50" i="7"/>
  <c r="BP50" i="7"/>
  <c r="AJ50" i="7"/>
  <c r="I64" i="10"/>
  <c r="J64" i="10"/>
  <c r="H68" i="10"/>
  <c r="J68" i="10"/>
  <c r="Z40" i="13"/>
  <c r="R40" i="13"/>
  <c r="P40" i="13"/>
  <c r="AK40" i="13"/>
  <c r="L31" i="13"/>
  <c r="AI31" i="13"/>
  <c r="AJ31" i="13"/>
  <c r="AE49" i="16"/>
  <c r="F49" i="16"/>
  <c r="T3" i="18"/>
  <c r="R3" i="18"/>
  <c r="AA3" i="18"/>
  <c r="N3" i="18"/>
  <c r="AC3" i="18"/>
  <c r="G3" i="18"/>
  <c r="H3" i="18"/>
  <c r="Q3" i="18"/>
  <c r="Z3" i="18"/>
  <c r="AL3" i="18"/>
  <c r="L3" i="18"/>
  <c r="S3" i="18"/>
  <c r="U3" i="18"/>
  <c r="CF51" i="7"/>
  <c r="BP51" i="7"/>
  <c r="AQ51" i="7"/>
  <c r="F3" i="12"/>
  <c r="N3" i="12"/>
  <c r="F88" i="10"/>
  <c r="F87" i="10"/>
  <c r="C69" i="11"/>
  <c r="E84" i="10" a="1"/>
  <c r="E87" i="10"/>
  <c r="E4" i="7"/>
  <c r="T4" i="7"/>
  <c r="L4" i="7"/>
  <c r="AM4" i="7"/>
  <c r="BV4" i="7"/>
  <c r="AP4" i="7"/>
  <c r="J4" i="7"/>
  <c r="AQ4" i="7"/>
  <c r="CO4" i="7"/>
  <c r="BI4" i="7"/>
  <c r="AC4" i="7"/>
  <c r="X19" i="14"/>
  <c r="AE19" i="14"/>
  <c r="AH19" i="14"/>
  <c r="AK19" i="14"/>
  <c r="E41" i="16"/>
  <c r="F41" i="16" a="1"/>
  <c r="E42" i="16"/>
  <c r="F42" i="16" a="1"/>
  <c r="AB42" i="16"/>
  <c r="E58" i="18"/>
  <c r="AL58" i="18"/>
  <c r="F58" i="18"/>
  <c r="AE58" i="18"/>
  <c r="AG58" i="18"/>
  <c r="L58" i="18"/>
  <c r="V58" i="18"/>
  <c r="H58" i="18"/>
  <c r="G58" i="18"/>
  <c r="AD58" i="18"/>
  <c r="Z58" i="18"/>
  <c r="AJ58" i="18"/>
  <c r="P58" i="18"/>
  <c r="K58" i="18"/>
  <c r="I58" i="18"/>
  <c r="Q85" i="13"/>
  <c r="N85" i="13"/>
  <c r="M76" i="13"/>
  <c r="J76" i="13"/>
  <c r="I67" i="13"/>
  <c r="F67" i="13"/>
  <c r="AL67" i="13"/>
  <c r="G67" i="13"/>
  <c r="G85" i="13"/>
  <c r="AA67" i="13"/>
  <c r="AA85" i="13"/>
  <c r="L76" i="13"/>
  <c r="AJ67" i="13"/>
  <c r="P38" i="10"/>
  <c r="AB38" i="10"/>
  <c r="M38" i="10"/>
  <c r="T85" i="16"/>
  <c r="AJ85" i="16"/>
  <c r="E85" i="16"/>
  <c r="L85" i="16"/>
  <c r="AB85" i="16"/>
  <c r="AA85" i="16"/>
  <c r="P85" i="16"/>
  <c r="E11" i="17"/>
  <c r="T11" i="17"/>
  <c r="O11" i="17"/>
  <c r="R11" i="17"/>
  <c r="U11" i="17"/>
  <c r="E76" i="13"/>
  <c r="X76" i="13"/>
  <c r="H124" i="10" a="1"/>
  <c r="H128" i="10"/>
  <c r="J124" i="10" a="1"/>
  <c r="J126" i="10"/>
  <c r="F124" i="10" a="1"/>
  <c r="F130" i="10"/>
  <c r="AK35" i="10"/>
  <c r="AC35" i="10"/>
  <c r="AK39" i="10"/>
  <c r="U39" i="10"/>
  <c r="X39" i="10"/>
  <c r="M39" i="10"/>
  <c r="I39" i="10"/>
  <c r="E40" i="16"/>
  <c r="L40" i="16"/>
  <c r="F40" i="16"/>
  <c r="AF31" i="17"/>
  <c r="AA31" i="17"/>
  <c r="S19" i="17"/>
  <c r="X19" i="17"/>
  <c r="V19" i="17"/>
  <c r="G138" i="10"/>
  <c r="H132" i="10" a="1"/>
  <c r="H136" i="10"/>
  <c r="F132" i="10" a="1"/>
  <c r="F134" i="10"/>
  <c r="I132" i="10" a="1"/>
  <c r="E132" i="10" a="1"/>
  <c r="E136" i="10"/>
  <c r="S40" i="15"/>
  <c r="AB40" i="15"/>
  <c r="L40" i="15"/>
  <c r="W40" i="15"/>
  <c r="X31" i="16"/>
  <c r="AF31" i="16"/>
  <c r="AJ11" i="18"/>
  <c r="AF11" i="18"/>
  <c r="AK11" i="18"/>
  <c r="AG11" i="18"/>
  <c r="Z11" i="18"/>
  <c r="F36" i="10"/>
  <c r="L19" i="18"/>
  <c r="I5" i="9"/>
  <c r="AF5" i="9"/>
  <c r="AC5" i="9"/>
  <c r="AD5" i="9"/>
  <c r="R5" i="9"/>
  <c r="O5" i="9"/>
  <c r="T5" i="9"/>
  <c r="Q5" i="9"/>
  <c r="F5" i="9"/>
  <c r="Z5" i="9"/>
  <c r="K5" i="9"/>
  <c r="AE5" i="9"/>
  <c r="X5" i="9"/>
  <c r="U5" i="9"/>
  <c r="N5" i="9"/>
  <c r="AH5" i="9"/>
  <c r="AA5" i="9"/>
  <c r="G5" i="9"/>
  <c r="AY51" i="7"/>
  <c r="CD51" i="7"/>
  <c r="AC31" i="14"/>
  <c r="AH31" i="14"/>
  <c r="T40" i="10"/>
  <c r="I40" i="10"/>
  <c r="F40" i="10"/>
  <c r="AC40" i="10"/>
  <c r="AG40" i="10"/>
  <c r="AB40" i="10"/>
  <c r="Y40" i="10"/>
  <c r="M40" i="10"/>
  <c r="S40" i="10"/>
  <c r="V40" i="10"/>
  <c r="AK40" i="10"/>
  <c r="AJ40" i="10"/>
  <c r="X40" i="10"/>
  <c r="G40" i="10"/>
  <c r="U40" i="10"/>
  <c r="AI40" i="10"/>
  <c r="AH40" i="10"/>
  <c r="Q40" i="10"/>
  <c r="P40" i="10"/>
  <c r="Z40" i="10"/>
  <c r="AA40" i="10"/>
  <c r="N40" i="10"/>
  <c r="L40" i="10"/>
  <c r="J40" i="10"/>
  <c r="W40" i="10"/>
  <c r="AD40" i="10"/>
  <c r="R40" i="10"/>
  <c r="H40" i="10"/>
  <c r="K40" i="10"/>
  <c r="E49" i="13"/>
  <c r="P49" i="13"/>
  <c r="AF49" i="13"/>
  <c r="R49" i="13"/>
  <c r="U49" i="13"/>
  <c r="H49" i="13"/>
  <c r="Z49" i="13"/>
  <c r="Y49" i="13"/>
  <c r="AI49" i="13"/>
  <c r="N49" i="13"/>
  <c r="M49" i="13"/>
  <c r="AJ49" i="13"/>
  <c r="AB49" i="13"/>
  <c r="G49" i="13"/>
  <c r="F49" i="13"/>
  <c r="AG49" i="13"/>
  <c r="L49" i="13"/>
  <c r="AA49" i="13"/>
  <c r="S49" i="13"/>
  <c r="AE49" i="13"/>
  <c r="V49" i="13"/>
  <c r="O49" i="13"/>
  <c r="AK49" i="13"/>
  <c r="AL49" i="13"/>
  <c r="AH49" i="13"/>
  <c r="K49" i="13"/>
  <c r="J49" i="13"/>
  <c r="I49" i="13"/>
  <c r="CQ51" i="7"/>
  <c r="BH51" i="7"/>
  <c r="P31" i="14"/>
  <c r="AF31" i="14"/>
  <c r="O31" i="18"/>
  <c r="T31" i="18"/>
  <c r="AA31" i="18"/>
  <c r="AI31" i="18"/>
  <c r="AK31" i="18"/>
  <c r="V31" i="18"/>
  <c r="L31" i="18"/>
  <c r="Y31" i="18"/>
  <c r="Z31" i="18"/>
  <c r="AF31" i="18"/>
  <c r="W31" i="18"/>
  <c r="U31" i="18"/>
  <c r="AL31" i="18"/>
  <c r="AH31" i="18"/>
  <c r="Q31" i="18"/>
  <c r="N31" i="18"/>
  <c r="AC31" i="18"/>
  <c r="S31" i="18"/>
  <c r="M31" i="18"/>
  <c r="AJ31" i="18"/>
  <c r="X31" i="18"/>
  <c r="I31" i="18"/>
  <c r="J31" i="18"/>
  <c r="E31" i="18"/>
  <c r="AB31" i="18"/>
  <c r="K31" i="18"/>
  <c r="AE31" i="18"/>
  <c r="P31" i="18"/>
  <c r="H31" i="18"/>
  <c r="G31" i="18"/>
  <c r="AD31" i="18"/>
  <c r="AG31" i="18"/>
  <c r="CG51" i="7"/>
  <c r="AI31" i="14"/>
  <c r="AA51" i="7"/>
  <c r="BU51" i="7"/>
  <c r="CJ51" i="7"/>
  <c r="BD51" i="7"/>
  <c r="CP51" i="7"/>
  <c r="BJ51" i="7"/>
  <c r="AD51" i="7"/>
  <c r="AO51" i="7"/>
  <c r="BS51" i="7"/>
  <c r="AM51" i="7"/>
  <c r="BM51" i="7"/>
  <c r="CB51" i="7"/>
  <c r="AR51" i="7"/>
  <c r="BZ51" i="7"/>
  <c r="AP51" i="7"/>
  <c r="BA51" i="7"/>
  <c r="BW51" i="7"/>
  <c r="AI51" i="7"/>
  <c r="AW51" i="7"/>
  <c r="BT51" i="7"/>
  <c r="AJ51" i="7"/>
  <c r="BR51" i="7"/>
  <c r="AH51" i="7"/>
  <c r="AG51" i="7"/>
  <c r="BK51" i="7"/>
  <c r="CN51" i="7"/>
  <c r="AN51" i="7"/>
  <c r="BF51" i="7"/>
  <c r="BQ51" i="7"/>
  <c r="BO51" i="7"/>
  <c r="CK51" i="7"/>
  <c r="BX51" i="7"/>
  <c r="AB51" i="7"/>
  <c r="AX51" i="7"/>
  <c r="AS51" i="7"/>
  <c r="BC51" i="7"/>
  <c r="BE51" i="7"/>
  <c r="AZ51" i="7"/>
  <c r="BB51" i="7"/>
  <c r="CM51" i="7"/>
  <c r="AE51" i="7"/>
  <c r="AK51" i="7"/>
  <c r="AV51" i="7"/>
  <c r="AT51" i="7"/>
  <c r="CI51" i="7"/>
  <c r="CR51" i="7"/>
  <c r="CL51" i="7"/>
  <c r="CO51" i="7"/>
  <c r="CA51" i="7"/>
  <c r="CS51" i="7"/>
  <c r="BL51" i="7"/>
  <c r="BV51" i="7"/>
  <c r="BI51" i="7"/>
  <c r="AU51" i="7"/>
  <c r="O31" i="14"/>
  <c r="H31" i="14"/>
  <c r="W31" i="14"/>
  <c r="Q31" i="14"/>
  <c r="Z31" i="14"/>
  <c r="AL31" i="14"/>
  <c r="V31" i="14"/>
  <c r="X31" i="14"/>
  <c r="AB31" i="14"/>
  <c r="M31" i="14"/>
  <c r="E31" i="14"/>
  <c r="N31" i="14"/>
  <c r="L31" i="14"/>
  <c r="J31" i="14"/>
  <c r="S31" i="14"/>
  <c r="AG31" i="14"/>
  <c r="AE31" i="14"/>
  <c r="Y31" i="14"/>
  <c r="F31" i="14"/>
  <c r="AJ31" i="14"/>
  <c r="T31" i="14"/>
  <c r="R31" i="14"/>
  <c r="AD31" i="14"/>
  <c r="U31" i="14"/>
  <c r="I31" i="14"/>
  <c r="G31" i="14"/>
  <c r="AK31" i="14"/>
  <c r="E49" i="17"/>
  <c r="AJ49" i="17"/>
  <c r="AB49" i="17"/>
  <c r="AI49" i="17"/>
  <c r="AL49" i="17"/>
  <c r="F49" i="17"/>
  <c r="I49" i="17"/>
  <c r="L49" i="17"/>
  <c r="AE49" i="17"/>
  <c r="AH49" i="17"/>
  <c r="AK49" i="17"/>
  <c r="AF49" i="17"/>
  <c r="AA49" i="17"/>
  <c r="AD49" i="17"/>
  <c r="AG49" i="17"/>
  <c r="O49" i="17"/>
  <c r="AC49" i="17"/>
  <c r="X49" i="17"/>
  <c r="G49" i="17"/>
  <c r="U49" i="17"/>
  <c r="R49" i="17"/>
  <c r="J49" i="17"/>
  <c r="N49" i="17"/>
  <c r="P49" i="17"/>
  <c r="Y49" i="17"/>
  <c r="W49" i="17"/>
  <c r="M49" i="17"/>
  <c r="V49" i="17"/>
  <c r="Q49" i="17"/>
  <c r="K49" i="17"/>
  <c r="AJ40" i="17"/>
  <c r="S40" i="17"/>
  <c r="AA40" i="17"/>
  <c r="W40" i="17"/>
  <c r="K40" i="17"/>
  <c r="G40" i="17"/>
  <c r="AK40" i="17"/>
  <c r="L40" i="17"/>
  <c r="E40" i="17"/>
  <c r="P40" i="17"/>
  <c r="AG40" i="17"/>
  <c r="Z40" i="17"/>
  <c r="H40" i="17"/>
  <c r="V40" i="17"/>
  <c r="AC40" i="17"/>
  <c r="N40" i="17"/>
  <c r="AB40" i="17"/>
  <c r="T40" i="17"/>
  <c r="J40" i="17"/>
  <c r="AD40" i="17"/>
  <c r="U40" i="17"/>
  <c r="AE40" i="17"/>
  <c r="Q40" i="17"/>
  <c r="AI40" i="17"/>
  <c r="I40" i="17"/>
  <c r="AH40" i="17"/>
  <c r="O40" i="17"/>
  <c r="X40" i="17"/>
  <c r="Y40" i="17"/>
  <c r="AF40" i="17"/>
  <c r="F40" i="17"/>
  <c r="AL40" i="17"/>
  <c r="R40" i="17"/>
  <c r="BX14" i="6"/>
  <c r="T14" i="6"/>
  <c r="BK14" i="6"/>
  <c r="CP14" i="6"/>
  <c r="BJ14" i="6"/>
  <c r="AD14" i="6"/>
  <c r="CJ14" i="6"/>
  <c r="L14" i="6"/>
  <c r="S14" i="6"/>
  <c r="BY14" i="6"/>
  <c r="AJ14" i="6"/>
  <c r="BS14" i="6"/>
  <c r="CL14" i="6"/>
  <c r="BB14" i="6"/>
  <c r="R14" i="6"/>
  <c r="AZ14" i="6"/>
  <c r="AQ14" i="6"/>
  <c r="CG14" i="6"/>
  <c r="AW14" i="6"/>
  <c r="Q14" i="6"/>
  <c r="E14" i="6"/>
  <c r="CF14" i="6"/>
  <c r="P14" i="6"/>
  <c r="AY14" i="6"/>
  <c r="CD14" i="6"/>
  <c r="AT14" i="6"/>
  <c r="J14" i="6"/>
  <c r="AF14" i="6"/>
  <c r="AA14" i="6"/>
  <c r="BU14" i="6"/>
  <c r="AO14" i="6"/>
  <c r="I14" i="6"/>
  <c r="AN14" i="6"/>
  <c r="AU14" i="6"/>
  <c r="BR14" i="6"/>
  <c r="V14" i="6"/>
  <c r="X14" i="6"/>
  <c r="CS14" i="6"/>
  <c r="BA14" i="6"/>
  <c r="H14" i="6"/>
  <c r="AE14" i="6"/>
  <c r="BF14" i="6"/>
  <c r="F14" i="6"/>
  <c r="CA14" i="6"/>
  <c r="CK14" i="6"/>
  <c r="AK14" i="6"/>
  <c r="E15" i="7"/>
  <c r="AR15" i="7"/>
  <c r="CM15" i="7"/>
  <c r="AI15" i="7"/>
  <c r="CD15" i="7"/>
  <c r="CN15" i="7"/>
  <c r="AF15" i="7"/>
  <c r="BS15" i="7"/>
  <c r="K15" i="7"/>
  <c r="BJ15" i="7"/>
  <c r="AD15" i="7"/>
  <c r="CJ15" i="7"/>
  <c r="CI15" i="7"/>
  <c r="G15" i="7"/>
  <c r="BQ15" i="7"/>
  <c r="AK15" i="7"/>
  <c r="AZ15" i="7"/>
  <c r="BW15" i="7"/>
  <c r="CP15" i="7"/>
  <c r="BB15" i="7"/>
  <c r="R15" i="7"/>
  <c r="AV15" i="7"/>
  <c r="AM15" i="7"/>
  <c r="BY15" i="7"/>
  <c r="AO15" i="7"/>
  <c r="AB15" i="7"/>
  <c r="BG15" i="7"/>
  <c r="CH15" i="7"/>
  <c r="AT15" i="7"/>
  <c r="J15" i="7"/>
  <c r="L15" i="7"/>
  <c r="W15" i="7"/>
  <c r="BM15" i="7"/>
  <c r="AC15" i="7"/>
  <c r="T15" i="7"/>
  <c r="S15" i="7"/>
  <c r="AX15" i="7"/>
  <c r="CR15" i="7"/>
  <c r="BC15" i="7"/>
  <c r="BU15" i="7"/>
  <c r="U15" i="7"/>
  <c r="BX15" i="7"/>
  <c r="H15" i="7"/>
  <c r="CL15" i="7"/>
  <c r="AL15" i="7"/>
  <c r="BT15" i="7"/>
  <c r="AE15" i="7"/>
  <c r="BE15" i="7"/>
  <c r="M15" i="7"/>
  <c r="AG4" i="8"/>
  <c r="D4" i="8"/>
  <c r="I4" i="8"/>
  <c r="AD4" i="8"/>
  <c r="AQ4" i="8"/>
  <c r="AK4" i="8"/>
  <c r="BD4" i="8"/>
  <c r="X4" i="8"/>
  <c r="M4" i="8"/>
  <c r="R4" i="8"/>
  <c r="AW4" i="8"/>
  <c r="G4" i="8"/>
  <c r="Q4" i="8"/>
  <c r="AL4" i="8"/>
  <c r="BI4" i="8"/>
  <c r="BE4" i="8"/>
  <c r="AE4" i="8"/>
  <c r="AV4" i="8"/>
  <c r="L4" i="8"/>
  <c r="Y4" i="8"/>
  <c r="K4" i="8"/>
  <c r="V4" i="8"/>
  <c r="U4" i="8"/>
  <c r="AJ4" i="8"/>
  <c r="AS4" i="8"/>
  <c r="AM4" i="8"/>
  <c r="BK4" i="8"/>
  <c r="J4" i="8"/>
  <c r="AB4" i="8"/>
  <c r="AA4" i="8"/>
  <c r="E4" i="8"/>
  <c r="H4" i="8"/>
  <c r="BC4" i="8"/>
  <c r="AX4" i="8"/>
  <c r="BF4" i="8"/>
  <c r="AZ4" i="8"/>
  <c r="F116" i="10"/>
  <c r="F117" i="10"/>
  <c r="F120" i="10"/>
  <c r="F119" i="10"/>
  <c r="F118" i="10"/>
  <c r="F121" i="10"/>
  <c r="AE24" i="7"/>
  <c r="AP24" i="7"/>
  <c r="AZ24" i="7"/>
  <c r="BK24" i="7"/>
  <c r="BV24" i="7"/>
  <c r="CF24" i="7"/>
  <c r="CQ24" i="7"/>
  <c r="AC24" i="7"/>
  <c r="AJ24" i="7"/>
  <c r="AU24" i="7"/>
  <c r="BF24" i="7"/>
  <c r="BP24" i="7"/>
  <c r="CA24" i="7"/>
  <c r="CL24" i="7"/>
  <c r="AF24" i="7"/>
  <c r="AT24" i="7"/>
  <c r="BH24" i="7"/>
  <c r="BW24" i="7"/>
  <c r="CJ24" i="7"/>
  <c r="AH24" i="7"/>
  <c r="AX24" i="7"/>
  <c r="BN24" i="7"/>
  <c r="CD24" i="7"/>
  <c r="AI24" i="7"/>
  <c r="AY24" i="7"/>
  <c r="BO24" i="7"/>
  <c r="CE24" i="7"/>
  <c r="CS24" i="7"/>
  <c r="BM24" i="7"/>
  <c r="AG24" i="7"/>
  <c r="AL24" i="7"/>
  <c r="BB24" i="7"/>
  <c r="BR24" i="7"/>
  <c r="CH24" i="7"/>
  <c r="AM24" i="7"/>
  <c r="BJ24" i="7"/>
  <c r="CM24" i="7"/>
  <c r="AN24" i="7"/>
  <c r="BL24" i="7"/>
  <c r="CN24" i="7"/>
  <c r="AQ24" i="7"/>
  <c r="BS24" i="7"/>
  <c r="CP24" i="7"/>
  <c r="BQ24" i="7"/>
  <c r="AV24" i="7"/>
  <c r="CI24" i="7"/>
  <c r="CG24" i="7"/>
  <c r="AS24" i="7"/>
  <c r="BD24" i="7"/>
  <c r="BY24" i="7"/>
  <c r="AK24" i="7"/>
  <c r="E7" i="6"/>
  <c r="P7" i="6"/>
  <c r="CB7" i="6"/>
  <c r="BG7" i="6"/>
  <c r="CP7" i="6"/>
  <c r="BJ7" i="6"/>
  <c r="AD7" i="6"/>
  <c r="CF7" i="6"/>
  <c r="CQ7" i="6"/>
  <c r="O7" i="6"/>
  <c r="BU7" i="6"/>
  <c r="AO7" i="6"/>
  <c r="I7" i="6"/>
  <c r="CM7" i="6"/>
  <c r="AE7" i="6"/>
  <c r="BV7" i="6"/>
  <c r="AL7" i="6"/>
  <c r="CN7" i="6"/>
  <c r="CI7" i="6"/>
  <c r="CS7" i="6"/>
  <c r="BI7" i="6"/>
  <c r="Y7" i="6"/>
  <c r="L7" i="6"/>
  <c r="X7" i="6"/>
  <c r="CA7" i="6"/>
  <c r="S7" i="6"/>
  <c r="BN7" i="6"/>
  <c r="Z7" i="6"/>
  <c r="BT7" i="6"/>
  <c r="BK7" i="6"/>
  <c r="CK7" i="6"/>
  <c r="BA7" i="6"/>
  <c r="Q7" i="6"/>
  <c r="BG24" i="7"/>
  <c r="E46" i="12"/>
  <c r="F46" i="12" a="1"/>
  <c r="AJ3" i="17"/>
  <c r="E3" i="17"/>
  <c r="F3" i="17"/>
  <c r="Y3" i="17"/>
  <c r="AF3" i="17"/>
  <c r="S3" i="17"/>
  <c r="W3" i="17"/>
  <c r="K3" i="17"/>
  <c r="AE3" i="17"/>
  <c r="P3" i="17"/>
  <c r="AG3" i="17"/>
  <c r="V3" i="17"/>
  <c r="T3" i="17"/>
  <c r="AB3" i="17"/>
  <c r="R3" i="17"/>
  <c r="I3" i="17"/>
  <c r="AI3" i="17"/>
  <c r="Q3" i="17"/>
  <c r="N3" i="17"/>
  <c r="AA3" i="17"/>
  <c r="M3" i="17"/>
  <c r="J3" i="17"/>
  <c r="U3" i="17"/>
  <c r="H3" i="17"/>
  <c r="L3" i="17"/>
  <c r="O3" i="17"/>
  <c r="AC3" i="17"/>
  <c r="G3" i="17"/>
  <c r="AL3" i="17"/>
  <c r="E67" i="16"/>
  <c r="N67" i="16"/>
  <c r="AB67" i="16"/>
  <c r="AF67" i="16"/>
  <c r="AE67" i="16"/>
  <c r="AG67" i="16"/>
  <c r="AD67" i="16"/>
  <c r="X67" i="16"/>
  <c r="AA67" i="16"/>
  <c r="AC67" i="16"/>
  <c r="L67" i="16"/>
  <c r="P67" i="16"/>
  <c r="W67" i="16"/>
  <c r="Y67" i="16"/>
  <c r="AJ67" i="16"/>
  <c r="T67" i="16"/>
  <c r="H67" i="16"/>
  <c r="U67" i="16"/>
  <c r="AI67" i="16"/>
  <c r="M67" i="16"/>
  <c r="O67" i="16"/>
  <c r="G67" i="16"/>
  <c r="D7" i="9"/>
  <c r="AA7" i="9"/>
  <c r="AC7" i="9"/>
  <c r="AF7" i="9"/>
  <c r="O7" i="9"/>
  <c r="K7" i="9"/>
  <c r="AK7" i="9"/>
  <c r="AJ7" i="9"/>
  <c r="W7" i="9"/>
  <c r="Y7" i="9"/>
  <c r="X7" i="9"/>
  <c r="E3" i="12"/>
  <c r="K3" i="12"/>
  <c r="M3" i="12"/>
  <c r="S3" i="12"/>
  <c r="G3" i="12"/>
  <c r="H3" i="12"/>
  <c r="J3" i="12"/>
  <c r="P3" i="12"/>
  <c r="AL3" i="12"/>
  <c r="L3" i="12"/>
  <c r="AD3" i="12"/>
  <c r="E40" i="13"/>
  <c r="AI40" i="13"/>
  <c r="AF40" i="13"/>
  <c r="Q40" i="13"/>
  <c r="AJ40" i="13"/>
  <c r="O40" i="13"/>
  <c r="AE40" i="13"/>
  <c r="AH40" i="13"/>
  <c r="S40" i="13"/>
  <c r="F40" i="13"/>
  <c r="AC40" i="13"/>
  <c r="L40" i="13"/>
  <c r="T40" i="13"/>
  <c r="H40" i="13"/>
  <c r="U40" i="13"/>
  <c r="E31" i="16"/>
  <c r="L31" i="16"/>
  <c r="AI31" i="16"/>
  <c r="AD31" i="16"/>
  <c r="AG31" i="16"/>
  <c r="AA31" i="16"/>
  <c r="Z31" i="16"/>
  <c r="AC31" i="16"/>
  <c r="S31" i="16"/>
  <c r="V31" i="16"/>
  <c r="Y31" i="16"/>
  <c r="T31" i="16"/>
  <c r="N31" i="16"/>
  <c r="AB31" i="16"/>
  <c r="AJ31" i="16"/>
  <c r="F31" i="16"/>
  <c r="E116" i="10" a="1"/>
  <c r="I116" i="10" a="1"/>
  <c r="G116" i="10" a="1"/>
  <c r="J116" i="10" a="1"/>
  <c r="H116" i="10" a="1"/>
  <c r="E41" i="14" a="1"/>
  <c r="L7" i="9"/>
  <c r="U7" i="9"/>
  <c r="G7" i="9"/>
  <c r="AC3" i="12"/>
  <c r="AB3" i="12"/>
  <c r="I40" i="13"/>
  <c r="Y3" i="12"/>
  <c r="AD40" i="13"/>
  <c r="AF3" i="12"/>
  <c r="AB40" i="13"/>
  <c r="W40" i="13"/>
  <c r="AA13" i="9"/>
  <c r="Z13" i="9"/>
  <c r="AC13" i="9"/>
  <c r="AF13" i="9"/>
  <c r="W13" i="9"/>
  <c r="R13" i="9"/>
  <c r="Q13" i="9"/>
  <c r="P13" i="9"/>
  <c r="O13" i="9"/>
  <c r="J13" i="9"/>
  <c r="I13" i="9"/>
  <c r="H13" i="9"/>
  <c r="T7" i="9"/>
  <c r="Z7" i="9"/>
  <c r="AI7" i="9"/>
  <c r="S7" i="9"/>
  <c r="X3" i="12"/>
  <c r="P4" i="11"/>
  <c r="S4" i="11"/>
  <c r="Q4" i="11"/>
  <c r="AH103" i="12"/>
  <c r="N103" i="12"/>
  <c r="AL103" i="12"/>
  <c r="AF103" i="12"/>
  <c r="G103" i="12"/>
  <c r="Y103" i="12"/>
  <c r="Z103" i="12"/>
  <c r="H103" i="12"/>
  <c r="Q103" i="12"/>
  <c r="E103" i="12"/>
  <c r="AD103" i="12"/>
  <c r="AE103" i="12"/>
  <c r="I103" i="12"/>
  <c r="E103" i="18"/>
  <c r="AF103" i="18"/>
  <c r="AL103" i="18"/>
  <c r="F103" i="18"/>
  <c r="AK103" i="18"/>
  <c r="T103" i="18"/>
  <c r="V103" i="18"/>
  <c r="S103" i="18"/>
  <c r="M103" i="18"/>
  <c r="P103" i="18"/>
  <c r="R103" i="18"/>
  <c r="O103" i="18"/>
  <c r="I103" i="18"/>
  <c r="L103" i="18"/>
  <c r="N103" i="18"/>
  <c r="K103" i="18"/>
  <c r="Z103" i="18"/>
  <c r="Y103" i="18"/>
  <c r="AB103" i="18"/>
  <c r="AI103" i="18"/>
  <c r="Q103" i="18"/>
  <c r="E76" i="18"/>
  <c r="AJ76" i="18"/>
  <c r="X76" i="18"/>
  <c r="H76" i="18"/>
  <c r="N76" i="18"/>
  <c r="AA76" i="18"/>
  <c r="AC76" i="18"/>
  <c r="W76" i="18"/>
  <c r="U76" i="18"/>
  <c r="AH76" i="18"/>
  <c r="AL76" i="18"/>
  <c r="S76" i="18"/>
  <c r="Q76" i="18"/>
  <c r="Z76" i="18"/>
  <c r="AD76" i="18"/>
  <c r="O76" i="18"/>
  <c r="M76" i="18"/>
  <c r="T76" i="18"/>
  <c r="P76" i="18"/>
  <c r="AI76" i="18"/>
  <c r="L76" i="18"/>
  <c r="V76" i="18"/>
  <c r="AE76" i="18"/>
  <c r="AB76" i="18"/>
  <c r="R76" i="18"/>
  <c r="F76" i="18"/>
  <c r="K76" i="18"/>
  <c r="E4" i="6"/>
  <c r="AZ4" i="6"/>
  <c r="AV4" i="6"/>
  <c r="H4" i="6"/>
  <c r="BX4" i="6"/>
  <c r="P85" i="12"/>
  <c r="F85" i="12"/>
  <c r="H85" i="12"/>
  <c r="S85" i="12"/>
  <c r="U85" i="12"/>
  <c r="W76" i="12"/>
  <c r="K76" i="12"/>
  <c r="R76" i="12"/>
  <c r="U76" i="12"/>
  <c r="T31" i="13"/>
  <c r="R31" i="13"/>
  <c r="AD31" i="13"/>
  <c r="AL31" i="13"/>
  <c r="I31" i="13"/>
  <c r="F85" i="15"/>
  <c r="T85" i="15"/>
  <c r="J85" i="15"/>
  <c r="O85" i="15"/>
  <c r="Q85" i="15"/>
  <c r="X85" i="15"/>
  <c r="E76" i="15"/>
  <c r="L76" i="15"/>
  <c r="T76" i="15"/>
  <c r="X76" i="15"/>
  <c r="AD76" i="15"/>
  <c r="P76" i="15"/>
  <c r="O76" i="15"/>
  <c r="Q76" i="15"/>
  <c r="V76" i="15"/>
  <c r="AJ76" i="15"/>
  <c r="N76" i="15"/>
  <c r="H76" i="15"/>
  <c r="O49" i="16"/>
  <c r="T49" i="16"/>
  <c r="E49" i="16"/>
  <c r="G49" i="16"/>
  <c r="P49" i="16"/>
  <c r="Z49" i="16"/>
  <c r="AC49" i="16"/>
  <c r="AJ49" i="16"/>
  <c r="H49" i="16"/>
  <c r="V49" i="16"/>
  <c r="Y49" i="16"/>
  <c r="AI49" i="16"/>
  <c r="R49" i="16"/>
  <c r="U49" i="16"/>
  <c r="E13" i="6"/>
  <c r="CB13" i="6"/>
  <c r="AK4" i="11"/>
  <c r="AN4" i="11"/>
  <c r="AH67" i="12"/>
  <c r="AL67" i="12"/>
  <c r="P67" i="12"/>
  <c r="O67" i="12"/>
  <c r="Q67" i="12"/>
  <c r="N67" i="12"/>
  <c r="E85" i="14"/>
  <c r="AA85" i="14"/>
  <c r="S85" i="14"/>
  <c r="H85" i="14"/>
  <c r="AL85" i="14"/>
  <c r="F85" i="14"/>
  <c r="I85" i="14"/>
  <c r="AA76" i="14"/>
  <c r="T76" i="14"/>
  <c r="AH76" i="14"/>
  <c r="AK76" i="14"/>
  <c r="K76" i="14"/>
  <c r="G67" i="15"/>
  <c r="O67" i="15"/>
  <c r="E67" i="15"/>
  <c r="E3" i="18"/>
  <c r="AB3" i="18"/>
  <c r="F3" i="18"/>
  <c r="AI3" i="18"/>
  <c r="AJ3" i="18"/>
  <c r="Y3" i="18"/>
  <c r="I35" i="10"/>
  <c r="F37" i="10"/>
  <c r="H37" i="10"/>
  <c r="AF37" i="10"/>
  <c r="I37" i="10"/>
  <c r="M37" i="10"/>
  <c r="U37" i="10"/>
  <c r="U38" i="10"/>
  <c r="Y38" i="10"/>
  <c r="AJ38" i="10"/>
  <c r="L38" i="10"/>
  <c r="AK38" i="10"/>
  <c r="I38" i="10"/>
  <c r="H38" i="10"/>
  <c r="L94" i="16"/>
  <c r="X94" i="16"/>
  <c r="W94" i="17"/>
  <c r="H94" i="17"/>
  <c r="AB19" i="17"/>
  <c r="AJ19" i="17"/>
  <c r="AI19" i="17"/>
  <c r="U35" i="10"/>
  <c r="F35" i="10"/>
  <c r="E94" i="12"/>
  <c r="AH94" i="12"/>
  <c r="O40" i="14"/>
  <c r="AJ40" i="14"/>
  <c r="F40" i="14"/>
  <c r="W49" i="15"/>
  <c r="AB49" i="15"/>
  <c r="O49" i="15"/>
  <c r="AJ49" i="15"/>
  <c r="AE49" i="15"/>
  <c r="T49" i="15"/>
  <c r="L49" i="15"/>
  <c r="G49" i="15"/>
  <c r="AF49" i="15"/>
  <c r="G85" i="17"/>
  <c r="L85" i="17"/>
  <c r="AA40" i="16"/>
  <c r="AB40" i="16"/>
  <c r="P40" i="16"/>
  <c r="I40" i="16"/>
  <c r="E41" i="13" a="1"/>
  <c r="E124" i="10" a="1"/>
  <c r="G124" i="10" a="1"/>
  <c r="I124" i="10" a="1"/>
  <c r="AB94" i="18"/>
  <c r="AJ94" i="18"/>
  <c r="F11" i="18"/>
  <c r="H11" i="18"/>
  <c r="AC11" i="18"/>
  <c r="M11" i="18"/>
  <c r="G84" i="10" a="1"/>
  <c r="J84" i="10" a="1"/>
  <c r="C66" i="11"/>
  <c r="I84" i="10" a="1"/>
  <c r="E41" i="18" a="1"/>
  <c r="H84" i="10" a="1"/>
  <c r="AA40" i="18"/>
  <c r="AI40" i="18"/>
  <c r="L40" i="18"/>
  <c r="F89" i="10"/>
  <c r="F85" i="10"/>
  <c r="F90" i="10"/>
  <c r="F84" i="10"/>
  <c r="H92" i="10" a="1"/>
  <c r="G92" i="10" a="1"/>
  <c r="F92" i="10" a="1"/>
  <c r="E92" i="10" a="1"/>
  <c r="F19" i="18"/>
  <c r="G134" i="10"/>
  <c r="G133" i="10"/>
  <c r="AK36" i="10"/>
  <c r="E102" i="10"/>
  <c r="E105" i="10"/>
  <c r="AD6" i="10"/>
  <c r="AF6" i="10"/>
  <c r="S6" i="10"/>
  <c r="U6" i="10"/>
  <c r="N6" i="10"/>
  <c r="P6" i="10"/>
  <c r="K6" i="10"/>
  <c r="M6" i="10"/>
  <c r="AJ6" i="10"/>
  <c r="AH6" i="10"/>
  <c r="AI6" i="10"/>
  <c r="AK6" i="10"/>
  <c r="AB6" i="10"/>
  <c r="Z6" i="10"/>
  <c r="AE6" i="10"/>
  <c r="AG6" i="10"/>
  <c r="R6" i="10"/>
  <c r="AC6" i="10"/>
  <c r="X6" i="10"/>
  <c r="Q6" i="10"/>
  <c r="L6" i="10"/>
  <c r="AA6" i="10"/>
  <c r="AL6" i="10"/>
  <c r="W6" i="10"/>
  <c r="O6" i="10"/>
  <c r="Y6" i="10"/>
  <c r="V6" i="10"/>
  <c r="F6" i="10"/>
  <c r="E6" i="10"/>
  <c r="I6" i="10"/>
  <c r="T6" i="10"/>
  <c r="H6" i="10"/>
  <c r="G6" i="10"/>
  <c r="J6" i="10"/>
  <c r="E44" i="12"/>
  <c r="F44" i="12" a="1"/>
  <c r="E45" i="12"/>
  <c r="F45" i="12" a="1"/>
  <c r="J132" i="10"/>
  <c r="E135" i="10"/>
  <c r="E132" i="10"/>
  <c r="G109" i="10"/>
  <c r="I112" i="10"/>
  <c r="I113" i="10"/>
  <c r="F101" i="10"/>
  <c r="E88" i="10"/>
  <c r="F102" i="10"/>
  <c r="I98" i="10"/>
  <c r="E138" i="10"/>
  <c r="E134" i="10"/>
  <c r="J134" i="10"/>
  <c r="F110" i="10"/>
  <c r="J92" i="10"/>
  <c r="I97" i="10"/>
  <c r="F106" i="10"/>
  <c r="F104" i="10"/>
  <c r="J97" i="10"/>
  <c r="H135" i="10"/>
  <c r="J105" i="10"/>
  <c r="E5" i="6" a="1"/>
  <c r="K5" i="6"/>
  <c r="H129" i="10"/>
  <c r="H126" i="10"/>
  <c r="G112" i="10"/>
  <c r="J133" i="10"/>
  <c r="F138" i="10"/>
  <c r="G111" i="10"/>
  <c r="J95" i="10"/>
  <c r="AA44" i="17"/>
  <c r="E45" i="17"/>
  <c r="F45" i="17" a="1"/>
  <c r="T45" i="17"/>
  <c r="F132" i="10"/>
  <c r="F136" i="10"/>
  <c r="AE44" i="17"/>
  <c r="I100" i="10"/>
  <c r="H132" i="10"/>
  <c r="I102" i="10"/>
  <c r="AJ44" i="17"/>
  <c r="E46" i="17"/>
  <c r="F127" i="10"/>
  <c r="H134" i="10"/>
  <c r="I104" i="10"/>
  <c r="J101" i="10"/>
  <c r="X44" i="17"/>
  <c r="E47" i="17"/>
  <c r="J135" i="10"/>
  <c r="J93" i="10"/>
  <c r="E133" i="10"/>
  <c r="H133" i="10"/>
  <c r="I101" i="10"/>
  <c r="H104" i="10"/>
  <c r="L44" i="17"/>
  <c r="E47" i="12"/>
  <c r="E43" i="12"/>
  <c r="E42" i="12"/>
  <c r="G100" i="10"/>
  <c r="H138" i="10"/>
  <c r="J104" i="10"/>
  <c r="F44" i="17"/>
  <c r="J138" i="10"/>
  <c r="G101" i="10"/>
  <c r="J98" i="10"/>
  <c r="E137" i="10"/>
  <c r="I103" i="10"/>
  <c r="J42" i="16"/>
  <c r="Y44" i="17"/>
  <c r="H137" i="10"/>
  <c r="I111" i="10"/>
  <c r="J137" i="10"/>
  <c r="J94" i="10"/>
  <c r="I106" i="10"/>
  <c r="U44" i="17"/>
  <c r="H130" i="10"/>
  <c r="E43" i="15"/>
  <c r="F43" i="15" a="1"/>
  <c r="AH42" i="16"/>
  <c r="H103" i="10"/>
  <c r="Q44" i="17"/>
  <c r="AD44" i="17"/>
  <c r="T44" i="17"/>
  <c r="AG44" i="17"/>
  <c r="AB44" i="17"/>
  <c r="Z44" i="17"/>
  <c r="J44" i="17"/>
  <c r="H44" i="17"/>
  <c r="G44" i="17"/>
  <c r="W44" i="17"/>
  <c r="N44" i="17"/>
  <c r="AL44" i="17"/>
  <c r="M44" i="17"/>
  <c r="AI44" i="17"/>
  <c r="AF44" i="17"/>
  <c r="I108" i="10"/>
  <c r="H127" i="10"/>
  <c r="J124" i="10"/>
  <c r="I95" i="10"/>
  <c r="O42" i="16"/>
  <c r="L42" i="16"/>
  <c r="J103" i="10"/>
  <c r="S44" i="17"/>
  <c r="AH44" i="17"/>
  <c r="H125" i="10"/>
  <c r="J125" i="10"/>
  <c r="H124" i="10"/>
  <c r="I93" i="10"/>
  <c r="F113" i="10"/>
  <c r="AL42" i="16"/>
  <c r="AJ42" i="16"/>
  <c r="J102" i="10"/>
  <c r="H101" i="10"/>
  <c r="H100" i="10"/>
  <c r="AK44" i="17"/>
  <c r="AC44" i="17"/>
  <c r="E43" i="17"/>
  <c r="F43" i="17" a="1"/>
  <c r="H43" i="17"/>
  <c r="F100" i="10"/>
  <c r="F105" i="10"/>
  <c r="H106" i="10"/>
  <c r="F42" i="16"/>
  <c r="I96" i="10"/>
  <c r="S42" i="16"/>
  <c r="T42" i="16"/>
  <c r="J106" i="10"/>
  <c r="H105" i="10"/>
  <c r="R44" i="17"/>
  <c r="P44" i="17"/>
  <c r="I44" i="17"/>
  <c r="E42" i="17"/>
  <c r="F42" i="17" a="1"/>
  <c r="N42" i="16"/>
  <c r="E44" i="16"/>
  <c r="F44" i="16" a="1"/>
  <c r="E46" i="16"/>
  <c r="F46" i="16" a="1"/>
  <c r="E45" i="16"/>
  <c r="F45" i="16" a="1"/>
  <c r="E47" i="16"/>
  <c r="F47" i="16" a="1"/>
  <c r="E43" i="16"/>
  <c r="F43" i="16" a="1"/>
  <c r="I92" i="10"/>
  <c r="V42" i="16"/>
  <c r="K44" i="17"/>
  <c r="O44" i="17"/>
  <c r="V44" i="17"/>
  <c r="E41" i="17"/>
  <c r="G106" i="10"/>
  <c r="G102" i="10"/>
  <c r="G104" i="10"/>
  <c r="G103" i="10"/>
  <c r="E108" i="10"/>
  <c r="E109" i="10"/>
  <c r="E112" i="10"/>
  <c r="E110" i="10"/>
  <c r="E113" i="10"/>
  <c r="E111" i="10"/>
  <c r="E44" i="15"/>
  <c r="F44" i="15" a="1"/>
  <c r="E46" i="15"/>
  <c r="F46" i="15" a="1"/>
  <c r="E45" i="15"/>
  <c r="F45" i="15" a="1"/>
  <c r="E47" i="15"/>
  <c r="F47" i="15" a="1"/>
  <c r="E42" i="15"/>
  <c r="F42" i="15" a="1"/>
  <c r="J129" i="10"/>
  <c r="F137" i="10"/>
  <c r="F114" i="10"/>
  <c r="W42" i="16"/>
  <c r="M42" i="16"/>
  <c r="AD42" i="16"/>
  <c r="G108" i="10"/>
  <c r="G110" i="10"/>
  <c r="G114" i="10"/>
  <c r="I138" i="10"/>
  <c r="I135" i="10"/>
  <c r="I132" i="10"/>
  <c r="I136" i="10"/>
  <c r="I133" i="10"/>
  <c r="I137" i="10"/>
  <c r="I134" i="10"/>
  <c r="F129" i="10"/>
  <c r="F112" i="10"/>
  <c r="J114" i="10"/>
  <c r="J110" i="10"/>
  <c r="J111" i="10"/>
  <c r="J108" i="10"/>
  <c r="J112" i="10"/>
  <c r="AH43" i="17"/>
  <c r="J109" i="10"/>
  <c r="F126" i="10"/>
  <c r="F133" i="10"/>
  <c r="I42" i="16"/>
  <c r="AC42" i="16"/>
  <c r="R45" i="17"/>
  <c r="AI45" i="17"/>
  <c r="H113" i="10"/>
  <c r="H114" i="10"/>
  <c r="H109" i="10"/>
  <c r="H111" i="10"/>
  <c r="H110" i="10"/>
  <c r="H108" i="10"/>
  <c r="H112" i="10"/>
  <c r="AK42" i="16"/>
  <c r="R42" i="16"/>
  <c r="AI42" i="16"/>
  <c r="K42" i="16"/>
  <c r="Q42" i="16"/>
  <c r="Z42" i="16"/>
  <c r="P42" i="16"/>
  <c r="G42" i="16"/>
  <c r="AF42" i="16"/>
  <c r="AE42" i="16"/>
  <c r="F135" i="10"/>
  <c r="F111" i="10"/>
  <c r="U42" i="16"/>
  <c r="AG42" i="16"/>
  <c r="X42" i="16"/>
  <c r="Y41" i="16"/>
  <c r="P41" i="16"/>
  <c r="O41" i="16"/>
  <c r="R41" i="16"/>
  <c r="X41" i="16"/>
  <c r="S41" i="16"/>
  <c r="N41" i="16"/>
  <c r="AC41" i="16"/>
  <c r="AJ41" i="16"/>
  <c r="AE41" i="16"/>
  <c r="AD41" i="16"/>
  <c r="AG41" i="16"/>
  <c r="T41" i="16"/>
  <c r="AL41" i="16"/>
  <c r="L41" i="16"/>
  <c r="AH41" i="16"/>
  <c r="H41" i="16"/>
  <c r="Z41" i="16"/>
  <c r="U41" i="16"/>
  <c r="AI41" i="16"/>
  <c r="V41" i="16"/>
  <c r="Q41" i="16"/>
  <c r="AB41" i="16"/>
  <c r="G41" i="16"/>
  <c r="F41" i="16"/>
  <c r="AK41" i="16"/>
  <c r="AF41" i="16"/>
  <c r="I41" i="16"/>
  <c r="AA41" i="16"/>
  <c r="M41" i="16"/>
  <c r="W41" i="16"/>
  <c r="J41" i="16"/>
  <c r="K41" i="16"/>
  <c r="E89" i="10"/>
  <c r="E85" i="10"/>
  <c r="E90" i="10"/>
  <c r="E86" i="10"/>
  <c r="E84" i="10"/>
  <c r="E173" i="13" a="1"/>
  <c r="T173" i="13"/>
  <c r="F124" i="10"/>
  <c r="F125" i="10"/>
  <c r="F41" i="17" a="1"/>
  <c r="F109" i="10"/>
  <c r="J128" i="10"/>
  <c r="J127" i="10"/>
  <c r="J130" i="10"/>
  <c r="F128" i="10"/>
  <c r="E114" i="10"/>
  <c r="AA42" i="16"/>
  <c r="H42" i="16"/>
  <c r="Y42" i="16"/>
  <c r="I110" i="10"/>
  <c r="I114" i="10"/>
  <c r="E185" i="17" a="1"/>
  <c r="E185" i="17"/>
  <c r="E155" i="12" a="1"/>
  <c r="X155" i="12"/>
  <c r="E112" i="15" a="1"/>
  <c r="AF112" i="15"/>
  <c r="E185" i="15" a="1"/>
  <c r="I185" i="15"/>
  <c r="E155" i="13" a="1"/>
  <c r="T155" i="13"/>
  <c r="E149" i="17" a="1"/>
  <c r="Y149" i="17"/>
  <c r="E149" i="18" a="1"/>
  <c r="AL149" i="18"/>
  <c r="E106" i="18" a="1"/>
  <c r="G106" i="18"/>
  <c r="E167" i="15" a="1"/>
  <c r="E167" i="15"/>
  <c r="E118" i="13" a="1"/>
  <c r="O118" i="13"/>
  <c r="E167" i="17" a="1"/>
  <c r="AB167" i="17"/>
  <c r="E118" i="14" a="1"/>
  <c r="T118" i="14"/>
  <c r="E179" i="13" a="1"/>
  <c r="Q179" i="13"/>
  <c r="E161" i="17" a="1"/>
  <c r="AI161" i="17"/>
  <c r="E106" i="15" a="1"/>
  <c r="AJ106" i="15"/>
  <c r="E106" i="12" a="1"/>
  <c r="V106" i="12"/>
  <c r="E173" i="16" a="1"/>
  <c r="Q173" i="16"/>
  <c r="E179" i="15" a="1"/>
  <c r="I179" i="15"/>
  <c r="E118" i="12" a="1"/>
  <c r="N118" i="12"/>
  <c r="E106" i="16" a="1"/>
  <c r="AC106" i="16"/>
  <c r="E161" i="13" a="1"/>
  <c r="L161" i="13"/>
  <c r="E136" i="12" a="1"/>
  <c r="S136" i="12"/>
  <c r="E118" i="17" a="1"/>
  <c r="AI118" i="17"/>
  <c r="E142" i="14" a="1"/>
  <c r="AJ142" i="14"/>
  <c r="E161" i="12" a="1"/>
  <c r="AJ161" i="12"/>
  <c r="E161" i="14" a="1"/>
  <c r="E161" i="14"/>
  <c r="E130" i="14" a="1"/>
  <c r="W130" i="14"/>
  <c r="E185" i="12" a="1"/>
  <c r="AE185" i="12"/>
  <c r="E179" i="16" a="1"/>
  <c r="U179" i="16"/>
  <c r="E112" i="13" a="1"/>
  <c r="V112" i="13"/>
  <c r="E142" i="17" a="1"/>
  <c r="X142" i="17"/>
  <c r="E179" i="14" a="1"/>
  <c r="AG179" i="14"/>
  <c r="E167" i="13" a="1"/>
  <c r="N167" i="13"/>
  <c r="E185" i="18" a="1"/>
  <c r="V185" i="18"/>
  <c r="E155" i="16" a="1"/>
  <c r="F155" i="16"/>
  <c r="E149" i="12" a="1"/>
  <c r="W149" i="12"/>
  <c r="E185" i="14" a="1"/>
  <c r="R185" i="14"/>
  <c r="E155" i="15" a="1"/>
  <c r="E155" i="15"/>
  <c r="E112" i="12" a="1"/>
  <c r="L112" i="12"/>
  <c r="E118" i="16" a="1"/>
  <c r="AE118" i="16"/>
  <c r="E167" i="14" a="1"/>
  <c r="P167" i="14"/>
  <c r="E179" i="18" a="1"/>
  <c r="G179" i="18"/>
  <c r="E124" i="15" a="1"/>
  <c r="AH124" i="15"/>
  <c r="E185" i="13" a="1"/>
  <c r="AF185" i="13"/>
  <c r="E167" i="12" a="1"/>
  <c r="H167" i="12"/>
  <c r="E173" i="17" a="1"/>
  <c r="M173" i="17"/>
  <c r="E130" i="18" a="1"/>
  <c r="Q130" i="18"/>
  <c r="E136" i="15" a="1"/>
  <c r="AC136" i="15"/>
  <c r="E112" i="18" a="1"/>
  <c r="V112" i="18"/>
  <c r="E106" i="17" a="1"/>
  <c r="P106" i="17"/>
  <c r="E149" i="15" a="1"/>
  <c r="U149" i="15"/>
  <c r="E130" i="13" a="1"/>
  <c r="O130" i="13"/>
  <c r="E155" i="17" a="1"/>
  <c r="AD155" i="17"/>
  <c r="E136" i="14" a="1"/>
  <c r="N136" i="14"/>
  <c r="E142" i="12" a="1"/>
  <c r="K142" i="12"/>
  <c r="E149" i="16" a="1"/>
  <c r="G149" i="16"/>
  <c r="E106" i="14" a="1"/>
  <c r="G106" i="14"/>
  <c r="E179" i="12" a="1"/>
  <c r="V179" i="12"/>
  <c r="E124" i="17" a="1"/>
  <c r="G124" i="17"/>
  <c r="E112" i="16" a="1"/>
  <c r="Y112" i="16"/>
  <c r="E130" i="15" a="1"/>
  <c r="AA130" i="15"/>
  <c r="E173" i="12" a="1"/>
  <c r="AH173" i="12"/>
  <c r="E179" i="17" a="1"/>
  <c r="AC179" i="17"/>
  <c r="E124" i="16" a="1"/>
  <c r="E124" i="16"/>
  <c r="E112" i="14" a="1"/>
  <c r="AH112" i="14"/>
  <c r="E167" i="18" a="1"/>
  <c r="F167" i="18"/>
  <c r="E142" i="15" a="1"/>
  <c r="J142" i="15"/>
  <c r="E124" i="12" a="1"/>
  <c r="AL124" i="12"/>
  <c r="E112" i="17" a="1"/>
  <c r="F112" i="17"/>
  <c r="E155" i="14" a="1"/>
  <c r="I155" i="14"/>
  <c r="E124" i="13" a="1"/>
  <c r="AJ124" i="13"/>
  <c r="E136" i="18" a="1"/>
  <c r="K136" i="18"/>
  <c r="E173" i="18" a="1"/>
  <c r="AB173" i="18"/>
  <c r="E130" i="16" a="1"/>
  <c r="R130" i="16"/>
  <c r="E142" i="13" a="1"/>
  <c r="P142" i="13"/>
  <c r="E142" i="18" a="1"/>
  <c r="E142" i="18"/>
  <c r="E136" i="16" a="1"/>
  <c r="W136" i="16"/>
  <c r="E173" i="14" a="1"/>
  <c r="F173" i="14"/>
  <c r="E155" i="18" a="1"/>
  <c r="AG155" i="18"/>
  <c r="E173" i="15" a="1"/>
  <c r="I173" i="15"/>
  <c r="E149" i="13" a="1"/>
  <c r="E149" i="13"/>
  <c r="E136" i="17" a="1"/>
  <c r="W136" i="17"/>
  <c r="E161" i="15" a="1"/>
  <c r="AB161" i="15"/>
  <c r="E106" i="13" a="1"/>
  <c r="N106" i="13"/>
  <c r="E124" i="18" a="1"/>
  <c r="P124" i="18"/>
  <c r="E142" i="16" a="1"/>
  <c r="AL142" i="16"/>
  <c r="E161" i="16" a="1"/>
  <c r="S161" i="16"/>
  <c r="E149" i="14" a="1"/>
  <c r="I149" i="14"/>
  <c r="E118" i="18" a="1"/>
  <c r="W118" i="18"/>
  <c r="E130" i="17" a="1"/>
  <c r="M130" i="17"/>
  <c r="E118" i="15" a="1"/>
  <c r="H118" i="15"/>
  <c r="E130" i="12" a="1"/>
  <c r="H130" i="12"/>
  <c r="E167" i="16" a="1"/>
  <c r="L167" i="16"/>
  <c r="E136" i="13" a="1"/>
  <c r="J136" i="13"/>
  <c r="E161" i="18" a="1"/>
  <c r="V161" i="18"/>
  <c r="E185" i="16" a="1"/>
  <c r="U185" i="16"/>
  <c r="E124" i="14" a="1"/>
  <c r="AE124" i="14"/>
  <c r="E125" i="10"/>
  <c r="E128" i="10"/>
  <c r="E126" i="10"/>
  <c r="E124" i="10"/>
  <c r="E130" i="10"/>
  <c r="E127" i="10"/>
  <c r="E129" i="10"/>
  <c r="I121" i="10"/>
  <c r="I117" i="10"/>
  <c r="I116" i="10"/>
  <c r="I119" i="10"/>
  <c r="I120" i="10"/>
  <c r="I118" i="10"/>
  <c r="I122" i="10"/>
  <c r="E42" i="13"/>
  <c r="F42" i="13" a="1"/>
  <c r="E41" i="13"/>
  <c r="E46" i="13"/>
  <c r="F46" i="13" a="1"/>
  <c r="E47" i="13"/>
  <c r="F47" i="13" a="1"/>
  <c r="E44" i="13"/>
  <c r="F44" i="13" a="1"/>
  <c r="E45" i="13"/>
  <c r="F45" i="13" a="1"/>
  <c r="E43" i="13"/>
  <c r="F43" i="13" a="1"/>
  <c r="H95" i="10"/>
  <c r="H98" i="10"/>
  <c r="H93" i="10"/>
  <c r="H97" i="10"/>
  <c r="H96" i="10"/>
  <c r="H92" i="10"/>
  <c r="H94" i="10"/>
  <c r="H87" i="10"/>
  <c r="H86" i="10"/>
  <c r="H84" i="10"/>
  <c r="H89" i="10"/>
  <c r="H88" i="10"/>
  <c r="H85" i="10"/>
  <c r="H90" i="10"/>
  <c r="AF43" i="15"/>
  <c r="F41" i="15" a="1"/>
  <c r="F98" i="10"/>
  <c r="F94" i="10"/>
  <c r="F93" i="10"/>
  <c r="F96" i="10"/>
  <c r="F92" i="10"/>
  <c r="F95" i="10"/>
  <c r="F97" i="10"/>
  <c r="G92" i="10"/>
  <c r="G94" i="10"/>
  <c r="G96" i="10"/>
  <c r="G98" i="10"/>
  <c r="G93" i="10"/>
  <c r="G97" i="10"/>
  <c r="G95" i="10"/>
  <c r="E41" i="18"/>
  <c r="F41" i="18" a="1"/>
  <c r="E46" i="18"/>
  <c r="F46" i="18" a="1"/>
  <c r="E45" i="18"/>
  <c r="E47" i="18"/>
  <c r="F47" i="18" a="1"/>
  <c r="E42" i="18"/>
  <c r="F42" i="18" a="1"/>
  <c r="E43" i="18"/>
  <c r="F43" i="18" a="1"/>
  <c r="E44" i="18"/>
  <c r="F44" i="18" a="1"/>
  <c r="E42" i="14"/>
  <c r="F42" i="14" a="1"/>
  <c r="E43" i="14"/>
  <c r="E45" i="14"/>
  <c r="F45" i="14" a="1"/>
  <c r="E46" i="14"/>
  <c r="F46" i="14" a="1"/>
  <c r="E44" i="14"/>
  <c r="F44" i="14" a="1"/>
  <c r="E41" i="14"/>
  <c r="F41" i="14" a="1"/>
  <c r="E47" i="14"/>
  <c r="F47" i="14" a="1"/>
  <c r="H44" i="12"/>
  <c r="G44" i="12"/>
  <c r="F44" i="12"/>
  <c r="O44" i="12"/>
  <c r="V44" i="12"/>
  <c r="X44" i="12"/>
  <c r="S44" i="12"/>
  <c r="AC44" i="12"/>
  <c r="R44" i="12"/>
  <c r="K44" i="12"/>
  <c r="AH44" i="12"/>
  <c r="AE44" i="12"/>
  <c r="J44" i="12"/>
  <c r="N44" i="12"/>
  <c r="U44" i="12"/>
  <c r="AF44" i="12"/>
  <c r="AD44" i="12"/>
  <c r="AJ44" i="12"/>
  <c r="M44" i="12"/>
  <c r="Q44" i="12"/>
  <c r="AA44" i="12"/>
  <c r="Z44" i="12"/>
  <c r="AK44" i="12"/>
  <c r="L44" i="12"/>
  <c r="AL44" i="12"/>
  <c r="AI44" i="12"/>
  <c r="I44" i="12"/>
  <c r="T44" i="12"/>
  <c r="AG44" i="12"/>
  <c r="Y44" i="12"/>
  <c r="W44" i="12"/>
  <c r="P44" i="12"/>
  <c r="AB44" i="12"/>
  <c r="I90" i="10"/>
  <c r="I89" i="10"/>
  <c r="I85" i="10"/>
  <c r="I88" i="10"/>
  <c r="I84" i="10"/>
  <c r="I86" i="10"/>
  <c r="I87" i="10"/>
  <c r="H117" i="10"/>
  <c r="H118" i="10"/>
  <c r="H116" i="10"/>
  <c r="H119" i="10"/>
  <c r="H122" i="10"/>
  <c r="H120" i="10"/>
  <c r="H121" i="10"/>
  <c r="AE46" i="12"/>
  <c r="J46" i="12"/>
  <c r="K46" i="12"/>
  <c r="AL46" i="12"/>
  <c r="T46" i="12"/>
  <c r="AF46" i="12"/>
  <c r="L46" i="12"/>
  <c r="AB46" i="12"/>
  <c r="AH46" i="12"/>
  <c r="AA46" i="12"/>
  <c r="AG46" i="12"/>
  <c r="O46" i="12"/>
  <c r="H46" i="12"/>
  <c r="AI46" i="12"/>
  <c r="Z46" i="12"/>
  <c r="R46" i="12"/>
  <c r="AC46" i="12"/>
  <c r="AD46" i="12"/>
  <c r="S46" i="12"/>
  <c r="AJ46" i="12"/>
  <c r="M46" i="12"/>
  <c r="V46" i="12"/>
  <c r="F46" i="12"/>
  <c r="P46" i="12"/>
  <c r="I46" i="12"/>
  <c r="W46" i="12"/>
  <c r="Q46" i="12"/>
  <c r="U46" i="12"/>
  <c r="N46" i="12"/>
  <c r="AK46" i="12"/>
  <c r="G46" i="12"/>
  <c r="Y46" i="12"/>
  <c r="X46" i="12"/>
  <c r="E19" i="7" a="1"/>
  <c r="E18" i="7" a="1"/>
  <c r="E22" i="7" a="1"/>
  <c r="E21" i="7" a="1"/>
  <c r="E17" i="7" a="1"/>
  <c r="E23" i="7" a="1"/>
  <c r="E20" i="7" a="1"/>
  <c r="G88" i="10"/>
  <c r="G84" i="10"/>
  <c r="G90" i="10"/>
  <c r="G89" i="10"/>
  <c r="G86" i="10"/>
  <c r="G85" i="10"/>
  <c r="G87" i="10"/>
  <c r="I126" i="10"/>
  <c r="I128" i="10"/>
  <c r="I125" i="10"/>
  <c r="I129" i="10"/>
  <c r="I130" i="10"/>
  <c r="I127" i="10"/>
  <c r="I124" i="10"/>
  <c r="J119" i="10"/>
  <c r="J120" i="10"/>
  <c r="J122" i="10"/>
  <c r="J121" i="10"/>
  <c r="J117" i="10"/>
  <c r="J118" i="10"/>
  <c r="J116" i="10"/>
  <c r="P45" i="12"/>
  <c r="AD45" i="12"/>
  <c r="Y45" i="12"/>
  <c r="T45" i="12"/>
  <c r="Z45" i="12"/>
  <c r="X45" i="12"/>
  <c r="O45" i="12"/>
  <c r="AA45" i="12"/>
  <c r="AG45" i="12"/>
  <c r="AB45" i="12"/>
  <c r="AH45" i="12"/>
  <c r="J45" i="12"/>
  <c r="U45" i="12"/>
  <c r="AL45" i="12"/>
  <c r="AF45" i="12"/>
  <c r="N45" i="12"/>
  <c r="V45" i="12"/>
  <c r="K45" i="12"/>
  <c r="S45" i="12"/>
  <c r="L45" i="12"/>
  <c r="AI45" i="12"/>
  <c r="AK45" i="12"/>
  <c r="AJ45" i="12"/>
  <c r="Q45" i="12"/>
  <c r="R45" i="12"/>
  <c r="G45" i="12"/>
  <c r="W45" i="12"/>
  <c r="H45" i="12"/>
  <c r="AC45" i="12"/>
  <c r="F45" i="12"/>
  <c r="M45" i="12"/>
  <c r="AE45" i="12"/>
  <c r="I45" i="12"/>
  <c r="E121" i="10"/>
  <c r="E122" i="10"/>
  <c r="E116" i="10"/>
  <c r="E117" i="10"/>
  <c r="E118" i="10"/>
  <c r="E119" i="10"/>
  <c r="E120" i="10"/>
  <c r="E98" i="10"/>
  <c r="E95" i="10"/>
  <c r="E96" i="10"/>
  <c r="E97" i="10"/>
  <c r="E94" i="10"/>
  <c r="E93" i="10"/>
  <c r="E92" i="10"/>
  <c r="J84" i="10"/>
  <c r="J87" i="10"/>
  <c r="J86" i="10"/>
  <c r="J85" i="10"/>
  <c r="J89" i="10"/>
  <c r="J90" i="10"/>
  <c r="J88" i="10"/>
  <c r="G125" i="10"/>
  <c r="G124" i="10"/>
  <c r="G128" i="10"/>
  <c r="G127" i="10"/>
  <c r="G129" i="10"/>
  <c r="G130" i="10"/>
  <c r="G126" i="10"/>
  <c r="G122" i="10"/>
  <c r="G118" i="10"/>
  <c r="G120" i="10"/>
  <c r="G117" i="10"/>
  <c r="G121" i="10"/>
  <c r="G116" i="10"/>
  <c r="G119" i="10"/>
  <c r="F41" i="12" a="1"/>
  <c r="E15" i="10" a="1"/>
  <c r="E12" i="10" a="1"/>
  <c r="E13" i="10" a="1"/>
  <c r="E14" i="10" a="1"/>
  <c r="E17" i="10" a="1"/>
  <c r="E16" i="10" a="1"/>
  <c r="E11" i="10" a="1"/>
  <c r="AB43" i="15"/>
  <c r="K43" i="15"/>
  <c r="AD43" i="15"/>
  <c r="W43" i="15"/>
  <c r="AH43" i="15"/>
  <c r="X43" i="15"/>
  <c r="H43" i="15"/>
  <c r="AC43" i="15"/>
  <c r="V43" i="15"/>
  <c r="O43" i="15"/>
  <c r="F43" i="15"/>
  <c r="P43" i="15"/>
  <c r="Y43" i="15"/>
  <c r="U43" i="15"/>
  <c r="I43" i="15"/>
  <c r="F43" i="17"/>
  <c r="E32" i="12" a="1"/>
  <c r="E37" i="12"/>
  <c r="AR5" i="6"/>
  <c r="AL5" i="6"/>
  <c r="CJ5" i="6"/>
  <c r="BL5" i="6"/>
  <c r="X5" i="6"/>
  <c r="Y5" i="6"/>
  <c r="BR5" i="6"/>
  <c r="AD5" i="6"/>
  <c r="CG5" i="6"/>
  <c r="AK5" i="6"/>
  <c r="CE5" i="6"/>
  <c r="AC5" i="6"/>
  <c r="BW5" i="6"/>
  <c r="BV5" i="6"/>
  <c r="BH5" i="6"/>
  <c r="AM5" i="6"/>
  <c r="BJ5" i="6"/>
  <c r="Z5" i="6"/>
  <c r="P5" i="6"/>
  <c r="CA5" i="6"/>
  <c r="BU5" i="6"/>
  <c r="Q5" i="6"/>
  <c r="BQ5" i="6"/>
  <c r="CO5" i="6"/>
  <c r="BB5" i="6"/>
  <c r="J5" i="6"/>
  <c r="BI5" i="6"/>
  <c r="CQ5" i="6"/>
  <c r="R5" i="6"/>
  <c r="BS5" i="6"/>
  <c r="BD5" i="6"/>
  <c r="CP5" i="6"/>
  <c r="AW5" i="6"/>
  <c r="X130" i="15"/>
  <c r="CH5" i="6"/>
  <c r="AS5" i="6"/>
  <c r="CK5" i="6"/>
  <c r="CI5" i="6"/>
  <c r="BX5" i="6"/>
  <c r="AG5" i="6"/>
  <c r="AO5" i="6"/>
  <c r="N5" i="6"/>
  <c r="BF5" i="6"/>
  <c r="U5" i="6"/>
  <c r="T5" i="6"/>
  <c r="CN5" i="6"/>
  <c r="BY5" i="6"/>
  <c r="BG5" i="6"/>
  <c r="AU5" i="6"/>
  <c r="AP5" i="6"/>
  <c r="BK5" i="6"/>
  <c r="W5" i="6"/>
  <c r="S5" i="6"/>
  <c r="AN5" i="6"/>
  <c r="CR5" i="6"/>
  <c r="AZ5" i="6"/>
  <c r="BO5" i="6"/>
  <c r="BA5" i="6"/>
  <c r="AA5" i="6"/>
  <c r="AB5" i="6"/>
  <c r="BZ5" i="6"/>
  <c r="O5" i="6"/>
  <c r="M5" i="6"/>
  <c r="BE5" i="6"/>
  <c r="CD5" i="6"/>
  <c r="BC5" i="6"/>
  <c r="AT5" i="6"/>
  <c r="BM5" i="6"/>
  <c r="G5" i="6"/>
  <c r="AY5" i="6"/>
  <c r="AV5" i="6"/>
  <c r="CL5" i="6"/>
  <c r="CM5" i="6"/>
  <c r="CC5" i="6"/>
  <c r="BN5" i="6"/>
  <c r="AQ5" i="6"/>
  <c r="AI5" i="6"/>
  <c r="V5" i="6"/>
  <c r="CB5" i="6"/>
  <c r="CF5" i="6"/>
  <c r="AE5" i="6"/>
  <c r="F5" i="6"/>
  <c r="CS5" i="6"/>
  <c r="BP5" i="6"/>
  <c r="BT5" i="6"/>
  <c r="AX5" i="6"/>
  <c r="AJ5" i="6"/>
  <c r="AH5" i="6"/>
  <c r="E5" i="6"/>
  <c r="H5" i="6"/>
  <c r="I5" i="6"/>
  <c r="L5" i="6"/>
  <c r="AF5" i="6"/>
  <c r="S112" i="17"/>
  <c r="W130" i="15"/>
  <c r="K72" i="22"/>
  <c r="AJ43" i="17"/>
  <c r="K43" i="17"/>
  <c r="Y45" i="17"/>
  <c r="Z46" i="17"/>
  <c r="X43" i="17"/>
  <c r="H45" i="17"/>
  <c r="E32" i="17" a="1"/>
  <c r="E36" i="17"/>
  <c r="AE45" i="17"/>
  <c r="M43" i="17"/>
  <c r="AG46" i="17"/>
  <c r="AB43" i="17"/>
  <c r="N43" i="17"/>
  <c r="P45" i="17"/>
  <c r="L45" i="17"/>
  <c r="Q43" i="15"/>
  <c r="M43" i="15"/>
  <c r="N43" i="15"/>
  <c r="AI43" i="15"/>
  <c r="J45" i="17"/>
  <c r="X46" i="17"/>
  <c r="U45" i="17"/>
  <c r="S43" i="17"/>
  <c r="AE43" i="17"/>
  <c r="AF45" i="17"/>
  <c r="AJ45" i="17"/>
  <c r="AH45" i="17"/>
  <c r="R43" i="15"/>
  <c r="Z43" i="15"/>
  <c r="J43" i="15"/>
  <c r="G43" i="15"/>
  <c r="AL45" i="17"/>
  <c r="AG45" i="17"/>
  <c r="I45" i="17"/>
  <c r="T43" i="15"/>
  <c r="AG43" i="15"/>
  <c r="AE43" i="15"/>
  <c r="L43" i="15"/>
  <c r="G45" i="17"/>
  <c r="AA45" i="17"/>
  <c r="V43" i="17"/>
  <c r="Z45" i="17"/>
  <c r="AC45" i="17"/>
  <c r="AK45" i="17"/>
  <c r="AD45" i="17"/>
  <c r="S45" i="17"/>
  <c r="AB45" i="17"/>
  <c r="Q45" i="17"/>
  <c r="M45" i="17"/>
  <c r="AJ43" i="15"/>
  <c r="V45" i="17"/>
  <c r="AA43" i="17"/>
  <c r="AK43" i="15"/>
  <c r="AL43" i="15"/>
  <c r="S43" i="15"/>
  <c r="AA43" i="15"/>
  <c r="AJ42" i="17"/>
  <c r="N45" i="17"/>
  <c r="AK43" i="17"/>
  <c r="O45" i="17"/>
  <c r="K45" i="17"/>
  <c r="X45" i="17"/>
  <c r="F45" i="17"/>
  <c r="W45" i="17"/>
  <c r="L46" i="17"/>
  <c r="U47" i="17"/>
  <c r="F42" i="12" a="1"/>
  <c r="R42" i="12"/>
  <c r="M42" i="12"/>
  <c r="O42" i="12"/>
  <c r="N42" i="12"/>
  <c r="AC42" i="12"/>
  <c r="G42" i="12"/>
  <c r="AJ42" i="12"/>
  <c r="AK42" i="12"/>
  <c r="AI42" i="12"/>
  <c r="U42" i="12"/>
  <c r="T42" i="12"/>
  <c r="AL42" i="12"/>
  <c r="P42" i="12"/>
  <c r="AH42" i="12"/>
  <c r="Y42" i="12"/>
  <c r="AG42" i="12"/>
  <c r="AE42" i="12"/>
  <c r="H42" i="12"/>
  <c r="S42" i="12"/>
  <c r="AA42" i="12"/>
  <c r="J42" i="12"/>
  <c r="W42" i="12"/>
  <c r="Z42" i="12"/>
  <c r="I42" i="12"/>
  <c r="K42" i="12"/>
  <c r="F46" i="17" a="1"/>
  <c r="U46" i="17"/>
  <c r="T46" i="17"/>
  <c r="Y112" i="17"/>
  <c r="M47" i="17"/>
  <c r="O46" i="17"/>
  <c r="V42" i="17"/>
  <c r="F43" i="12" a="1"/>
  <c r="V43" i="12"/>
  <c r="H43" i="12"/>
  <c r="U43" i="12"/>
  <c r="G43" i="12"/>
  <c r="J43" i="12"/>
  <c r="AI43" i="12"/>
  <c r="AH43" i="12"/>
  <c r="AE43" i="12"/>
  <c r="AF43" i="12"/>
  <c r="L43" i="12"/>
  <c r="P43" i="12"/>
  <c r="R43" i="12"/>
  <c r="AK43" i="12"/>
  <c r="M43" i="12"/>
  <c r="Z43" i="12"/>
  <c r="Q43" i="12"/>
  <c r="F43" i="12"/>
  <c r="N46" i="17"/>
  <c r="F47" i="12" a="1"/>
  <c r="AI47" i="12"/>
  <c r="P47" i="12"/>
  <c r="AC47" i="12"/>
  <c r="AB47" i="12"/>
  <c r="U47" i="12"/>
  <c r="AL47" i="12"/>
  <c r="AJ47" i="12"/>
  <c r="O47" i="12"/>
  <c r="J47" i="12"/>
  <c r="AE47" i="12"/>
  <c r="AA47" i="12"/>
  <c r="Q47" i="12"/>
  <c r="X47" i="12"/>
  <c r="F47" i="17" a="1"/>
  <c r="T47" i="17"/>
  <c r="K47" i="17"/>
  <c r="AD47" i="17"/>
  <c r="AB47" i="17"/>
  <c r="AB46" i="17"/>
  <c r="AI46" i="17"/>
  <c r="AB44" i="16"/>
  <c r="K44" i="16"/>
  <c r="N44" i="16"/>
  <c r="O44" i="16"/>
  <c r="F44" i="16"/>
  <c r="AA44" i="16"/>
  <c r="W44" i="16"/>
  <c r="I44" i="16"/>
  <c r="AL44" i="16"/>
  <c r="AJ44" i="16"/>
  <c r="AF44" i="16"/>
  <c r="AI44" i="16"/>
  <c r="M44" i="16"/>
  <c r="V44" i="16"/>
  <c r="G44" i="16"/>
  <c r="R44" i="16"/>
  <c r="AK44" i="16"/>
  <c r="L44" i="16"/>
  <c r="Q44" i="16"/>
  <c r="AG44" i="16"/>
  <c r="AE44" i="16"/>
  <c r="AD44" i="16"/>
  <c r="AC44" i="16"/>
  <c r="X44" i="16"/>
  <c r="Z44" i="16"/>
  <c r="J44" i="16"/>
  <c r="H44" i="16"/>
  <c r="AH44" i="16"/>
  <c r="U44" i="16"/>
  <c r="T44" i="16"/>
  <c r="Y44" i="16"/>
  <c r="P44" i="16"/>
  <c r="S44" i="16"/>
  <c r="R43" i="17"/>
  <c r="J43" i="17"/>
  <c r="L43" i="17"/>
  <c r="AL43" i="17"/>
  <c r="W43" i="17"/>
  <c r="AD43" i="17"/>
  <c r="Y43" i="17"/>
  <c r="J106" i="16"/>
  <c r="AC112" i="17"/>
  <c r="Q43" i="17"/>
  <c r="T43" i="17"/>
  <c r="AC43" i="17"/>
  <c r="J45" i="16"/>
  <c r="M45" i="16"/>
  <c r="O45" i="16"/>
  <c r="AK45" i="16"/>
  <c r="U45" i="16"/>
  <c r="X45" i="16"/>
  <c r="I45" i="16"/>
  <c r="R45" i="16"/>
  <c r="N45" i="16"/>
  <c r="Q45" i="16"/>
  <c r="AH45" i="16"/>
  <c r="T45" i="16"/>
  <c r="AC45" i="16"/>
  <c r="Y45" i="16"/>
  <c r="AE45" i="16"/>
  <c r="V45" i="16"/>
  <c r="AF45" i="16"/>
  <c r="H45" i="16"/>
  <c r="AB45" i="16"/>
  <c r="AI45" i="16"/>
  <c r="AG45" i="16"/>
  <c r="AJ45" i="16"/>
  <c r="W45" i="16"/>
  <c r="AD45" i="16"/>
  <c r="K45" i="16"/>
  <c r="S45" i="16"/>
  <c r="F45" i="16"/>
  <c r="AL45" i="16"/>
  <c r="P45" i="16"/>
  <c r="L45" i="16"/>
  <c r="Z45" i="16"/>
  <c r="AA45" i="16"/>
  <c r="G45" i="16"/>
  <c r="AF136" i="16"/>
  <c r="AI130" i="15"/>
  <c r="P43" i="17"/>
  <c r="O43" i="17"/>
  <c r="G43" i="17"/>
  <c r="AC46" i="16"/>
  <c r="P46" i="16"/>
  <c r="AB46" i="16"/>
  <c r="O46" i="16"/>
  <c r="V46" i="16"/>
  <c r="H46" i="16"/>
  <c r="AH46" i="16"/>
  <c r="W46" i="16"/>
  <c r="U46" i="16"/>
  <c r="AE46" i="16"/>
  <c r="X46" i="16"/>
  <c r="L46" i="16"/>
  <c r="J46" i="16"/>
  <c r="T46" i="16"/>
  <c r="I46" i="16"/>
  <c r="AL46" i="16"/>
  <c r="AI46" i="16"/>
  <c r="AG46" i="16"/>
  <c r="M46" i="16"/>
  <c r="AF46" i="16"/>
  <c r="Z46" i="16"/>
  <c r="Q46" i="16"/>
  <c r="AJ46" i="16"/>
  <c r="AA46" i="16"/>
  <c r="AD46" i="16"/>
  <c r="AK46" i="16"/>
  <c r="F46" i="16"/>
  <c r="R46" i="16"/>
  <c r="N46" i="16"/>
  <c r="K46" i="16"/>
  <c r="G46" i="16"/>
  <c r="S46" i="16"/>
  <c r="Y46" i="16"/>
  <c r="V136" i="16"/>
  <c r="V130" i="15"/>
  <c r="E32" i="16" a="1"/>
  <c r="AF43" i="17"/>
  <c r="U43" i="17"/>
  <c r="I43" i="17"/>
  <c r="AH43" i="16"/>
  <c r="G43" i="16"/>
  <c r="R43" i="16"/>
  <c r="H43" i="16"/>
  <c r="AJ43" i="16"/>
  <c r="P43" i="16"/>
  <c r="AI43" i="16"/>
  <c r="F43" i="16"/>
  <c r="M43" i="16"/>
  <c r="Y43" i="16"/>
  <c r="AE43" i="16"/>
  <c r="I43" i="16"/>
  <c r="S43" i="16"/>
  <c r="Q43" i="16"/>
  <c r="AL43" i="16"/>
  <c r="AG43" i="16"/>
  <c r="U43" i="16"/>
  <c r="K43" i="16"/>
  <c r="L43" i="16"/>
  <c r="AD43" i="16"/>
  <c r="T43" i="16"/>
  <c r="N43" i="16"/>
  <c r="W43" i="16"/>
  <c r="AC43" i="16"/>
  <c r="O43" i="16"/>
  <c r="AK43" i="16"/>
  <c r="AF43" i="16"/>
  <c r="V43" i="16"/>
  <c r="J43" i="16"/>
  <c r="Z43" i="16"/>
  <c r="AA43" i="16"/>
  <c r="X43" i="16"/>
  <c r="AB43" i="16"/>
  <c r="AH42" i="17"/>
  <c r="J42" i="17"/>
  <c r="N42" i="17"/>
  <c r="AI42" i="17"/>
  <c r="K42" i="17"/>
  <c r="U42" i="17"/>
  <c r="AC42" i="17"/>
  <c r="Y42" i="17"/>
  <c r="T42" i="17"/>
  <c r="X42" i="17"/>
  <c r="P42" i="17"/>
  <c r="AA42" i="17"/>
  <c r="M42" i="17"/>
  <c r="AE42" i="17"/>
  <c r="G42" i="17"/>
  <c r="R42" i="17"/>
  <c r="AK42" i="17"/>
  <c r="AG42" i="17"/>
  <c r="F42" i="17"/>
  <c r="AF42" i="17"/>
  <c r="O42" i="17"/>
  <c r="Q42" i="17"/>
  <c r="S42" i="17"/>
  <c r="AL42" i="17"/>
  <c r="AD42" i="17"/>
  <c r="AB42" i="17"/>
  <c r="I42" i="17"/>
  <c r="L42" i="17"/>
  <c r="H42" i="17"/>
  <c r="W42" i="17"/>
  <c r="Z42" i="17"/>
  <c r="P112" i="17"/>
  <c r="S130" i="15"/>
  <c r="Y136" i="16"/>
  <c r="AK130" i="15"/>
  <c r="AD112" i="17"/>
  <c r="Q130" i="15"/>
  <c r="AG43" i="17"/>
  <c r="AI43" i="17"/>
  <c r="Z43" i="17"/>
  <c r="AE47" i="16"/>
  <c r="Z47" i="16"/>
  <c r="V47" i="16"/>
  <c r="Y47" i="16"/>
  <c r="AG47" i="16"/>
  <c r="N47" i="16"/>
  <c r="AL47" i="16"/>
  <c r="U47" i="16"/>
  <c r="W47" i="16"/>
  <c r="AA47" i="16"/>
  <c r="H47" i="16"/>
  <c r="AJ47" i="16"/>
  <c r="R47" i="16"/>
  <c r="AF47" i="16"/>
  <c r="AH47" i="16"/>
  <c r="AI47" i="16"/>
  <c r="I47" i="16"/>
  <c r="O47" i="16"/>
  <c r="L47" i="16"/>
  <c r="G47" i="16"/>
  <c r="S47" i="16"/>
  <c r="T47" i="16"/>
  <c r="AC47" i="16"/>
  <c r="J47" i="16"/>
  <c r="AD47" i="16"/>
  <c r="AK47" i="16"/>
  <c r="K47" i="16"/>
  <c r="P47" i="16"/>
  <c r="X47" i="16"/>
  <c r="M47" i="16"/>
  <c r="AB47" i="16"/>
  <c r="Q47" i="16"/>
  <c r="F47" i="16"/>
  <c r="AC173" i="13"/>
  <c r="J173" i="13"/>
  <c r="X173" i="13"/>
  <c r="AL173" i="13"/>
  <c r="N173" i="13"/>
  <c r="V173" i="13"/>
  <c r="W173" i="13"/>
  <c r="AF173" i="13"/>
  <c r="AG173" i="13"/>
  <c r="AE173" i="13"/>
  <c r="AD173" i="13"/>
  <c r="AI173" i="13"/>
  <c r="I173" i="13"/>
  <c r="Z173" i="13"/>
  <c r="AJ173" i="13"/>
  <c r="S173" i="13"/>
  <c r="AK173" i="13"/>
  <c r="Q173" i="13"/>
  <c r="J46" i="15"/>
  <c r="H46" i="15"/>
  <c r="AD46" i="15"/>
  <c r="W46" i="15"/>
  <c r="AC46" i="15"/>
  <c r="P46" i="15"/>
  <c r="N46" i="15"/>
  <c r="K46" i="15"/>
  <c r="F46" i="15"/>
  <c r="AB46" i="15"/>
  <c r="R46" i="15"/>
  <c r="O46" i="15"/>
  <c r="AH46" i="15"/>
  <c r="L46" i="15"/>
  <c r="AK46" i="15"/>
  <c r="X46" i="15"/>
  <c r="Z46" i="15"/>
  <c r="T46" i="15"/>
  <c r="AF46" i="15"/>
  <c r="S46" i="15"/>
  <c r="AG46" i="15"/>
  <c r="AJ46" i="15"/>
  <c r="AE46" i="15"/>
  <c r="AL46" i="15"/>
  <c r="AI46" i="15"/>
  <c r="V46" i="15"/>
  <c r="G46" i="15"/>
  <c r="AA46" i="15"/>
  <c r="U46" i="15"/>
  <c r="M46" i="15"/>
  <c r="Y46" i="15"/>
  <c r="Q46" i="15"/>
  <c r="I46" i="15"/>
  <c r="R173" i="13"/>
  <c r="G173" i="13"/>
  <c r="AH173" i="13"/>
  <c r="E32" i="15" a="1"/>
  <c r="E35" i="15"/>
  <c r="N42" i="15"/>
  <c r="AH42" i="15"/>
  <c r="K42" i="15"/>
  <c r="AC42" i="15"/>
  <c r="L42" i="15"/>
  <c r="P42" i="15"/>
  <c r="S42" i="15"/>
  <c r="AK42" i="15"/>
  <c r="AF42" i="15"/>
  <c r="AA42" i="15"/>
  <c r="G42" i="15"/>
  <c r="X42" i="15"/>
  <c r="AD42" i="15"/>
  <c r="R42" i="15"/>
  <c r="AG42" i="15"/>
  <c r="U42" i="15"/>
  <c r="AJ42" i="15"/>
  <c r="M42" i="15"/>
  <c r="J42" i="15"/>
  <c r="Y42" i="15"/>
  <c r="V42" i="15"/>
  <c r="O42" i="15"/>
  <c r="W42" i="15"/>
  <c r="I42" i="15"/>
  <c r="F42" i="15"/>
  <c r="Q42" i="15"/>
  <c r="AL42" i="15"/>
  <c r="Z42" i="15"/>
  <c r="H42" i="15"/>
  <c r="AB42" i="15"/>
  <c r="AI42" i="15"/>
  <c r="T42" i="15"/>
  <c r="AE42" i="15"/>
  <c r="AB173" i="13"/>
  <c r="M173" i="13"/>
  <c r="AA173" i="13"/>
  <c r="K173" i="13"/>
  <c r="E173" i="13"/>
  <c r="U173" i="13"/>
  <c r="H173" i="13"/>
  <c r="K47" i="15"/>
  <c r="Q47" i="15"/>
  <c r="AJ47" i="15"/>
  <c r="J47" i="15"/>
  <c r="R47" i="15"/>
  <c r="S47" i="15"/>
  <c r="X47" i="15"/>
  <c r="AI47" i="15"/>
  <c r="AL47" i="15"/>
  <c r="N47" i="15"/>
  <c r="AG47" i="15"/>
  <c r="AC47" i="15"/>
  <c r="F47" i="15"/>
  <c r="T47" i="15"/>
  <c r="Z47" i="15"/>
  <c r="Y47" i="15"/>
  <c r="W47" i="15"/>
  <c r="AE47" i="15"/>
  <c r="AH47" i="15"/>
  <c r="AK47" i="15"/>
  <c r="M47" i="15"/>
  <c r="AD47" i="15"/>
  <c r="AA47" i="15"/>
  <c r="I47" i="15"/>
  <c r="O47" i="15"/>
  <c r="H47" i="15"/>
  <c r="AB47" i="15"/>
  <c r="G47" i="15"/>
  <c r="V47" i="15"/>
  <c r="P47" i="15"/>
  <c r="U47" i="15"/>
  <c r="AF47" i="15"/>
  <c r="L47" i="15"/>
  <c r="P44" i="15"/>
  <c r="Y44" i="15"/>
  <c r="AE44" i="15"/>
  <c r="R44" i="15"/>
  <c r="AF44" i="15"/>
  <c r="AC44" i="15"/>
  <c r="V44" i="15"/>
  <c r="W44" i="15"/>
  <c r="AD44" i="15"/>
  <c r="Z44" i="15"/>
  <c r="AB44" i="15"/>
  <c r="O44" i="15"/>
  <c r="AH44" i="15"/>
  <c r="H44" i="15"/>
  <c r="AG44" i="15"/>
  <c r="AJ44" i="15"/>
  <c r="G44" i="15"/>
  <c r="L44" i="15"/>
  <c r="U44" i="15"/>
  <c r="N44" i="15"/>
  <c r="AL44" i="15"/>
  <c r="J44" i="15"/>
  <c r="AK44" i="15"/>
  <c r="X44" i="15"/>
  <c r="Q44" i="15"/>
  <c r="F44" i="15"/>
  <c r="M44" i="15"/>
  <c r="AI44" i="15"/>
  <c r="K44" i="15"/>
  <c r="I44" i="15"/>
  <c r="AA44" i="15"/>
  <c r="S44" i="15"/>
  <c r="T44" i="15"/>
  <c r="P173" i="13"/>
  <c r="Y173" i="13"/>
  <c r="L173" i="13"/>
  <c r="F173" i="13"/>
  <c r="O173" i="13"/>
  <c r="AC41" i="17"/>
  <c r="G41" i="17"/>
  <c r="L41" i="17"/>
  <c r="AE41" i="17"/>
  <c r="AF41" i="17"/>
  <c r="K41" i="17"/>
  <c r="AJ41" i="17"/>
  <c r="AB41" i="17"/>
  <c r="N41" i="17"/>
  <c r="Y41" i="17"/>
  <c r="AK41" i="17"/>
  <c r="S41" i="17"/>
  <c r="M41" i="17"/>
  <c r="P41" i="17"/>
  <c r="W41" i="17"/>
  <c r="AI41" i="17"/>
  <c r="V41" i="17"/>
  <c r="O41" i="17"/>
  <c r="I41" i="17"/>
  <c r="Z41" i="17"/>
  <c r="AG41" i="17"/>
  <c r="U41" i="17"/>
  <c r="F41" i="17"/>
  <c r="AL41" i="17"/>
  <c r="T41" i="17"/>
  <c r="J41" i="17"/>
  <c r="AH41" i="17"/>
  <c r="H41" i="17"/>
  <c r="AA41" i="17"/>
  <c r="AD41" i="17"/>
  <c r="X41" i="17"/>
  <c r="R41" i="17"/>
  <c r="Q41" i="17"/>
  <c r="Z45" i="15"/>
  <c r="AE45" i="15"/>
  <c r="P45" i="15"/>
  <c r="H45" i="15"/>
  <c r="K45" i="15"/>
  <c r="Q45" i="15"/>
  <c r="W45" i="15"/>
  <c r="AL45" i="15"/>
  <c r="AK45" i="15"/>
  <c r="AI45" i="15"/>
  <c r="AF45" i="15"/>
  <c r="V45" i="15"/>
  <c r="AC45" i="15"/>
  <c r="L45" i="15"/>
  <c r="R45" i="15"/>
  <c r="U45" i="15"/>
  <c r="AG45" i="15"/>
  <c r="F45" i="15"/>
  <c r="J45" i="15"/>
  <c r="I45" i="15"/>
  <c r="G45" i="15"/>
  <c r="AH45" i="15"/>
  <c r="S45" i="15"/>
  <c r="AD45" i="15"/>
  <c r="AA45" i="15"/>
  <c r="AJ45" i="15"/>
  <c r="AB45" i="15"/>
  <c r="N45" i="15"/>
  <c r="T45" i="15"/>
  <c r="X45" i="15"/>
  <c r="M45" i="15"/>
  <c r="Y45" i="15"/>
  <c r="O45" i="15"/>
  <c r="AA155" i="12"/>
  <c r="T185" i="17"/>
  <c r="S185" i="17"/>
  <c r="U155" i="12"/>
  <c r="AH185" i="17"/>
  <c r="AE185" i="17"/>
  <c r="AI155" i="12"/>
  <c r="L185" i="17"/>
  <c r="AI185" i="17"/>
  <c r="F185" i="17"/>
  <c r="AC185" i="17"/>
  <c r="H185" i="17"/>
  <c r="T155" i="12"/>
  <c r="R185" i="17"/>
  <c r="AK185" i="17"/>
  <c r="AG185" i="17"/>
  <c r="G185" i="17"/>
  <c r="H155" i="12"/>
  <c r="AD185" i="17"/>
  <c r="Q185" i="17"/>
  <c r="AJ185" i="17"/>
  <c r="Z185" i="17"/>
  <c r="O185" i="17"/>
  <c r="AB185" i="17"/>
  <c r="AL185" i="17"/>
  <c r="L155" i="12"/>
  <c r="M185" i="17"/>
  <c r="N185" i="17"/>
  <c r="I185" i="17"/>
  <c r="Y185" i="17"/>
  <c r="W185" i="17"/>
  <c r="K185" i="17"/>
  <c r="X185" i="17"/>
  <c r="J185" i="17"/>
  <c r="U185" i="17"/>
  <c r="AA185" i="17"/>
  <c r="V185" i="17"/>
  <c r="AF185" i="17"/>
  <c r="P185" i="17"/>
  <c r="AH155" i="12"/>
  <c r="O155" i="12"/>
  <c r="I155" i="12"/>
  <c r="J155" i="12"/>
  <c r="Y155" i="12"/>
  <c r="AJ106" i="16"/>
  <c r="F106" i="16"/>
  <c r="AG124" i="18"/>
  <c r="G112" i="13"/>
  <c r="Q112" i="12"/>
  <c r="P112" i="13"/>
  <c r="AF118" i="14"/>
  <c r="H118" i="14"/>
  <c r="N136" i="12"/>
  <c r="I136" i="14"/>
  <c r="AL136" i="12"/>
  <c r="F136" i="14"/>
  <c r="G136" i="12"/>
  <c r="AA136" i="14"/>
  <c r="W136" i="12"/>
  <c r="O136" i="14"/>
  <c r="F112" i="13"/>
  <c r="X112" i="13"/>
  <c r="AK118" i="17"/>
  <c r="M136" i="12"/>
  <c r="J136" i="14"/>
  <c r="AD124" i="18"/>
  <c r="AL124" i="13"/>
  <c r="AG112" i="17"/>
  <c r="F130" i="15"/>
  <c r="S142" i="12"/>
  <c r="L124" i="18"/>
  <c r="G112" i="17"/>
  <c r="AB112" i="17"/>
  <c r="AL130" i="15"/>
  <c r="AA136" i="16"/>
  <c r="AH112" i="17"/>
  <c r="Y130" i="15"/>
  <c r="AF130" i="15"/>
  <c r="O136" i="16"/>
  <c r="H112" i="17"/>
  <c r="AC130" i="15"/>
  <c r="U130" i="15"/>
  <c r="V136" i="12"/>
  <c r="W136" i="14"/>
  <c r="L142" i="17"/>
  <c r="AF112" i="13"/>
  <c r="AD136" i="12"/>
  <c r="AE136" i="14"/>
  <c r="M112" i="13"/>
  <c r="O112" i="13"/>
  <c r="E130" i="18"/>
  <c r="P136" i="12"/>
  <c r="U106" i="15"/>
  <c r="P136" i="14"/>
  <c r="AI112" i="13"/>
  <c r="J136" i="12"/>
  <c r="Y124" i="18"/>
  <c r="AF136" i="14"/>
  <c r="J112" i="13"/>
  <c r="R136" i="12"/>
  <c r="AB136" i="12"/>
  <c r="P118" i="17"/>
  <c r="AB118" i="17"/>
  <c r="O136" i="12"/>
  <c r="H136" i="12"/>
  <c r="I136" i="12"/>
  <c r="AC136" i="12"/>
  <c r="E106" i="15"/>
  <c r="AI136" i="13"/>
  <c r="F124" i="13"/>
  <c r="AF142" i="12"/>
  <c r="AG136" i="14"/>
  <c r="G136" i="14"/>
  <c r="S136" i="14"/>
  <c r="AI136" i="14"/>
  <c r="G112" i="12"/>
  <c r="AI130" i="18"/>
  <c r="AE142" i="17"/>
  <c r="AD112" i="13"/>
  <c r="U112" i="13"/>
  <c r="W112" i="13"/>
  <c r="E112" i="13"/>
  <c r="AL118" i="17"/>
  <c r="AE136" i="12"/>
  <c r="U136" i="12"/>
  <c r="AF136" i="12"/>
  <c r="Z136" i="12"/>
  <c r="AG136" i="12"/>
  <c r="AD106" i="15"/>
  <c r="N136" i="13"/>
  <c r="I124" i="18"/>
  <c r="AB136" i="16"/>
  <c r="U124" i="13"/>
  <c r="Z112" i="17"/>
  <c r="AE112" i="17"/>
  <c r="M130" i="15"/>
  <c r="AE130" i="15"/>
  <c r="AJ130" i="15"/>
  <c r="AG142" i="12"/>
  <c r="Q136" i="14"/>
  <c r="U136" i="14"/>
  <c r="M136" i="14"/>
  <c r="T136" i="14"/>
  <c r="AJ136" i="14"/>
  <c r="U112" i="12"/>
  <c r="W130" i="18"/>
  <c r="J142" i="17"/>
  <c r="AJ112" i="13"/>
  <c r="I112" i="13"/>
  <c r="R112" i="13"/>
  <c r="K112" i="13"/>
  <c r="V118" i="17"/>
  <c r="L136" i="12"/>
  <c r="Q136" i="12"/>
  <c r="L106" i="15"/>
  <c r="AB142" i="12"/>
  <c r="AB136" i="14"/>
  <c r="AK136" i="14"/>
  <c r="AC136" i="14"/>
  <c r="AH136" i="14"/>
  <c r="M112" i="12"/>
  <c r="I130" i="18"/>
  <c r="AA142" i="17"/>
  <c r="AG112" i="13"/>
  <c r="AA112" i="13"/>
  <c r="AK112" i="13"/>
  <c r="N112" i="13"/>
  <c r="AL112" i="13"/>
  <c r="AA118" i="17"/>
  <c r="AK136" i="12"/>
  <c r="J124" i="18"/>
  <c r="AA112" i="17"/>
  <c r="K130" i="15"/>
  <c r="K136" i="14"/>
  <c r="R130" i="18"/>
  <c r="O118" i="14"/>
  <c r="AH118" i="17"/>
  <c r="K136" i="12"/>
  <c r="AJ136" i="12"/>
  <c r="T136" i="12"/>
  <c r="E136" i="12"/>
  <c r="Y106" i="16"/>
  <c r="T106" i="15"/>
  <c r="U124" i="18"/>
  <c r="AJ136" i="16"/>
  <c r="G124" i="13"/>
  <c r="O112" i="17"/>
  <c r="AJ112" i="17"/>
  <c r="N112" i="17"/>
  <c r="AG130" i="15"/>
  <c r="O130" i="15"/>
  <c r="H130" i="15"/>
  <c r="V142" i="12"/>
  <c r="X136" i="14"/>
  <c r="AD136" i="14"/>
  <c r="L136" i="14"/>
  <c r="E136" i="14"/>
  <c r="E112" i="12"/>
  <c r="AB130" i="18"/>
  <c r="AK142" i="17"/>
  <c r="S112" i="13"/>
  <c r="T112" i="13"/>
  <c r="AB112" i="13"/>
  <c r="AH112" i="13"/>
  <c r="I118" i="17"/>
  <c r="AE106" i="15"/>
  <c r="W124" i="13"/>
  <c r="O142" i="12"/>
  <c r="O112" i="12"/>
  <c r="L130" i="18"/>
  <c r="AL142" i="17"/>
  <c r="S124" i="13"/>
  <c r="AI136" i="12"/>
  <c r="F136" i="12"/>
  <c r="Y136" i="12"/>
  <c r="R106" i="15"/>
  <c r="AI136" i="16"/>
  <c r="AG124" i="13"/>
  <c r="W112" i="17"/>
  <c r="AK112" i="17"/>
  <c r="L130" i="15"/>
  <c r="P130" i="15"/>
  <c r="AK142" i="12"/>
  <c r="AL136" i="14"/>
  <c r="H136" i="14"/>
  <c r="V136" i="14"/>
  <c r="Y112" i="12"/>
  <c r="AC142" i="17"/>
  <c r="AE112" i="13"/>
  <c r="H112" i="13"/>
  <c r="Y112" i="13"/>
  <c r="L112" i="13"/>
  <c r="Y142" i="16"/>
  <c r="AL118" i="14"/>
  <c r="AF118" i="17"/>
  <c r="AA136" i="12"/>
  <c r="X136" i="12"/>
  <c r="AH136" i="12"/>
  <c r="M106" i="15"/>
  <c r="O106" i="15"/>
  <c r="AH124" i="18"/>
  <c r="U136" i="16"/>
  <c r="X124" i="13"/>
  <c r="R112" i="17"/>
  <c r="X112" i="17"/>
  <c r="AF112" i="17"/>
  <c r="J130" i="15"/>
  <c r="AH130" i="15"/>
  <c r="I130" i="15"/>
  <c r="R142" i="12"/>
  <c r="Y136" i="14"/>
  <c r="R136" i="14"/>
  <c r="Z136" i="14"/>
  <c r="V112" i="12"/>
  <c r="AC130" i="18"/>
  <c r="Z142" i="17"/>
  <c r="AC112" i="13"/>
  <c r="Z112" i="13"/>
  <c r="Q112" i="13"/>
  <c r="AL161" i="17"/>
  <c r="G161" i="17"/>
  <c r="J161" i="17"/>
  <c r="AG155" i="15"/>
  <c r="N161" i="17"/>
  <c r="L161" i="17"/>
  <c r="P161" i="17"/>
  <c r="AF155" i="15"/>
  <c r="M161" i="17"/>
  <c r="Z161" i="17"/>
  <c r="Y106" i="18"/>
  <c r="G142" i="14"/>
  <c r="V155" i="12"/>
  <c r="M155" i="12"/>
  <c r="W155" i="12"/>
  <c r="AD155" i="12"/>
  <c r="AL155" i="12"/>
  <c r="AJ155" i="12"/>
  <c r="G155" i="12"/>
  <c r="AB155" i="12"/>
  <c r="N155" i="12"/>
  <c r="E155" i="12"/>
  <c r="S155" i="12"/>
  <c r="Q155" i="12"/>
  <c r="AK155" i="12"/>
  <c r="AG155" i="12"/>
  <c r="AC155" i="12"/>
  <c r="AE155" i="12"/>
  <c r="F155" i="12"/>
  <c r="P155" i="12"/>
  <c r="K155" i="12"/>
  <c r="AF155" i="12"/>
  <c r="R155" i="12"/>
  <c r="Z155" i="12"/>
  <c r="I106" i="15"/>
  <c r="F142" i="12"/>
  <c r="Y118" i="17"/>
  <c r="X118" i="17"/>
  <c r="W118" i="17"/>
  <c r="AJ118" i="17"/>
  <c r="K118" i="17"/>
  <c r="N106" i="15"/>
  <c r="W106" i="15"/>
  <c r="AI106" i="15"/>
  <c r="J106" i="15"/>
  <c r="G106" i="15"/>
  <c r="AK124" i="13"/>
  <c r="N124" i="13"/>
  <c r="AC124" i="13"/>
  <c r="Z124" i="13"/>
  <c r="AA124" i="13"/>
  <c r="U142" i="12"/>
  <c r="I142" i="12"/>
  <c r="G142" i="12"/>
  <c r="X142" i="12"/>
  <c r="E142" i="12"/>
  <c r="AJ112" i="12"/>
  <c r="AD112" i="12"/>
  <c r="AA112" i="12"/>
  <c r="S112" i="12"/>
  <c r="AD130" i="18"/>
  <c r="M130" i="18"/>
  <c r="S130" i="18"/>
  <c r="AA130" i="18"/>
  <c r="R142" i="17"/>
  <c r="AB142" i="17"/>
  <c r="P142" i="17"/>
  <c r="E142" i="17"/>
  <c r="W142" i="17"/>
  <c r="G130" i="18"/>
  <c r="H118" i="17"/>
  <c r="E118" i="17"/>
  <c r="Y106" i="15"/>
  <c r="AL106" i="15"/>
  <c r="AB124" i="13"/>
  <c r="AD142" i="12"/>
  <c r="AG112" i="12"/>
  <c r="H112" i="12"/>
  <c r="P130" i="18"/>
  <c r="AF142" i="17"/>
  <c r="Q118" i="17"/>
  <c r="AC118" i="17"/>
  <c r="Z118" i="17"/>
  <c r="AD118" i="17"/>
  <c r="Z106" i="15"/>
  <c r="AH106" i="15"/>
  <c r="AC106" i="15"/>
  <c r="X106" i="15"/>
  <c r="AC136" i="13"/>
  <c r="AF124" i="13"/>
  <c r="M124" i="13"/>
  <c r="J124" i="13"/>
  <c r="Y124" i="13"/>
  <c r="AI142" i="12"/>
  <c r="AE142" i="12"/>
  <c r="AH142" i="12"/>
  <c r="Y142" i="12"/>
  <c r="I112" i="12"/>
  <c r="N112" i="12"/>
  <c r="J112" i="12"/>
  <c r="AL112" i="12"/>
  <c r="AI112" i="12"/>
  <c r="X130" i="18"/>
  <c r="AH130" i="18"/>
  <c r="N130" i="18"/>
  <c r="Z130" i="18"/>
  <c r="O142" i="17"/>
  <c r="AD142" i="17"/>
  <c r="T142" i="17"/>
  <c r="S142" i="17"/>
  <c r="S142" i="16"/>
  <c r="AE124" i="13"/>
  <c r="AG118" i="17"/>
  <c r="F118" i="17"/>
  <c r="L118" i="17"/>
  <c r="AE118" i="17"/>
  <c r="V106" i="15"/>
  <c r="F106" i="15"/>
  <c r="AK106" i="15"/>
  <c r="AF106" i="15"/>
  <c r="Z136" i="13"/>
  <c r="Q124" i="13"/>
  <c r="AD124" i="13"/>
  <c r="AI124" i="13"/>
  <c r="K124" i="13"/>
  <c r="AJ142" i="12"/>
  <c r="N142" i="12"/>
  <c r="W142" i="12"/>
  <c r="Q142" i="12"/>
  <c r="R112" i="12"/>
  <c r="AF112" i="12"/>
  <c r="K112" i="12"/>
  <c r="AH112" i="12"/>
  <c r="T130" i="18"/>
  <c r="AL130" i="18"/>
  <c r="H130" i="18"/>
  <c r="U130" i="18"/>
  <c r="O130" i="18"/>
  <c r="AG142" i="17"/>
  <c r="AH142" i="17"/>
  <c r="M142" i="17"/>
  <c r="I142" i="17"/>
  <c r="E142" i="16"/>
  <c r="M142" i="12"/>
  <c r="J118" i="17"/>
  <c r="N118" i="17"/>
  <c r="R118" i="17"/>
  <c r="M118" i="17"/>
  <c r="H106" i="15"/>
  <c r="P106" i="15"/>
  <c r="K106" i="15"/>
  <c r="S106" i="15"/>
  <c r="T124" i="13"/>
  <c r="I124" i="13"/>
  <c r="V124" i="13"/>
  <c r="AH124" i="13"/>
  <c r="P142" i="12"/>
  <c r="J142" i="12"/>
  <c r="H142" i="12"/>
  <c r="L142" i="12"/>
  <c r="P112" i="12"/>
  <c r="AE112" i="12"/>
  <c r="F112" i="12"/>
  <c r="W112" i="12"/>
  <c r="AE130" i="18"/>
  <c r="AK130" i="18"/>
  <c r="V130" i="18"/>
  <c r="Y130" i="18"/>
  <c r="AJ130" i="18"/>
  <c r="N142" i="17"/>
  <c r="V142" i="17"/>
  <c r="Q142" i="17"/>
  <c r="AJ142" i="17"/>
  <c r="O118" i="17"/>
  <c r="S118" i="17"/>
  <c r="AB106" i="15"/>
  <c r="R124" i="13"/>
  <c r="E124" i="13"/>
  <c r="AC142" i="12"/>
  <c r="AK112" i="12"/>
  <c r="AB112" i="12"/>
  <c r="T112" i="12"/>
  <c r="AG130" i="18"/>
  <c r="J130" i="18"/>
  <c r="AI142" i="17"/>
  <c r="F142" i="17"/>
  <c r="H142" i="17"/>
  <c r="U118" i="17"/>
  <c r="T118" i="17"/>
  <c r="G118" i="17"/>
  <c r="AG106" i="15"/>
  <c r="Q106" i="15"/>
  <c r="AA106" i="15"/>
  <c r="H124" i="13"/>
  <c r="L124" i="13"/>
  <c r="P124" i="13"/>
  <c r="O124" i="13"/>
  <c r="Z142" i="12"/>
  <c r="T142" i="12"/>
  <c r="AA142" i="12"/>
  <c r="AL142" i="12"/>
  <c r="X112" i="12"/>
  <c r="AC112" i="12"/>
  <c r="Z112" i="12"/>
  <c r="F130" i="18"/>
  <c r="AF130" i="18"/>
  <c r="K130" i="18"/>
  <c r="Y142" i="17"/>
  <c r="G142" i="17"/>
  <c r="K142" i="17"/>
  <c r="U142" i="17"/>
  <c r="J112" i="15"/>
  <c r="X124" i="18"/>
  <c r="O124" i="18"/>
  <c r="Z124" i="18"/>
  <c r="T124" i="18"/>
  <c r="AK136" i="16"/>
  <c r="P136" i="16"/>
  <c r="AC136" i="16"/>
  <c r="AG136" i="16"/>
  <c r="J136" i="16"/>
  <c r="AC124" i="18"/>
  <c r="W124" i="18"/>
  <c r="H136" i="16"/>
  <c r="F136" i="16"/>
  <c r="X136" i="16"/>
  <c r="AA124" i="18"/>
  <c r="N124" i="18"/>
  <c r="AH136" i="16"/>
  <c r="AI124" i="18"/>
  <c r="Q124" i="18"/>
  <c r="AD136" i="16"/>
  <c r="S136" i="16"/>
  <c r="Q136" i="16"/>
  <c r="L112" i="17"/>
  <c r="U112" i="17"/>
  <c r="T112" i="17"/>
  <c r="V112" i="17"/>
  <c r="AF124" i="18"/>
  <c r="H124" i="18"/>
  <c r="Z136" i="16"/>
  <c r="G124" i="18"/>
  <c r="R124" i="18"/>
  <c r="F124" i="18"/>
  <c r="V124" i="18"/>
  <c r="T136" i="16"/>
  <c r="M136" i="16"/>
  <c r="N136" i="16"/>
  <c r="R136" i="16"/>
  <c r="Q112" i="17"/>
  <c r="M112" i="17"/>
  <c r="AL112" i="17"/>
  <c r="E112" i="17"/>
  <c r="J112" i="17"/>
  <c r="N130" i="15"/>
  <c r="T130" i="15"/>
  <c r="E130" i="15"/>
  <c r="R130" i="15"/>
  <c r="E124" i="18"/>
  <c r="S124" i="18"/>
  <c r="AE124" i="18"/>
  <c r="AB124" i="18"/>
  <c r="AJ124" i="18"/>
  <c r="AE136" i="16"/>
  <c r="G136" i="16"/>
  <c r="AL136" i="16"/>
  <c r="E136" i="16"/>
  <c r="K112" i="17"/>
  <c r="I112" i="17"/>
  <c r="AI112" i="17"/>
  <c r="AB130" i="15"/>
  <c r="Z130" i="15"/>
  <c r="G130" i="15"/>
  <c r="AD130" i="15"/>
  <c r="K124" i="18"/>
  <c r="M124" i="18"/>
  <c r="AL124" i="18"/>
  <c r="AK124" i="18"/>
  <c r="I136" i="16"/>
  <c r="L136" i="16"/>
  <c r="K136" i="16"/>
  <c r="R161" i="17"/>
  <c r="AJ161" i="17"/>
  <c r="T161" i="17"/>
  <c r="Y161" i="17"/>
  <c r="AA161" i="17"/>
  <c r="W161" i="17"/>
  <c r="AE161" i="17"/>
  <c r="AC161" i="17"/>
  <c r="AK161" i="17"/>
  <c r="R155" i="15"/>
  <c r="E161" i="17"/>
  <c r="AD161" i="17"/>
  <c r="S161" i="17"/>
  <c r="F155" i="15"/>
  <c r="F161" i="17"/>
  <c r="X161" i="17"/>
  <c r="U161" i="17"/>
  <c r="K161" i="17"/>
  <c r="AB161" i="17"/>
  <c r="L155" i="15"/>
  <c r="AF161" i="17"/>
  <c r="I161" i="17"/>
  <c r="AG161" i="17"/>
  <c r="W155" i="15"/>
  <c r="Q161" i="17"/>
  <c r="V161" i="17"/>
  <c r="H161" i="17"/>
  <c r="O161" i="17"/>
  <c r="AH161" i="17"/>
  <c r="L112" i="15"/>
  <c r="AK112" i="15"/>
  <c r="AC112" i="15"/>
  <c r="F112" i="15"/>
  <c r="S112" i="15"/>
  <c r="Y112" i="15"/>
  <c r="R112" i="15"/>
  <c r="M112" i="14"/>
  <c r="AI112" i="15"/>
  <c r="O112" i="15"/>
  <c r="G112" i="15"/>
  <c r="H112" i="15"/>
  <c r="AG112" i="15"/>
  <c r="AI106" i="14"/>
  <c r="I112" i="18"/>
  <c r="AJ112" i="15"/>
  <c r="AB112" i="15"/>
  <c r="U106" i="14"/>
  <c r="AG112" i="18"/>
  <c r="W112" i="15"/>
  <c r="AE112" i="15"/>
  <c r="T112" i="15"/>
  <c r="E112" i="15"/>
  <c r="Z112" i="15"/>
  <c r="AC112" i="14"/>
  <c r="AL106" i="14"/>
  <c r="R112" i="18"/>
  <c r="Q112" i="15"/>
  <c r="AA112" i="15"/>
  <c r="N112" i="15"/>
  <c r="K112" i="15"/>
  <c r="AH112" i="15"/>
  <c r="I112" i="15"/>
  <c r="V112" i="15"/>
  <c r="P112" i="15"/>
  <c r="AL112" i="15"/>
  <c r="X112" i="14"/>
  <c r="AK106" i="14"/>
  <c r="H112" i="18"/>
  <c r="AD112" i="15"/>
  <c r="U112" i="15"/>
  <c r="M112" i="15"/>
  <c r="X112" i="15"/>
  <c r="I112" i="14"/>
  <c r="AL112" i="14"/>
  <c r="Z112" i="14"/>
  <c r="S112" i="14"/>
  <c r="V112" i="14"/>
  <c r="N106" i="14"/>
  <c r="V106" i="14"/>
  <c r="W106" i="14"/>
  <c r="J106" i="14"/>
  <c r="K106" i="14"/>
  <c r="AK112" i="18"/>
  <c r="L112" i="18"/>
  <c r="E112" i="18"/>
  <c r="AD112" i="18"/>
  <c r="R112" i="14"/>
  <c r="AB112" i="14"/>
  <c r="N112" i="14"/>
  <c r="L112" i="14"/>
  <c r="L106" i="14"/>
  <c r="AB106" i="14"/>
  <c r="H106" i="14"/>
  <c r="AG106" i="14"/>
  <c r="Y112" i="18"/>
  <c r="F112" i="18"/>
  <c r="AH112" i="18"/>
  <c r="Z112" i="18"/>
  <c r="AD112" i="14"/>
  <c r="W112" i="14"/>
  <c r="G112" i="14"/>
  <c r="T112" i="14"/>
  <c r="AJ112" i="14"/>
  <c r="Q106" i="14"/>
  <c r="AJ106" i="14"/>
  <c r="X106" i="14"/>
  <c r="Y106" i="14"/>
  <c r="AE112" i="18"/>
  <c r="X112" i="18"/>
  <c r="J112" i="18"/>
  <c r="T112" i="18"/>
  <c r="H112" i="14"/>
  <c r="AC106" i="14"/>
  <c r="K112" i="18"/>
  <c r="U112" i="14"/>
  <c r="Y112" i="14"/>
  <c r="M106" i="14"/>
  <c r="AF106" i="14"/>
  <c r="W112" i="18"/>
  <c r="AL112" i="18"/>
  <c r="F112" i="14"/>
  <c r="O112" i="14"/>
  <c r="AI112" i="14"/>
  <c r="AG112" i="14"/>
  <c r="AE106" i="14"/>
  <c r="I106" i="14"/>
  <c r="T106" i="14"/>
  <c r="F106" i="14"/>
  <c r="N112" i="18"/>
  <c r="P112" i="18"/>
  <c r="Q112" i="18"/>
  <c r="AI112" i="18"/>
  <c r="S112" i="18"/>
  <c r="J112" i="14"/>
  <c r="K112" i="14"/>
  <c r="P106" i="14"/>
  <c r="AB112" i="18"/>
  <c r="P112" i="14"/>
  <c r="AF112" i="14"/>
  <c r="E112" i="14"/>
  <c r="AE112" i="14"/>
  <c r="AA106" i="14"/>
  <c r="E106" i="14"/>
  <c r="R106" i="14"/>
  <c r="O106" i="14"/>
  <c r="M112" i="18"/>
  <c r="U112" i="18"/>
  <c r="AJ112" i="18"/>
  <c r="O112" i="18"/>
  <c r="AA112" i="18"/>
  <c r="AK112" i="14"/>
  <c r="Q112" i="14"/>
  <c r="AA112" i="14"/>
  <c r="S106" i="14"/>
  <c r="AD106" i="14"/>
  <c r="Z106" i="14"/>
  <c r="AH106" i="14"/>
  <c r="AC112" i="18"/>
  <c r="G112" i="18"/>
  <c r="AF112" i="18"/>
  <c r="Q118" i="18"/>
  <c r="V136" i="13"/>
  <c r="AE142" i="16"/>
  <c r="F136" i="17"/>
  <c r="H106" i="17"/>
  <c r="H130" i="16"/>
  <c r="Q118" i="13"/>
  <c r="Y118" i="18"/>
  <c r="R118" i="18"/>
  <c r="E118" i="18"/>
  <c r="AE118" i="18"/>
  <c r="F118" i="18"/>
  <c r="AA118" i="18"/>
  <c r="K118" i="18"/>
  <c r="H155" i="15"/>
  <c r="I155" i="15"/>
  <c r="AE155" i="15"/>
  <c r="E118" i="13"/>
  <c r="W130" i="16"/>
  <c r="V106" i="17"/>
  <c r="N118" i="13"/>
  <c r="M130" i="16"/>
  <c r="L106" i="17"/>
  <c r="K118" i="13"/>
  <c r="Q106" i="17"/>
  <c r="S106" i="17"/>
  <c r="X118" i="13"/>
  <c r="AB118" i="18"/>
  <c r="AG118" i="18"/>
  <c r="AE130" i="16"/>
  <c r="X106" i="17"/>
  <c r="P118" i="13"/>
  <c r="AA118" i="13"/>
  <c r="I118" i="18"/>
  <c r="H118" i="18"/>
  <c r="AK130" i="16"/>
  <c r="J106" i="17"/>
  <c r="AJ136" i="17"/>
  <c r="J130" i="16"/>
  <c r="AF118" i="13"/>
  <c r="AJ118" i="18"/>
  <c r="V130" i="16"/>
  <c r="AG106" i="17"/>
  <c r="Z118" i="18"/>
  <c r="J118" i="18"/>
  <c r="M118" i="18"/>
  <c r="X118" i="18"/>
  <c r="AC118" i="18"/>
  <c r="O118" i="18"/>
  <c r="AL118" i="18"/>
  <c r="N118" i="18"/>
  <c r="V118" i="18"/>
  <c r="AG130" i="17"/>
  <c r="P118" i="18"/>
  <c r="AK118" i="18"/>
  <c r="G118" i="18"/>
  <c r="P179" i="13"/>
  <c r="V155" i="15"/>
  <c r="X155" i="15"/>
  <c r="J155" i="15"/>
  <c r="W124" i="14"/>
  <c r="R124" i="14"/>
  <c r="U124" i="14"/>
  <c r="AF118" i="18"/>
  <c r="U118" i="18"/>
  <c r="L118" i="18"/>
  <c r="Y155" i="13"/>
  <c r="AI155" i="13"/>
  <c r="G155" i="13"/>
  <c r="AH155" i="13"/>
  <c r="AF155" i="13"/>
  <c r="U155" i="13"/>
  <c r="O155" i="13"/>
  <c r="R155" i="13"/>
  <c r="AC155" i="13"/>
  <c r="X155" i="13"/>
  <c r="K155" i="13"/>
  <c r="W155" i="13"/>
  <c r="P155" i="13"/>
  <c r="AD155" i="13"/>
  <c r="AE155" i="13"/>
  <c r="Z155" i="13"/>
  <c r="AL155" i="13"/>
  <c r="L155" i="13"/>
  <c r="AB155" i="13"/>
  <c r="H155" i="13"/>
  <c r="V155" i="13"/>
  <c r="AG155" i="13"/>
  <c r="J155" i="13"/>
  <c r="AA155" i="13"/>
  <c r="S155" i="13"/>
  <c r="I155" i="13"/>
  <c r="AK155" i="13"/>
  <c r="F155" i="13"/>
  <c r="M155" i="13"/>
  <c r="Q155" i="13"/>
  <c r="N155" i="13"/>
  <c r="AJ155" i="13"/>
  <c r="E155" i="13"/>
  <c r="AD149" i="17"/>
  <c r="T124" i="14"/>
  <c r="S124" i="14"/>
  <c r="V124" i="14"/>
  <c r="L149" i="17"/>
  <c r="AB149" i="17"/>
  <c r="U149" i="17"/>
  <c r="AE149" i="17"/>
  <c r="F149" i="17"/>
  <c r="AG149" i="17"/>
  <c r="AI149" i="17"/>
  <c r="T149" i="17"/>
  <c r="X149" i="17"/>
  <c r="AK149" i="17"/>
  <c r="AF149" i="17"/>
  <c r="AA149" i="17"/>
  <c r="R149" i="17"/>
  <c r="AL149" i="17"/>
  <c r="AC149" i="17"/>
  <c r="W149" i="17"/>
  <c r="K149" i="17"/>
  <c r="J149" i="17"/>
  <c r="M149" i="17"/>
  <c r="N149" i="17"/>
  <c r="O149" i="17"/>
  <c r="AH149" i="17"/>
  <c r="V149" i="17"/>
  <c r="S149" i="17"/>
  <c r="AJ149" i="17"/>
  <c r="E149" i="17"/>
  <c r="Z149" i="17"/>
  <c r="I149" i="17"/>
  <c r="Q149" i="17"/>
  <c r="G149" i="17"/>
  <c r="H149" i="17"/>
  <c r="P149" i="17"/>
  <c r="AA136" i="13"/>
  <c r="G136" i="13"/>
  <c r="W136" i="13"/>
  <c r="AJ136" i="13"/>
  <c r="N142" i="16"/>
  <c r="Z142" i="16"/>
  <c r="V142" i="16"/>
  <c r="R142" i="16"/>
  <c r="K136" i="13"/>
  <c r="T136" i="13"/>
  <c r="X136" i="13"/>
  <c r="O142" i="16"/>
  <c r="T142" i="16"/>
  <c r="Q142" i="16"/>
  <c r="K142" i="16"/>
  <c r="F136" i="13"/>
  <c r="AG136" i="13"/>
  <c r="H136" i="13"/>
  <c r="AB136" i="13"/>
  <c r="AK136" i="13"/>
  <c r="AH136" i="13"/>
  <c r="X142" i="16"/>
  <c r="U142" i="16"/>
  <c r="L142" i="16"/>
  <c r="F142" i="16"/>
  <c r="P136" i="13"/>
  <c r="O136" i="13"/>
  <c r="I136" i="13"/>
  <c r="L136" i="13"/>
  <c r="AK142" i="16"/>
  <c r="AB142" i="16"/>
  <c r="AF142" i="16"/>
  <c r="AA142" i="16"/>
  <c r="AF136" i="13"/>
  <c r="AE136" i="13"/>
  <c r="U136" i="13"/>
  <c r="AL136" i="13"/>
  <c r="P142" i="16"/>
  <c r="AD142" i="16"/>
  <c r="AG142" i="16"/>
  <c r="M142" i="16"/>
  <c r="AD136" i="13"/>
  <c r="Y136" i="13"/>
  <c r="M136" i="13"/>
  <c r="R136" i="13"/>
  <c r="I142" i="16"/>
  <c r="W142" i="16"/>
  <c r="H142" i="16"/>
  <c r="AJ142" i="16"/>
  <c r="AI142" i="16"/>
  <c r="Q136" i="13"/>
  <c r="S136" i="13"/>
  <c r="E136" i="13"/>
  <c r="J142" i="16"/>
  <c r="AH142" i="16"/>
  <c r="AC142" i="16"/>
  <c r="G142" i="16"/>
  <c r="I173" i="16"/>
  <c r="F173" i="16"/>
  <c r="Y173" i="16"/>
  <c r="G167" i="15"/>
  <c r="AI167" i="15"/>
  <c r="AF173" i="16"/>
  <c r="O167" i="15"/>
  <c r="O173" i="16"/>
  <c r="K167" i="15"/>
  <c r="AL167" i="15"/>
  <c r="O124" i="14"/>
  <c r="G124" i="14"/>
  <c r="Q106" i="18"/>
  <c r="V142" i="14"/>
  <c r="AI136" i="17"/>
  <c r="E106" i="18"/>
  <c r="O142" i="14"/>
  <c r="M106" i="18"/>
  <c r="R142" i="14"/>
  <c r="AJ118" i="16"/>
  <c r="AD106" i="18"/>
  <c r="K106" i="12"/>
  <c r="X130" i="17"/>
  <c r="AH106" i="18"/>
  <c r="K130" i="17"/>
  <c r="I106" i="12"/>
  <c r="T106" i="12"/>
  <c r="S130" i="17"/>
  <c r="AF136" i="17"/>
  <c r="V106" i="18"/>
  <c r="M106" i="12"/>
  <c r="AI173" i="16"/>
  <c r="H185" i="15"/>
  <c r="T185" i="15"/>
  <c r="E185" i="15"/>
  <c r="O185" i="15"/>
  <c r="AC185" i="15"/>
  <c r="P185" i="15"/>
  <c r="AK185" i="15"/>
  <c r="F185" i="15"/>
  <c r="AH185" i="15"/>
  <c r="S185" i="15"/>
  <c r="AF185" i="15"/>
  <c r="U185" i="15"/>
  <c r="V185" i="15"/>
  <c r="AE185" i="15"/>
  <c r="J185" i="15"/>
  <c r="AL185" i="15"/>
  <c r="L185" i="15"/>
  <c r="R185" i="15"/>
  <c r="Z185" i="15"/>
  <c r="AB185" i="15"/>
  <c r="G185" i="15"/>
  <c r="K185" i="15"/>
  <c r="Q185" i="15"/>
  <c r="AA185" i="15"/>
  <c r="X185" i="15"/>
  <c r="AD185" i="15"/>
  <c r="Y185" i="15"/>
  <c r="N185" i="15"/>
  <c r="W185" i="15"/>
  <c r="AJ185" i="15"/>
  <c r="M185" i="15"/>
  <c r="AG185" i="15"/>
  <c r="AI185" i="15"/>
  <c r="X149" i="18"/>
  <c r="Y149" i="18"/>
  <c r="E149" i="18"/>
  <c r="P149" i="18"/>
  <c r="I149" i="18"/>
  <c r="M149" i="18"/>
  <c r="J149" i="18"/>
  <c r="V149" i="18"/>
  <c r="AA149" i="18"/>
  <c r="AI149" i="18"/>
  <c r="E179" i="17"/>
  <c r="AC149" i="18"/>
  <c r="AJ149" i="18"/>
  <c r="L149" i="18"/>
  <c r="AK149" i="18"/>
  <c r="G149" i="18"/>
  <c r="Z149" i="18"/>
  <c r="S179" i="17"/>
  <c r="AB149" i="18"/>
  <c r="F149" i="18"/>
  <c r="H149" i="18"/>
  <c r="W149" i="18"/>
  <c r="AG149" i="18"/>
  <c r="O149" i="18"/>
  <c r="Q149" i="18"/>
  <c r="AL179" i="17"/>
  <c r="N149" i="18"/>
  <c r="AF149" i="18"/>
  <c r="K149" i="18"/>
  <c r="S149" i="18"/>
  <c r="AD149" i="18"/>
  <c r="T149" i="18"/>
  <c r="U149" i="18"/>
  <c r="AH149" i="18"/>
  <c r="AH179" i="17"/>
  <c r="R149" i="18"/>
  <c r="AE149" i="18"/>
  <c r="X179" i="17"/>
  <c r="Q124" i="16"/>
  <c r="K118" i="16"/>
  <c r="T118" i="16"/>
  <c r="U136" i="18"/>
  <c r="U136" i="15"/>
  <c r="AF118" i="16"/>
  <c r="AL136" i="18"/>
  <c r="Q136" i="15"/>
  <c r="AF136" i="18"/>
  <c r="T124" i="16"/>
  <c r="F136" i="15"/>
  <c r="AD136" i="18"/>
  <c r="Z124" i="16"/>
  <c r="K136" i="15"/>
  <c r="S124" i="16"/>
  <c r="L118" i="16"/>
  <c r="AA142" i="14"/>
  <c r="AG106" i="18"/>
  <c r="AJ106" i="18"/>
  <c r="W106" i="18"/>
  <c r="AF106" i="18"/>
  <c r="AA106" i="18"/>
  <c r="AF142" i="14"/>
  <c r="AD142" i="14"/>
  <c r="M142" i="14"/>
  <c r="AL142" i="14"/>
  <c r="AG106" i="12"/>
  <c r="Z106" i="12"/>
  <c r="R106" i="12"/>
  <c r="J106" i="12"/>
  <c r="AK136" i="18"/>
  <c r="AC136" i="18"/>
  <c r="Q136" i="18"/>
  <c r="R136" i="18"/>
  <c r="AA124" i="16"/>
  <c r="O124" i="16"/>
  <c r="L124" i="16"/>
  <c r="X124" i="16"/>
  <c r="V136" i="15"/>
  <c r="W136" i="15"/>
  <c r="P136" i="15"/>
  <c r="AH136" i="15"/>
  <c r="O118" i="16"/>
  <c r="AL118" i="16"/>
  <c r="F118" i="16"/>
  <c r="Y118" i="16"/>
  <c r="N118" i="16"/>
  <c r="AB179" i="14"/>
  <c r="AK106" i="18"/>
  <c r="N142" i="14"/>
  <c r="AI142" i="14"/>
  <c r="U106" i="12"/>
  <c r="L106" i="12"/>
  <c r="E106" i="12"/>
  <c r="H106" i="12"/>
  <c r="AA136" i="18"/>
  <c r="AJ136" i="18"/>
  <c r="N136" i="18"/>
  <c r="H136" i="18"/>
  <c r="W136" i="18"/>
  <c r="AD124" i="16"/>
  <c r="AK124" i="16"/>
  <c r="AB124" i="16"/>
  <c r="G124" i="16"/>
  <c r="N124" i="16"/>
  <c r="E136" i="15"/>
  <c r="AD136" i="15"/>
  <c r="L136" i="15"/>
  <c r="AI136" i="15"/>
  <c r="AI118" i="16"/>
  <c r="AK118" i="16"/>
  <c r="W118" i="16"/>
  <c r="G118" i="16"/>
  <c r="R106" i="18"/>
  <c r="AL106" i="18"/>
  <c r="AC106" i="18"/>
  <c r="X142" i="14"/>
  <c r="U142" i="14"/>
  <c r="O106" i="18"/>
  <c r="T106" i="18"/>
  <c r="K106" i="18"/>
  <c r="S106" i="18"/>
  <c r="AK142" i="14"/>
  <c r="P142" i="14"/>
  <c r="L142" i="14"/>
  <c r="AC142" i="14"/>
  <c r="K142" i="14"/>
  <c r="AK106" i="12"/>
  <c r="AL106" i="12"/>
  <c r="W106" i="12"/>
  <c r="Q106" i="12"/>
  <c r="O136" i="18"/>
  <c r="V136" i="18"/>
  <c r="J136" i="18"/>
  <c r="E136" i="18"/>
  <c r="AE136" i="18"/>
  <c r="AF124" i="16"/>
  <c r="P124" i="16"/>
  <c r="H124" i="16"/>
  <c r="AH124" i="16"/>
  <c r="V124" i="16"/>
  <c r="Z136" i="15"/>
  <c r="H136" i="15"/>
  <c r="Y136" i="15"/>
  <c r="J136" i="15"/>
  <c r="S118" i="16"/>
  <c r="H118" i="16"/>
  <c r="J118" i="16"/>
  <c r="E118" i="16"/>
  <c r="U149" i="16"/>
  <c r="I136" i="18"/>
  <c r="M124" i="16"/>
  <c r="AI124" i="16"/>
  <c r="G136" i="15"/>
  <c r="M136" i="15"/>
  <c r="AB136" i="15"/>
  <c r="X118" i="16"/>
  <c r="V118" i="16"/>
  <c r="AA118" i="16"/>
  <c r="AB118" i="16"/>
  <c r="AB106" i="18"/>
  <c r="T142" i="14"/>
  <c r="AG142" i="14"/>
  <c r="AB106" i="12"/>
  <c r="AG136" i="18"/>
  <c r="U124" i="16"/>
  <c r="F106" i="18"/>
  <c r="J106" i="18"/>
  <c r="H106" i="18"/>
  <c r="AI106" i="18"/>
  <c r="H142" i="14"/>
  <c r="E142" i="14"/>
  <c r="AH142" i="14"/>
  <c r="Z142" i="14"/>
  <c r="AA106" i="12"/>
  <c r="AF106" i="12"/>
  <c r="S106" i="12"/>
  <c r="AJ106" i="12"/>
  <c r="AC106" i="12"/>
  <c r="S136" i="18"/>
  <c r="M136" i="18"/>
  <c r="AB136" i="18"/>
  <c r="F136" i="18"/>
  <c r="Y124" i="16"/>
  <c r="AJ124" i="16"/>
  <c r="K124" i="16"/>
  <c r="AC124" i="16"/>
  <c r="AE136" i="15"/>
  <c r="I136" i="15"/>
  <c r="N136" i="15"/>
  <c r="R136" i="15"/>
  <c r="AC118" i="16"/>
  <c r="U118" i="16"/>
  <c r="AG118" i="16"/>
  <c r="Z118" i="16"/>
  <c r="AB142" i="14"/>
  <c r="AE142" i="14"/>
  <c r="F106" i="12"/>
  <c r="O106" i="12"/>
  <c r="P136" i="18"/>
  <c r="AE124" i="16"/>
  <c r="O136" i="15"/>
  <c r="I106" i="18"/>
  <c r="AE106" i="18"/>
  <c r="X106" i="18"/>
  <c r="N106" i="18"/>
  <c r="I142" i="14"/>
  <c r="Y142" i="14"/>
  <c r="Q142" i="14"/>
  <c r="J142" i="14"/>
  <c r="AE106" i="12"/>
  <c r="P106" i="12"/>
  <c r="Y106" i="12"/>
  <c r="AI106" i="12"/>
  <c r="AD106" i="12"/>
  <c r="Z136" i="18"/>
  <c r="T136" i="18"/>
  <c r="G136" i="18"/>
  <c r="AI136" i="18"/>
  <c r="AG124" i="16"/>
  <c r="J124" i="16"/>
  <c r="I124" i="16"/>
  <c r="F124" i="16"/>
  <c r="AF136" i="15"/>
  <c r="S136" i="15"/>
  <c r="AA136" i="15"/>
  <c r="AL136" i="15"/>
  <c r="AJ136" i="15"/>
  <c r="R118" i="16"/>
  <c r="M118" i="16"/>
  <c r="I118" i="16"/>
  <c r="P118" i="16"/>
  <c r="X106" i="12"/>
  <c r="AH136" i="18"/>
  <c r="Z106" i="18"/>
  <c r="P106" i="18"/>
  <c r="U106" i="18"/>
  <c r="L106" i="18"/>
  <c r="S142" i="14"/>
  <c r="F142" i="14"/>
  <c r="W142" i="14"/>
  <c r="N106" i="12"/>
  <c r="G106" i="12"/>
  <c r="AH106" i="12"/>
  <c r="X136" i="18"/>
  <c r="Y136" i="18"/>
  <c r="L136" i="18"/>
  <c r="AL124" i="16"/>
  <c r="W124" i="16"/>
  <c r="R124" i="16"/>
  <c r="X136" i="15"/>
  <c r="AK136" i="15"/>
  <c r="AG136" i="15"/>
  <c r="T136" i="15"/>
  <c r="AD118" i="16"/>
  <c r="Q118" i="16"/>
  <c r="AH118" i="16"/>
  <c r="N155" i="15"/>
  <c r="AJ155" i="15"/>
  <c r="AD155" i="15"/>
  <c r="F149" i="16"/>
  <c r="AI149" i="16"/>
  <c r="T179" i="14"/>
  <c r="E179" i="14"/>
  <c r="U179" i="14"/>
  <c r="M179" i="14"/>
  <c r="H149" i="16"/>
  <c r="AF149" i="16"/>
  <c r="AD179" i="14"/>
  <c r="AC149" i="16"/>
  <c r="F179" i="14"/>
  <c r="H179" i="14"/>
  <c r="AH149" i="16"/>
  <c r="R179" i="14"/>
  <c r="E149" i="16"/>
  <c r="AC179" i="14"/>
  <c r="G179" i="14"/>
  <c r="P149" i="16"/>
  <c r="AF179" i="14"/>
  <c r="O149" i="16"/>
  <c r="AH179" i="14"/>
  <c r="P179" i="14"/>
  <c r="Y179" i="14"/>
  <c r="W179" i="14"/>
  <c r="AB149" i="16"/>
  <c r="Q149" i="16"/>
  <c r="N179" i="14"/>
  <c r="O173" i="15"/>
  <c r="Z149" i="16"/>
  <c r="S179" i="14"/>
  <c r="W149" i="16"/>
  <c r="S149" i="16"/>
  <c r="AF124" i="14"/>
  <c r="W130" i="17"/>
  <c r="U130" i="17"/>
  <c r="K136" i="17"/>
  <c r="F130" i="16"/>
  <c r="AK124" i="14"/>
  <c r="Z124" i="14"/>
  <c r="L130" i="17"/>
  <c r="P136" i="17"/>
  <c r="AC124" i="14"/>
  <c r="AI130" i="17"/>
  <c r="X136" i="17"/>
  <c r="O130" i="17"/>
  <c r="H136" i="17"/>
  <c r="L149" i="16"/>
  <c r="J149" i="16"/>
  <c r="N149" i="16"/>
  <c r="V179" i="14"/>
  <c r="Q179" i="14"/>
  <c r="J179" i="14"/>
  <c r="X149" i="16"/>
  <c r="O179" i="14"/>
  <c r="I179" i="14"/>
  <c r="K149" i="16"/>
  <c r="AD149" i="16"/>
  <c r="R173" i="15"/>
  <c r="AD173" i="15"/>
  <c r="X173" i="15"/>
  <c r="G173" i="15"/>
  <c r="AI173" i="15"/>
  <c r="AK179" i="14"/>
  <c r="T149" i="16"/>
  <c r="AJ179" i="14"/>
  <c r="V149" i="16"/>
  <c r="R149" i="16"/>
  <c r="I149" i="16"/>
  <c r="AE179" i="14"/>
  <c r="AI179" i="14"/>
  <c r="L179" i="14"/>
  <c r="K179" i="14"/>
  <c r="T173" i="16"/>
  <c r="Z167" i="15"/>
  <c r="R167" i="15"/>
  <c r="U167" i="15"/>
  <c r="AH173" i="16"/>
  <c r="P173" i="16"/>
  <c r="AF167" i="15"/>
  <c r="AE173" i="16"/>
  <c r="X173" i="16"/>
  <c r="AL124" i="14"/>
  <c r="AB124" i="14"/>
  <c r="I118" i="13"/>
  <c r="AF130" i="17"/>
  <c r="E136" i="17"/>
  <c r="S136" i="17"/>
  <c r="O130" i="16"/>
  <c r="AG130" i="16"/>
  <c r="I106" i="17"/>
  <c r="S118" i="13"/>
  <c r="Z118" i="13"/>
  <c r="R130" i="17"/>
  <c r="I130" i="17"/>
  <c r="AG136" i="17"/>
  <c r="AK136" i="17"/>
  <c r="I130" i="16"/>
  <c r="H118" i="13"/>
  <c r="AJ118" i="13"/>
  <c r="M118" i="13"/>
  <c r="J118" i="13"/>
  <c r="AG124" i="14"/>
  <c r="AI124" i="14"/>
  <c r="AL130" i="17"/>
  <c r="G130" i="17"/>
  <c r="V130" i="17"/>
  <c r="F130" i="17"/>
  <c r="AH118" i="18"/>
  <c r="T118" i="18"/>
  <c r="AD118" i="18"/>
  <c r="S118" i="18"/>
  <c r="AH136" i="17"/>
  <c r="M136" i="17"/>
  <c r="N136" i="17"/>
  <c r="Z136" i="17"/>
  <c r="T136" i="17"/>
  <c r="AH130" i="16"/>
  <c r="AA130" i="16"/>
  <c r="P130" i="16"/>
  <c r="N130" i="16"/>
  <c r="F106" i="17"/>
  <c r="K106" i="17"/>
  <c r="AA106" i="17"/>
  <c r="Z106" i="17"/>
  <c r="AE106" i="17"/>
  <c r="H130" i="17"/>
  <c r="Q130" i="16"/>
  <c r="AL130" i="16"/>
  <c r="AK106" i="17"/>
  <c r="AI106" i="17"/>
  <c r="AL118" i="13"/>
  <c r="AH118" i="13"/>
  <c r="E130" i="17"/>
  <c r="V136" i="17"/>
  <c r="Z130" i="16"/>
  <c r="V118" i="13"/>
  <c r="W118" i="13"/>
  <c r="AC118" i="13"/>
  <c r="G118" i="13"/>
  <c r="J130" i="17"/>
  <c r="T130" i="17"/>
  <c r="AK130" i="17"/>
  <c r="Q130" i="17"/>
  <c r="G136" i="17"/>
  <c r="AA136" i="17"/>
  <c r="I136" i="17"/>
  <c r="AE136" i="17"/>
  <c r="Y130" i="16"/>
  <c r="S130" i="16"/>
  <c r="AJ130" i="16"/>
  <c r="G130" i="16"/>
  <c r="AD130" i="16"/>
  <c r="O106" i="17"/>
  <c r="W106" i="17"/>
  <c r="AF106" i="17"/>
  <c r="E106" i="17"/>
  <c r="Y130" i="17"/>
  <c r="AB130" i="17"/>
  <c r="Q136" i="17"/>
  <c r="J136" i="17"/>
  <c r="K130" i="16"/>
  <c r="AF130" i="16"/>
  <c r="AC106" i="17"/>
  <c r="AB106" i="17"/>
  <c r="G106" i="17"/>
  <c r="M106" i="17"/>
  <c r="AJ130" i="17"/>
  <c r="AG118" i="13"/>
  <c r="N130" i="17"/>
  <c r="F118" i="13"/>
  <c r="L118" i="13"/>
  <c r="AE118" i="13"/>
  <c r="AB118" i="13"/>
  <c r="AI118" i="13"/>
  <c r="AH124" i="14"/>
  <c r="I124" i="14"/>
  <c r="Y124" i="14"/>
  <c r="Z130" i="17"/>
  <c r="AE130" i="17"/>
  <c r="AD130" i="17"/>
  <c r="P130" i="17"/>
  <c r="AI118" i="18"/>
  <c r="AD136" i="17"/>
  <c r="AL136" i="17"/>
  <c r="R136" i="17"/>
  <c r="AB136" i="17"/>
  <c r="T130" i="16"/>
  <c r="X130" i="16"/>
  <c r="L130" i="16"/>
  <c r="U130" i="16"/>
  <c r="AD106" i="17"/>
  <c r="Y106" i="17"/>
  <c r="N106" i="17"/>
  <c r="AL106" i="17"/>
  <c r="AK118" i="13"/>
  <c r="U136" i="17"/>
  <c r="U106" i="17"/>
  <c r="AD118" i="13"/>
  <c r="AC130" i="16"/>
  <c r="Y118" i="13"/>
  <c r="U118" i="13"/>
  <c r="R118" i="13"/>
  <c r="T118" i="13"/>
  <c r="AA124" i="14"/>
  <c r="X124" i="14"/>
  <c r="E124" i="14"/>
  <c r="AH130" i="17"/>
  <c r="AC130" i="17"/>
  <c r="AA130" i="17"/>
  <c r="AC136" i="17"/>
  <c r="L136" i="17"/>
  <c r="O136" i="17"/>
  <c r="Y136" i="17"/>
  <c r="AB130" i="16"/>
  <c r="E130" i="16"/>
  <c r="AI130" i="16"/>
  <c r="AJ106" i="17"/>
  <c r="AH106" i="17"/>
  <c r="T106" i="17"/>
  <c r="R106" i="17"/>
  <c r="Z173" i="15"/>
  <c r="K155" i="15"/>
  <c r="M155" i="15"/>
  <c r="T155" i="15"/>
  <c r="AK155" i="15"/>
  <c r="AL173" i="15"/>
  <c r="F130" i="14"/>
  <c r="AJ124" i="15"/>
  <c r="V173" i="17"/>
  <c r="Y173" i="17"/>
  <c r="Y155" i="15"/>
  <c r="P155" i="15"/>
  <c r="Z155" i="15"/>
  <c r="AJ173" i="17"/>
  <c r="X173" i="17"/>
  <c r="AK173" i="17"/>
  <c r="W173" i="17"/>
  <c r="L124" i="12"/>
  <c r="AC130" i="13"/>
  <c r="T130" i="12"/>
  <c r="V173" i="15"/>
  <c r="AB173" i="15"/>
  <c r="L173" i="15"/>
  <c r="Z179" i="14"/>
  <c r="AL179" i="14"/>
  <c r="AA179" i="14"/>
  <c r="AA149" i="16"/>
  <c r="M149" i="16"/>
  <c r="X179" i="14"/>
  <c r="Z173" i="17"/>
  <c r="AC173" i="15"/>
  <c r="W173" i="15"/>
  <c r="AL149" i="16"/>
  <c r="P173" i="15"/>
  <c r="AJ149" i="16"/>
  <c r="AA173" i="15"/>
  <c r="AE173" i="15"/>
  <c r="AK173" i="15"/>
  <c r="AK149" i="16"/>
  <c r="AG149" i="16"/>
  <c r="E173" i="15"/>
  <c r="Y149" i="16"/>
  <c r="AE149" i="16"/>
  <c r="U173" i="15"/>
  <c r="AL155" i="18"/>
  <c r="F155" i="18"/>
  <c r="E161" i="13"/>
  <c r="R161" i="13"/>
  <c r="X179" i="13"/>
  <c r="W161" i="13"/>
  <c r="AC179" i="13"/>
  <c r="E179" i="13"/>
  <c r="Q161" i="13"/>
  <c r="G179" i="13"/>
  <c r="AF161" i="13"/>
  <c r="AJ179" i="13"/>
  <c r="Z179" i="13"/>
  <c r="AJ161" i="13"/>
  <c r="N161" i="13"/>
  <c r="AA161" i="13"/>
  <c r="AE161" i="13"/>
  <c r="AD179" i="13"/>
  <c r="V161" i="13"/>
  <c r="AK179" i="13"/>
  <c r="F179" i="13"/>
  <c r="K161" i="13"/>
  <c r="P124" i="14"/>
  <c r="AD124" i="14"/>
  <c r="F124" i="14"/>
  <c r="N124" i="14"/>
  <c r="M124" i="14"/>
  <c r="J124" i="14"/>
  <c r="Q124" i="14"/>
  <c r="AJ124" i="14"/>
  <c r="L124" i="14"/>
  <c r="H124" i="14"/>
  <c r="K124" i="14"/>
  <c r="AK155" i="18"/>
  <c r="AH155" i="18"/>
  <c r="P179" i="17"/>
  <c r="L130" i="12"/>
  <c r="W124" i="12"/>
  <c r="H130" i="13"/>
  <c r="AB112" i="16"/>
  <c r="J130" i="12"/>
  <c r="AE106" i="13"/>
  <c r="W142" i="18"/>
  <c r="M130" i="12"/>
  <c r="Y106" i="13"/>
  <c r="H142" i="18"/>
  <c r="AI106" i="13"/>
  <c r="AI142" i="18"/>
  <c r="S106" i="13"/>
  <c r="M142" i="18"/>
  <c r="P112" i="16"/>
  <c r="G124" i="12"/>
  <c r="AF130" i="13"/>
  <c r="AK112" i="16"/>
  <c r="AD124" i="12"/>
  <c r="K130" i="13"/>
  <c r="N112" i="16"/>
  <c r="Z155" i="18"/>
  <c r="AJ155" i="18"/>
  <c r="G179" i="17"/>
  <c r="O179" i="17"/>
  <c r="AK179" i="17"/>
  <c r="U179" i="17"/>
  <c r="AF179" i="17"/>
  <c r="N155" i="18"/>
  <c r="Y179" i="17"/>
  <c r="AJ179" i="17"/>
  <c r="R179" i="17"/>
  <c r="AB179" i="17"/>
  <c r="AB155" i="18"/>
  <c r="F179" i="17"/>
  <c r="P155" i="18"/>
  <c r="W179" i="17"/>
  <c r="S155" i="18"/>
  <c r="I155" i="18"/>
  <c r="AD179" i="17"/>
  <c r="AC155" i="18"/>
  <c r="L179" i="17"/>
  <c r="AI179" i="17"/>
  <c r="AA179" i="17"/>
  <c r="M179" i="17"/>
  <c r="Z179" i="17"/>
  <c r="X179" i="16"/>
  <c r="P179" i="16"/>
  <c r="V179" i="16"/>
  <c r="N173" i="12"/>
  <c r="X173" i="12"/>
  <c r="AE149" i="14"/>
  <c r="R173" i="16"/>
  <c r="S167" i="15"/>
  <c r="AE167" i="15"/>
  <c r="AL173" i="16"/>
  <c r="L173" i="16"/>
  <c r="AC167" i="15"/>
  <c r="F167" i="15"/>
  <c r="G173" i="16"/>
  <c r="U173" i="16"/>
  <c r="W173" i="16"/>
  <c r="AG173" i="16"/>
  <c r="V167" i="15"/>
  <c r="AB167" i="15"/>
  <c r="AJ167" i="15"/>
  <c r="AA167" i="15"/>
  <c r="N167" i="15"/>
  <c r="H173" i="16"/>
  <c r="AC173" i="16"/>
  <c r="H167" i="15"/>
  <c r="AB173" i="16"/>
  <c r="L167" i="15"/>
  <c r="V173" i="16"/>
  <c r="Z173" i="16"/>
  <c r="AG167" i="15"/>
  <c r="AA173" i="16"/>
  <c r="AD173" i="16"/>
  <c r="T167" i="15"/>
  <c r="AK173" i="16"/>
  <c r="S173" i="16"/>
  <c r="M173" i="16"/>
  <c r="I167" i="15"/>
  <c r="Y167" i="15"/>
  <c r="AH167" i="15"/>
  <c r="E173" i="16"/>
  <c r="N173" i="16"/>
  <c r="K173" i="16"/>
  <c r="J173" i="16"/>
  <c r="J167" i="15"/>
  <c r="AJ173" i="16"/>
  <c r="AD167" i="15"/>
  <c r="X167" i="15"/>
  <c r="AK167" i="15"/>
  <c r="M167" i="15"/>
  <c r="Q167" i="15"/>
  <c r="P167" i="15"/>
  <c r="W167" i="15"/>
  <c r="S149" i="14"/>
  <c r="Z179" i="16"/>
  <c r="AI161" i="13"/>
  <c r="X161" i="13"/>
  <c r="E179" i="16"/>
  <c r="AG161" i="13"/>
  <c r="AA179" i="13"/>
  <c r="W179" i="13"/>
  <c r="G161" i="13"/>
  <c r="R179" i="13"/>
  <c r="J179" i="13"/>
  <c r="J161" i="13"/>
  <c r="H161" i="13"/>
  <c r="AI179" i="16"/>
  <c r="AC161" i="13"/>
  <c r="AJ179" i="16"/>
  <c r="Y161" i="13"/>
  <c r="L179" i="13"/>
  <c r="K179" i="13"/>
  <c r="I179" i="13"/>
  <c r="AH179" i="13"/>
  <c r="P161" i="13"/>
  <c r="AE179" i="16"/>
  <c r="M179" i="16"/>
  <c r="N179" i="16"/>
  <c r="AL161" i="13"/>
  <c r="Y179" i="13"/>
  <c r="J179" i="16"/>
  <c r="F179" i="16"/>
  <c r="I179" i="16"/>
  <c r="T179" i="16"/>
  <c r="L179" i="16"/>
  <c r="T161" i="13"/>
  <c r="AK179" i="16"/>
  <c r="AA179" i="16"/>
  <c r="S179" i="13"/>
  <c r="T179" i="13"/>
  <c r="AL179" i="13"/>
  <c r="O179" i="13"/>
  <c r="M179" i="13"/>
  <c r="AC179" i="16"/>
  <c r="M161" i="13"/>
  <c r="G179" i="16"/>
  <c r="Q179" i="16"/>
  <c r="AB179" i="16"/>
  <c r="AD179" i="16"/>
  <c r="S161" i="13"/>
  <c r="S179" i="16"/>
  <c r="AF179" i="13"/>
  <c r="N179" i="13"/>
  <c r="O161" i="13"/>
  <c r="U179" i="13"/>
  <c r="AI179" i="13"/>
  <c r="W179" i="16"/>
  <c r="Y179" i="16"/>
  <c r="AL179" i="16"/>
  <c r="O179" i="16"/>
  <c r="Z161" i="13"/>
  <c r="AB161" i="13"/>
  <c r="AH161" i="13"/>
  <c r="AE179" i="13"/>
  <c r="AD161" i="13"/>
  <c r="V179" i="13"/>
  <c r="H179" i="13"/>
  <c r="AG179" i="13"/>
  <c r="I161" i="13"/>
  <c r="AB179" i="13"/>
  <c r="J185" i="14"/>
  <c r="K173" i="12"/>
  <c r="AB161" i="12"/>
  <c r="J161" i="12"/>
  <c r="I161" i="12"/>
  <c r="AA161" i="12"/>
  <c r="AC161" i="12"/>
  <c r="X161" i="12"/>
  <c r="AE167" i="13"/>
  <c r="AD167" i="13"/>
  <c r="P161" i="12"/>
  <c r="V161" i="12"/>
  <c r="AD161" i="12"/>
  <c r="N161" i="12"/>
  <c r="K161" i="12"/>
  <c r="AE161" i="12"/>
  <c r="AF161" i="12"/>
  <c r="S161" i="12"/>
  <c r="F167" i="13"/>
  <c r="T161" i="12"/>
  <c r="AG161" i="12"/>
  <c r="L161" i="12"/>
  <c r="R161" i="12"/>
  <c r="M161" i="12"/>
  <c r="F161" i="12"/>
  <c r="M167" i="13"/>
  <c r="E167" i="13"/>
  <c r="H161" i="12"/>
  <c r="Q161" i="12"/>
  <c r="U161" i="12"/>
  <c r="W161" i="12"/>
  <c r="G167" i="13"/>
  <c r="AL161" i="12"/>
  <c r="G161" i="12"/>
  <c r="AI161" i="12"/>
  <c r="AK161" i="12"/>
  <c r="AH161" i="12"/>
  <c r="O161" i="12"/>
  <c r="Y161" i="12"/>
  <c r="E161" i="12"/>
  <c r="Z161" i="12"/>
  <c r="AF161" i="16"/>
  <c r="Q161" i="16"/>
  <c r="K161" i="16"/>
  <c r="R161" i="16"/>
  <c r="X161" i="16"/>
  <c r="H155" i="18"/>
  <c r="AE155" i="18"/>
  <c r="M155" i="18"/>
  <c r="E161" i="16"/>
  <c r="J161" i="16"/>
  <c r="O161" i="16"/>
  <c r="V161" i="16"/>
  <c r="I161" i="16"/>
  <c r="L155" i="18"/>
  <c r="Y155" i="18"/>
  <c r="T155" i="18"/>
  <c r="Q155" i="18"/>
  <c r="N179" i="17"/>
  <c r="H179" i="17"/>
  <c r="J155" i="18"/>
  <c r="J179" i="17"/>
  <c r="V179" i="17"/>
  <c r="AD161" i="16"/>
  <c r="W161" i="16"/>
  <c r="AE161" i="16"/>
  <c r="AA161" i="16"/>
  <c r="T161" i="16"/>
  <c r="AG161" i="16"/>
  <c r="M161" i="16"/>
  <c r="AK161" i="16"/>
  <c r="K155" i="18"/>
  <c r="G155" i="18"/>
  <c r="R155" i="18"/>
  <c r="AI161" i="16"/>
  <c r="Y161" i="16"/>
  <c r="F161" i="16"/>
  <c r="H161" i="16"/>
  <c r="U161" i="16"/>
  <c r="W155" i="18"/>
  <c r="Z161" i="16"/>
  <c r="G161" i="16"/>
  <c r="AL161" i="16"/>
  <c r="AC161" i="16"/>
  <c r="AH161" i="16"/>
  <c r="AJ161" i="16"/>
  <c r="X155" i="18"/>
  <c r="AD155" i="18"/>
  <c r="V155" i="18"/>
  <c r="AI155" i="18"/>
  <c r="AE179" i="17"/>
  <c r="K179" i="17"/>
  <c r="L161" i="16"/>
  <c r="N161" i="16"/>
  <c r="P161" i="16"/>
  <c r="AF155" i="18"/>
  <c r="O155" i="18"/>
  <c r="E155" i="18"/>
  <c r="AA155" i="18"/>
  <c r="U155" i="18"/>
  <c r="I179" i="17"/>
  <c r="Q179" i="17"/>
  <c r="AG179" i="17"/>
  <c r="T179" i="17"/>
  <c r="E130" i="12"/>
  <c r="E118" i="14"/>
  <c r="P118" i="14"/>
  <c r="X118" i="14"/>
  <c r="AI118" i="14"/>
  <c r="AB118" i="14"/>
  <c r="Z106" i="16"/>
  <c r="AA106" i="16"/>
  <c r="M106" i="16"/>
  <c r="AK106" i="16"/>
  <c r="Z130" i="12"/>
  <c r="AF130" i="12"/>
  <c r="AD130" i="12"/>
  <c r="P130" i="12"/>
  <c r="G106" i="13"/>
  <c r="V106" i="13"/>
  <c r="AC106" i="13"/>
  <c r="U106" i="13"/>
  <c r="J142" i="18"/>
  <c r="U142" i="18"/>
  <c r="AB142" i="18"/>
  <c r="AC142" i="18"/>
  <c r="AB124" i="12"/>
  <c r="AF124" i="12"/>
  <c r="Y124" i="12"/>
  <c r="AJ124" i="12"/>
  <c r="AD130" i="13"/>
  <c r="AK130" i="13"/>
  <c r="G130" i="13"/>
  <c r="I130" i="13"/>
  <c r="Z112" i="16"/>
  <c r="AJ112" i="16"/>
  <c r="AD112" i="16"/>
  <c r="T112" i="16"/>
  <c r="AA112" i="16"/>
  <c r="AK118" i="14"/>
  <c r="Y118" i="14"/>
  <c r="W118" i="14"/>
  <c r="U118" i="14"/>
  <c r="R106" i="16"/>
  <c r="AI106" i="16"/>
  <c r="AF106" i="16"/>
  <c r="AD106" i="16"/>
  <c r="Q106" i="16"/>
  <c r="R130" i="12"/>
  <c r="G130" i="12"/>
  <c r="AE130" i="12"/>
  <c r="AK130" i="12"/>
  <c r="W106" i="13"/>
  <c r="X106" i="13"/>
  <c r="K106" i="13"/>
  <c r="M106" i="13"/>
  <c r="Q142" i="18"/>
  <c r="AF142" i="18"/>
  <c r="N142" i="18"/>
  <c r="T142" i="18"/>
  <c r="AJ142" i="18"/>
  <c r="R124" i="12"/>
  <c r="AA124" i="12"/>
  <c r="V124" i="12"/>
  <c r="M124" i="12"/>
  <c r="Y130" i="13"/>
  <c r="P130" i="13"/>
  <c r="Q130" i="13"/>
  <c r="N130" i="13"/>
  <c r="W130" i="13"/>
  <c r="G112" i="16"/>
  <c r="AF112" i="16"/>
  <c r="K112" i="16"/>
  <c r="O112" i="16"/>
  <c r="AG118" i="14"/>
  <c r="J118" i="14"/>
  <c r="K118" i="14"/>
  <c r="AC118" i="14"/>
  <c r="X106" i="16"/>
  <c r="AG106" i="16"/>
  <c r="AE106" i="16"/>
  <c r="U106" i="16"/>
  <c r="O106" i="16"/>
  <c r="AG130" i="12"/>
  <c r="F130" i="12"/>
  <c r="S130" i="12"/>
  <c r="Y130" i="12"/>
  <c r="E106" i="13"/>
  <c r="L106" i="13"/>
  <c r="R106" i="13"/>
  <c r="AB106" i="13"/>
  <c r="R142" i="18"/>
  <c r="AG142" i="18"/>
  <c r="AA142" i="18"/>
  <c r="I142" i="18"/>
  <c r="K142" i="18"/>
  <c r="Q124" i="12"/>
  <c r="AC124" i="12"/>
  <c r="E124" i="12"/>
  <c r="AG124" i="12"/>
  <c r="J130" i="13"/>
  <c r="U130" i="13"/>
  <c r="X130" i="13"/>
  <c r="AH130" i="13"/>
  <c r="AE130" i="13"/>
  <c r="L112" i="16"/>
  <c r="E112" i="16"/>
  <c r="AE112" i="16"/>
  <c r="I112" i="16"/>
  <c r="R118" i="14"/>
  <c r="I118" i="14"/>
  <c r="K106" i="16"/>
  <c r="E106" i="16"/>
  <c r="I106" i="16"/>
  <c r="AC130" i="12"/>
  <c r="AH130" i="12"/>
  <c r="Q130" i="12"/>
  <c r="O106" i="13"/>
  <c r="AD106" i="13"/>
  <c r="H106" i="13"/>
  <c r="AJ106" i="13"/>
  <c r="J106" i="13"/>
  <c r="AE142" i="18"/>
  <c r="P142" i="18"/>
  <c r="AK142" i="18"/>
  <c r="AD142" i="18"/>
  <c r="U124" i="12"/>
  <c r="H124" i="12"/>
  <c r="K124" i="12"/>
  <c r="AK124" i="12"/>
  <c r="I124" i="12"/>
  <c r="L130" i="13"/>
  <c r="Z130" i="13"/>
  <c r="V130" i="13"/>
  <c r="AA130" i="13"/>
  <c r="R112" i="16"/>
  <c r="V112" i="16"/>
  <c r="U112" i="16"/>
  <c r="AH112" i="16"/>
  <c r="Z118" i="14"/>
  <c r="N118" i="14"/>
  <c r="AH118" i="14"/>
  <c r="L106" i="16"/>
  <c r="P106" i="16"/>
  <c r="H106" i="16"/>
  <c r="AB106" i="16"/>
  <c r="V130" i="12"/>
  <c r="N130" i="12"/>
  <c r="W130" i="12"/>
  <c r="U130" i="12"/>
  <c r="X130" i="12"/>
  <c r="Z106" i="13"/>
  <c r="AL106" i="13"/>
  <c r="P106" i="13"/>
  <c r="F106" i="13"/>
  <c r="I106" i="13"/>
  <c r="AL142" i="18"/>
  <c r="X142" i="18"/>
  <c r="G142" i="18"/>
  <c r="Z142" i="18"/>
  <c r="P124" i="12"/>
  <c r="AH124" i="12"/>
  <c r="J124" i="12"/>
  <c r="O124" i="12"/>
  <c r="AI124" i="12"/>
  <c r="T130" i="13"/>
  <c r="S130" i="13"/>
  <c r="AJ130" i="13"/>
  <c r="M130" i="13"/>
  <c r="Q112" i="16"/>
  <c r="S112" i="16"/>
  <c r="AI112" i="16"/>
  <c r="M112" i="16"/>
  <c r="V118" i="14"/>
  <c r="AE118" i="14"/>
  <c r="G118" i="14"/>
  <c r="M118" i="14"/>
  <c r="V106" i="16"/>
  <c r="AH106" i="16"/>
  <c r="T106" i="16"/>
  <c r="G106" i="16"/>
  <c r="AB130" i="12"/>
  <c r="AJ130" i="12"/>
  <c r="O130" i="12"/>
  <c r="I130" i="12"/>
  <c r="AH106" i="13"/>
  <c r="Q106" i="13"/>
  <c r="AK106" i="13"/>
  <c r="AA106" i="13"/>
  <c r="S142" i="18"/>
  <c r="Y142" i="18"/>
  <c r="F142" i="18"/>
  <c r="AH142" i="18"/>
  <c r="F124" i="12"/>
  <c r="N124" i="12"/>
  <c r="T124" i="12"/>
  <c r="X124" i="12"/>
  <c r="AI130" i="13"/>
  <c r="AB130" i="13"/>
  <c r="AG130" i="13"/>
  <c r="AL130" i="13"/>
  <c r="X112" i="16"/>
  <c r="AC112" i="16"/>
  <c r="AL112" i="16"/>
  <c r="W112" i="16"/>
  <c r="S118" i="14"/>
  <c r="F118" i="14"/>
  <c r="Q118" i="14"/>
  <c r="W106" i="16"/>
  <c r="K130" i="12"/>
  <c r="AJ118" i="14"/>
  <c r="L118" i="14"/>
  <c r="AA118" i="14"/>
  <c r="AD118" i="14"/>
  <c r="AL106" i="16"/>
  <c r="S106" i="16"/>
  <c r="N106" i="16"/>
  <c r="AI130" i="12"/>
  <c r="AA130" i="12"/>
  <c r="AL130" i="12"/>
  <c r="AF106" i="13"/>
  <c r="T106" i="13"/>
  <c r="AG106" i="13"/>
  <c r="O142" i="18"/>
  <c r="V142" i="18"/>
  <c r="L142" i="18"/>
  <c r="AE124" i="12"/>
  <c r="S124" i="12"/>
  <c r="Z124" i="12"/>
  <c r="F130" i="13"/>
  <c r="E130" i="13"/>
  <c r="R130" i="13"/>
  <c r="J112" i="16"/>
  <c r="AG112" i="16"/>
  <c r="F112" i="16"/>
  <c r="H112" i="16"/>
  <c r="AA185" i="14"/>
  <c r="AF185" i="14"/>
  <c r="AB161" i="16"/>
  <c r="Q161" i="18"/>
  <c r="G185" i="14"/>
  <c r="K161" i="18"/>
  <c r="N161" i="18"/>
  <c r="Y167" i="14"/>
  <c r="M161" i="18"/>
  <c r="AI167" i="14"/>
  <c r="AB185" i="14"/>
  <c r="X161" i="18"/>
  <c r="AH161" i="18"/>
  <c r="E161" i="18"/>
  <c r="T185" i="14"/>
  <c r="AC185" i="14"/>
  <c r="AE161" i="18"/>
  <c r="K185" i="14"/>
  <c r="AD161" i="18"/>
  <c r="G161" i="18"/>
  <c r="J167" i="17"/>
  <c r="U167" i="17"/>
  <c r="E167" i="17"/>
  <c r="AI167" i="17"/>
  <c r="F167" i="17"/>
  <c r="K167" i="17"/>
  <c r="I167" i="17"/>
  <c r="T167" i="17"/>
  <c r="AF167" i="17"/>
  <c r="Q167" i="17"/>
  <c r="W167" i="17"/>
  <c r="AK167" i="17"/>
  <c r="AC167" i="17"/>
  <c r="AD167" i="17"/>
  <c r="R167" i="17"/>
  <c r="AE167" i="17"/>
  <c r="O167" i="17"/>
  <c r="P167" i="17"/>
  <c r="H167" i="17"/>
  <c r="Y167" i="17"/>
  <c r="N167" i="17"/>
  <c r="V167" i="17"/>
  <c r="S167" i="17"/>
  <c r="AH167" i="17"/>
  <c r="X167" i="17"/>
  <c r="AJ167" i="17"/>
  <c r="M167" i="17"/>
  <c r="L167" i="17"/>
  <c r="AL167" i="17"/>
  <c r="AG167" i="17"/>
  <c r="Z167" i="17"/>
  <c r="AA167" i="17"/>
  <c r="G167" i="17"/>
  <c r="Z167" i="13"/>
  <c r="Y167" i="13"/>
  <c r="AC167" i="13"/>
  <c r="AB167" i="13"/>
  <c r="AF167" i="13"/>
  <c r="Q167" i="13"/>
  <c r="AA167" i="13"/>
  <c r="K167" i="13"/>
  <c r="AL167" i="13"/>
  <c r="L167" i="13"/>
  <c r="H167" i="13"/>
  <c r="I167" i="13"/>
  <c r="J167" i="13"/>
  <c r="AH167" i="13"/>
  <c r="U167" i="13"/>
  <c r="W167" i="13"/>
  <c r="AJ167" i="13"/>
  <c r="AJ167" i="14"/>
  <c r="AK167" i="13"/>
  <c r="AI167" i="13"/>
  <c r="O167" i="13"/>
  <c r="S167" i="13"/>
  <c r="L185" i="12"/>
  <c r="V167" i="13"/>
  <c r="P167" i="13"/>
  <c r="X167" i="13"/>
  <c r="AG167" i="13"/>
  <c r="R167" i="13"/>
  <c r="T167" i="13"/>
  <c r="AG167" i="14"/>
  <c r="AC149" i="14"/>
  <c r="N167" i="14"/>
  <c r="M167" i="14"/>
  <c r="J161" i="18"/>
  <c r="W161" i="18"/>
  <c r="L161" i="18"/>
  <c r="P161" i="18"/>
  <c r="AB161" i="18"/>
  <c r="AJ161" i="18"/>
  <c r="H161" i="18"/>
  <c r="F173" i="15"/>
  <c r="Q167" i="14"/>
  <c r="AD167" i="14"/>
  <c r="S185" i="13"/>
  <c r="F149" i="12"/>
  <c r="J185" i="12"/>
  <c r="H185" i="12"/>
  <c r="X185" i="12"/>
  <c r="AH185" i="13"/>
  <c r="AB149" i="12"/>
  <c r="Y185" i="12"/>
  <c r="S185" i="12"/>
  <c r="I185" i="12"/>
  <c r="G149" i="12"/>
  <c r="W185" i="12"/>
  <c r="AA149" i="12"/>
  <c r="AA185" i="12"/>
  <c r="M185" i="12"/>
  <c r="Q185" i="12"/>
  <c r="U185" i="13"/>
  <c r="G185" i="13"/>
  <c r="AG149" i="14"/>
  <c r="Q173" i="15"/>
  <c r="AH173" i="15"/>
  <c r="M173" i="15"/>
  <c r="T173" i="15"/>
  <c r="J173" i="15"/>
  <c r="Y173" i="15"/>
  <c r="P149" i="14"/>
  <c r="H149" i="14"/>
  <c r="N149" i="14"/>
  <c r="AG173" i="15"/>
  <c r="H173" i="15"/>
  <c r="AF173" i="15"/>
  <c r="F149" i="14"/>
  <c r="AD149" i="14"/>
  <c r="AA149" i="14"/>
  <c r="K149" i="14"/>
  <c r="S173" i="15"/>
  <c r="AJ173" i="15"/>
  <c r="K173" i="15"/>
  <c r="AH149" i="14"/>
  <c r="N173" i="15"/>
  <c r="U167" i="14"/>
  <c r="AL155" i="15"/>
  <c r="AB155" i="15"/>
  <c r="AA155" i="15"/>
  <c r="I173" i="17"/>
  <c r="P173" i="17"/>
  <c r="H173" i="17"/>
  <c r="L173" i="12"/>
  <c r="AF149" i="14"/>
  <c r="Q149" i="14"/>
  <c r="AK149" i="14"/>
  <c r="V149" i="14"/>
  <c r="G118" i="12"/>
  <c r="Q124" i="15"/>
  <c r="AC130" i="14"/>
  <c r="U118" i="15"/>
  <c r="N142" i="15"/>
  <c r="J130" i="14"/>
  <c r="Z142" i="15"/>
  <c r="X118" i="15"/>
  <c r="AE118" i="12"/>
  <c r="K118" i="15"/>
  <c r="AA142" i="13"/>
  <c r="AD142" i="15"/>
  <c r="J124" i="17"/>
  <c r="AJ118" i="12"/>
  <c r="J118" i="15"/>
  <c r="AD142" i="13"/>
  <c r="V142" i="15"/>
  <c r="Y124" i="17"/>
  <c r="AF118" i="12"/>
  <c r="AI142" i="13"/>
  <c r="AA124" i="17"/>
  <c r="I124" i="15"/>
  <c r="K130" i="14"/>
  <c r="Y142" i="13"/>
  <c r="U124" i="17"/>
  <c r="AF124" i="15"/>
  <c r="AG130" i="14"/>
  <c r="S167" i="14"/>
  <c r="K167" i="14"/>
  <c r="J149" i="14"/>
  <c r="AJ149" i="14"/>
  <c r="L167" i="14"/>
  <c r="AF167" i="14"/>
  <c r="R161" i="18"/>
  <c r="J167" i="14"/>
  <c r="AD173" i="12"/>
  <c r="AF161" i="18"/>
  <c r="AI149" i="14"/>
  <c r="O149" i="14"/>
  <c r="X167" i="14"/>
  <c r="Z167" i="14"/>
  <c r="S173" i="12"/>
  <c r="R149" i="14"/>
  <c r="Y149" i="14"/>
  <c r="G167" i="14"/>
  <c r="J173" i="18"/>
  <c r="R167" i="14"/>
  <c r="Z185" i="12"/>
  <c r="AC185" i="12"/>
  <c r="AK185" i="12"/>
  <c r="N185" i="13"/>
  <c r="AG185" i="13"/>
  <c r="W185" i="13"/>
  <c r="Z149" i="12"/>
  <c r="S149" i="12"/>
  <c r="Y149" i="12"/>
  <c r="AE149" i="12"/>
  <c r="AA185" i="13"/>
  <c r="AK185" i="13"/>
  <c r="AB185" i="13"/>
  <c r="I149" i="12"/>
  <c r="AL185" i="12"/>
  <c r="AI185" i="12"/>
  <c r="AL185" i="13"/>
  <c r="K185" i="13"/>
  <c r="AI149" i="12"/>
  <c r="M149" i="12"/>
  <c r="V149" i="12"/>
  <c r="L149" i="12"/>
  <c r="I185" i="13"/>
  <c r="E149" i="12"/>
  <c r="T149" i="12"/>
  <c r="K149" i="12"/>
  <c r="P185" i="12"/>
  <c r="T185" i="12"/>
  <c r="K185" i="12"/>
  <c r="F185" i="12"/>
  <c r="V185" i="12"/>
  <c r="L185" i="13"/>
  <c r="AD185" i="13"/>
  <c r="M185" i="13"/>
  <c r="H149" i="12"/>
  <c r="O149" i="12"/>
  <c r="AF149" i="12"/>
  <c r="R149" i="12"/>
  <c r="R185" i="12"/>
  <c r="E185" i="12"/>
  <c r="AJ185" i="12"/>
  <c r="AF185" i="12"/>
  <c r="U185" i="12"/>
  <c r="P185" i="13"/>
  <c r="O185" i="13"/>
  <c r="E185" i="13"/>
  <c r="AI185" i="13"/>
  <c r="J185" i="13"/>
  <c r="AJ185" i="13"/>
  <c r="Q149" i="12"/>
  <c r="AJ149" i="12"/>
  <c r="AH149" i="12"/>
  <c r="P149" i="12"/>
  <c r="J149" i="12"/>
  <c r="G185" i="12"/>
  <c r="AB185" i="12"/>
  <c r="N185" i="12"/>
  <c r="AD185" i="12"/>
  <c r="X185" i="13"/>
  <c r="Z185" i="13"/>
  <c r="Y185" i="13"/>
  <c r="F185" i="13"/>
  <c r="T185" i="13"/>
  <c r="AL149" i="12"/>
  <c r="AD149" i="12"/>
  <c r="N149" i="12"/>
  <c r="U149" i="12"/>
  <c r="AG185" i="12"/>
  <c r="O185" i="12"/>
  <c r="AH185" i="12"/>
  <c r="R185" i="13"/>
  <c r="AE185" i="13"/>
  <c r="H185" i="13"/>
  <c r="Q185" i="13"/>
  <c r="V185" i="13"/>
  <c r="AC185" i="13"/>
  <c r="AG149" i="12"/>
  <c r="AC149" i="12"/>
  <c r="AK149" i="12"/>
  <c r="X149" i="12"/>
  <c r="AA161" i="18"/>
  <c r="O161" i="18"/>
  <c r="W149" i="14"/>
  <c r="F161" i="18"/>
  <c r="T173" i="18"/>
  <c r="Q155" i="15"/>
  <c r="O155" i="15"/>
  <c r="AC155" i="15"/>
  <c r="AE173" i="12"/>
  <c r="S173" i="17"/>
  <c r="AH155" i="15"/>
  <c r="AI173" i="17"/>
  <c r="AB173" i="17"/>
  <c r="AG173" i="17"/>
  <c r="AI173" i="12"/>
  <c r="AC173" i="12"/>
  <c r="J173" i="17"/>
  <c r="N173" i="17"/>
  <c r="E173" i="12"/>
  <c r="U173" i="12"/>
  <c r="M173" i="12"/>
  <c r="G173" i="17"/>
  <c r="R173" i="12"/>
  <c r="G173" i="12"/>
  <c r="F173" i="17"/>
  <c r="E173" i="17"/>
  <c r="AA173" i="17"/>
  <c r="H173" i="12"/>
  <c r="Z173" i="12"/>
  <c r="Q173" i="17"/>
  <c r="P173" i="12"/>
  <c r="Y173" i="12"/>
  <c r="AF173" i="17"/>
  <c r="AD173" i="17"/>
  <c r="AA173" i="12"/>
  <c r="AI155" i="15"/>
  <c r="G155" i="15"/>
  <c r="U155" i="15"/>
  <c r="S155" i="15"/>
  <c r="AG173" i="12"/>
  <c r="AL173" i="12"/>
  <c r="AH173" i="17"/>
  <c r="W173" i="12"/>
  <c r="L173" i="17"/>
  <c r="O173" i="17"/>
  <c r="T173" i="17"/>
  <c r="V173" i="12"/>
  <c r="AJ173" i="12"/>
  <c r="I173" i="12"/>
  <c r="R173" i="17"/>
  <c r="U173" i="17"/>
  <c r="AL173" i="17"/>
  <c r="K173" i="17"/>
  <c r="AB173" i="12"/>
  <c r="AE173" i="17"/>
  <c r="AC173" i="17"/>
  <c r="AC173" i="18"/>
  <c r="Z149" i="14"/>
  <c r="AC161" i="18"/>
  <c r="AL161" i="18"/>
  <c r="U161" i="18"/>
  <c r="V173" i="18"/>
  <c r="J173" i="12"/>
  <c r="V167" i="14"/>
  <c r="AB149" i="14"/>
  <c r="AF185" i="18"/>
  <c r="K161" i="14"/>
  <c r="Q161" i="14"/>
  <c r="AG161" i="18"/>
  <c r="Y161" i="18"/>
  <c r="AK161" i="18"/>
  <c r="F179" i="18"/>
  <c r="L185" i="18"/>
  <c r="AD179" i="18"/>
  <c r="W179" i="15"/>
  <c r="S185" i="18"/>
  <c r="L179" i="15"/>
  <c r="O179" i="15"/>
  <c r="O185" i="16"/>
  <c r="W173" i="18"/>
  <c r="T161" i="18"/>
  <c r="S161" i="18"/>
  <c r="L149" i="14"/>
  <c r="M149" i="14"/>
  <c r="E149" i="14"/>
  <c r="X149" i="14"/>
  <c r="AL149" i="14"/>
  <c r="M173" i="18"/>
  <c r="X173" i="18"/>
  <c r="E173" i="18"/>
  <c r="F185" i="16"/>
  <c r="AI161" i="18"/>
  <c r="T149" i="14"/>
  <c r="AA173" i="18"/>
  <c r="AH167" i="14"/>
  <c r="AF173" i="18"/>
  <c r="F173" i="18"/>
  <c r="AI173" i="18"/>
  <c r="N173" i="18"/>
  <c r="F167" i="14"/>
  <c r="AL167" i="14"/>
  <c r="O167" i="14"/>
  <c r="O173" i="18"/>
  <c r="L173" i="18"/>
  <c r="AG179" i="16"/>
  <c r="O179" i="12"/>
  <c r="Y173" i="18"/>
  <c r="AK161" i="13"/>
  <c r="K179" i="16"/>
  <c r="F161" i="13"/>
  <c r="U161" i="13"/>
  <c r="Q185" i="14"/>
  <c r="AL185" i="14"/>
  <c r="Y185" i="14"/>
  <c r="I167" i="14"/>
  <c r="T167" i="14"/>
  <c r="P185" i="14"/>
  <c r="AJ185" i="14"/>
  <c r="N185" i="14"/>
  <c r="AK185" i="14"/>
  <c r="L185" i="14"/>
  <c r="Z185" i="14"/>
  <c r="F185" i="14"/>
  <c r="AD185" i="14"/>
  <c r="X185" i="14"/>
  <c r="S185" i="14"/>
  <c r="AG185" i="14"/>
  <c r="V185" i="14"/>
  <c r="M185" i="14"/>
  <c r="AI185" i="14"/>
  <c r="W185" i="14"/>
  <c r="AF179" i="16"/>
  <c r="AH179" i="16"/>
  <c r="R179" i="16"/>
  <c r="H179" i="16"/>
  <c r="H185" i="14"/>
  <c r="AH185" i="14"/>
  <c r="O185" i="14"/>
  <c r="I185" i="14"/>
  <c r="U185" i="14"/>
  <c r="AE185" i="14"/>
  <c r="E185" i="14"/>
  <c r="Z173" i="18"/>
  <c r="AE173" i="18"/>
  <c r="AB179" i="18"/>
  <c r="AF173" i="12"/>
  <c r="AH173" i="18"/>
  <c r="Q173" i="12"/>
  <c r="F173" i="12"/>
  <c r="J185" i="16"/>
  <c r="Q185" i="16"/>
  <c r="R173" i="18"/>
  <c r="AB167" i="14"/>
  <c r="H167" i="14"/>
  <c r="AA167" i="14"/>
  <c r="E167" i="14"/>
  <c r="W167" i="14"/>
  <c r="K173" i="18"/>
  <c r="AE167" i="14"/>
  <c r="U173" i="18"/>
  <c r="AG173" i="18"/>
  <c r="AJ173" i="18"/>
  <c r="AG185" i="16"/>
  <c r="Y179" i="12"/>
  <c r="G173" i="18"/>
  <c r="P173" i="18"/>
  <c r="U179" i="18"/>
  <c r="S173" i="18"/>
  <c r="T179" i="15"/>
  <c r="T185" i="18"/>
  <c r="AG161" i="14"/>
  <c r="L161" i="14"/>
  <c r="H185" i="18"/>
  <c r="R161" i="14"/>
  <c r="U185" i="18"/>
  <c r="G161" i="14"/>
  <c r="K185" i="18"/>
  <c r="S161" i="14"/>
  <c r="W179" i="18"/>
  <c r="Z179" i="15"/>
  <c r="P161" i="14"/>
  <c r="N179" i="15"/>
  <c r="AA179" i="18"/>
  <c r="AI179" i="18"/>
  <c r="AF179" i="18"/>
  <c r="AJ179" i="18"/>
  <c r="AL185" i="18"/>
  <c r="AB161" i="14"/>
  <c r="J179" i="12"/>
  <c r="U161" i="14"/>
  <c r="N179" i="12"/>
  <c r="W161" i="14"/>
  <c r="Y185" i="18"/>
  <c r="F185" i="18"/>
  <c r="N161" i="14"/>
  <c r="O185" i="18"/>
  <c r="S179" i="15"/>
  <c r="AK185" i="18"/>
  <c r="V179" i="15"/>
  <c r="Z185" i="18"/>
  <c r="M179" i="15"/>
  <c r="AE179" i="15"/>
  <c r="E179" i="15"/>
  <c r="AI185" i="18"/>
  <c r="Y179" i="18"/>
  <c r="AL179" i="18"/>
  <c r="P179" i="18"/>
  <c r="AC179" i="18"/>
  <c r="V179" i="18"/>
  <c r="O179" i="18"/>
  <c r="X185" i="18"/>
  <c r="Q185" i="18"/>
  <c r="AH161" i="14"/>
  <c r="AH179" i="12"/>
  <c r="J161" i="14"/>
  <c r="AK179" i="12"/>
  <c r="AE179" i="12"/>
  <c r="J179" i="15"/>
  <c r="Z161" i="14"/>
  <c r="Y179" i="15"/>
  <c r="AI179" i="15"/>
  <c r="I161" i="14"/>
  <c r="Q179" i="18"/>
  <c r="K179" i="18"/>
  <c r="M179" i="18"/>
  <c r="J167" i="18"/>
  <c r="AC167" i="18"/>
  <c r="AB179" i="12"/>
  <c r="Y161" i="14"/>
  <c r="I185" i="18"/>
  <c r="N185" i="18"/>
  <c r="M161" i="14"/>
  <c r="M185" i="18"/>
  <c r="AD185" i="18"/>
  <c r="I179" i="12"/>
  <c r="AA161" i="14"/>
  <c r="AD179" i="15"/>
  <c r="AE161" i="14"/>
  <c r="AJ185" i="18"/>
  <c r="AK161" i="14"/>
  <c r="F179" i="15"/>
  <c r="AB185" i="18"/>
  <c r="E179" i="18"/>
  <c r="X179" i="18"/>
  <c r="AE179" i="18"/>
  <c r="U179" i="15"/>
  <c r="AC185" i="18"/>
  <c r="X161" i="14"/>
  <c r="R179" i="15"/>
  <c r="W185" i="18"/>
  <c r="AF161" i="14"/>
  <c r="J185" i="18"/>
  <c r="AA179" i="15"/>
  <c r="AJ179" i="12"/>
  <c r="X179" i="12"/>
  <c r="V161" i="14"/>
  <c r="M179" i="12"/>
  <c r="H161" i="14"/>
  <c r="AA185" i="18"/>
  <c r="AH179" i="15"/>
  <c r="AL179" i="15"/>
  <c r="AH185" i="18"/>
  <c r="F161" i="14"/>
  <c r="P185" i="18"/>
  <c r="AB179" i="15"/>
  <c r="AI179" i="12"/>
  <c r="AL161" i="14"/>
  <c r="G179" i="15"/>
  <c r="K179" i="12"/>
  <c r="AI161" i="14"/>
  <c r="AC179" i="15"/>
  <c r="AJ179" i="15"/>
  <c r="U179" i="12"/>
  <c r="AC161" i="14"/>
  <c r="X179" i="15"/>
  <c r="K179" i="15"/>
  <c r="H179" i="15"/>
  <c r="I179" i="18"/>
  <c r="AF179" i="15"/>
  <c r="E185" i="18"/>
  <c r="AD161" i="14"/>
  <c r="AE185" i="18"/>
  <c r="AL179" i="12"/>
  <c r="O161" i="14"/>
  <c r="P179" i="15"/>
  <c r="G185" i="18"/>
  <c r="AJ161" i="14"/>
  <c r="R185" i="18"/>
  <c r="AG179" i="15"/>
  <c r="R179" i="12"/>
  <c r="T161" i="14"/>
  <c r="AK179" i="15"/>
  <c r="Q179" i="15"/>
  <c r="AG185" i="18"/>
  <c r="J179" i="18"/>
  <c r="R179" i="18"/>
  <c r="Z179" i="18"/>
  <c r="H179" i="18"/>
  <c r="T179" i="18"/>
  <c r="AF185" i="16"/>
  <c r="AC167" i="14"/>
  <c r="M155" i="17"/>
  <c r="I155" i="17"/>
  <c r="I173" i="18"/>
  <c r="Q173" i="18"/>
  <c r="AA179" i="12"/>
  <c r="AC179" i="12"/>
  <c r="L179" i="18"/>
  <c r="I161" i="18"/>
  <c r="Z161" i="18"/>
  <c r="N179" i="18"/>
  <c r="G167" i="18"/>
  <c r="R185" i="16"/>
  <c r="AC185" i="16"/>
  <c r="G149" i="14"/>
  <c r="U149" i="14"/>
  <c r="E149" i="15"/>
  <c r="F149" i="15"/>
  <c r="H149" i="15"/>
  <c r="AH149" i="15"/>
  <c r="T161" i="15"/>
  <c r="AI185" i="16"/>
  <c r="AJ185" i="16"/>
  <c r="U155" i="16"/>
  <c r="AF155" i="16"/>
  <c r="AC155" i="16"/>
  <c r="S149" i="15"/>
  <c r="AJ161" i="15"/>
  <c r="AI155" i="17"/>
  <c r="X185" i="16"/>
  <c r="L155" i="17"/>
  <c r="AH155" i="17"/>
  <c r="AB185" i="16"/>
  <c r="T185" i="16"/>
  <c r="O173" i="12"/>
  <c r="AK167" i="14"/>
  <c r="AD173" i="18"/>
  <c r="F155" i="17"/>
  <c r="T167" i="12"/>
  <c r="U155" i="17"/>
  <c r="H185" i="16"/>
  <c r="AJ155" i="17"/>
  <c r="H173" i="18"/>
  <c r="AB167" i="12"/>
  <c r="S179" i="18"/>
  <c r="AH179" i="18"/>
  <c r="Z167" i="12"/>
  <c r="AB155" i="17"/>
  <c r="AL173" i="18"/>
  <c r="I185" i="16"/>
  <c r="Q155" i="17"/>
  <c r="T179" i="12"/>
  <c r="AC167" i="12"/>
  <c r="AK179" i="18"/>
  <c r="K185" i="16"/>
  <c r="R155" i="14"/>
  <c r="S167" i="12"/>
  <c r="I173" i="14"/>
  <c r="H167" i="16"/>
  <c r="AA185" i="16"/>
  <c r="Y185" i="16"/>
  <c r="H179" i="12"/>
  <c r="Z179" i="12"/>
  <c r="AG179" i="18"/>
  <c r="N185" i="16"/>
  <c r="O167" i="12"/>
  <c r="AE167" i="12"/>
  <c r="F155" i="14"/>
  <c r="Y155" i="14"/>
  <c r="S155" i="17"/>
  <c r="AH173" i="14"/>
  <c r="AF167" i="12"/>
  <c r="Q167" i="12"/>
  <c r="G167" i="12"/>
  <c r="E173" i="14"/>
  <c r="AJ167" i="12"/>
  <c r="X167" i="12"/>
  <c r="K149" i="13"/>
  <c r="AI149" i="13"/>
  <c r="O155" i="17"/>
  <c r="T149" i="13"/>
  <c r="Z155" i="14"/>
  <c r="M185" i="16"/>
  <c r="AD167" i="16"/>
  <c r="AH167" i="16"/>
  <c r="P167" i="16"/>
  <c r="AF155" i="14"/>
  <c r="I167" i="12"/>
  <c r="V167" i="12"/>
  <c r="M167" i="12"/>
  <c r="J167" i="12"/>
  <c r="E167" i="12"/>
  <c r="N173" i="14"/>
  <c r="Q173" i="14"/>
  <c r="P155" i="14"/>
  <c r="AD155" i="14"/>
  <c r="O149" i="13"/>
  <c r="X155" i="14"/>
  <c r="O155" i="14"/>
  <c r="AL167" i="18"/>
  <c r="AH185" i="16"/>
  <c r="L185" i="16"/>
  <c r="Z167" i="16"/>
  <c r="F179" i="12"/>
  <c r="P167" i="12"/>
  <c r="R167" i="12"/>
  <c r="K167" i="12"/>
  <c r="T173" i="12"/>
  <c r="AK173" i="12"/>
  <c r="AJ173" i="14"/>
  <c r="T155" i="17"/>
  <c r="U173" i="14"/>
  <c r="H155" i="14"/>
  <c r="AH149" i="13"/>
  <c r="Y155" i="17"/>
  <c r="AA155" i="17"/>
  <c r="I167" i="16"/>
  <c r="AK173" i="18"/>
  <c r="R167" i="16"/>
  <c r="Z173" i="14"/>
  <c r="AI173" i="14"/>
  <c r="AL167" i="12"/>
  <c r="AE149" i="13"/>
  <c r="U167" i="12"/>
  <c r="L167" i="12"/>
  <c r="F167" i="12"/>
  <c r="I167" i="18"/>
  <c r="Z155" i="17"/>
  <c r="Q179" i="12"/>
  <c r="S173" i="14"/>
  <c r="Z185" i="16"/>
  <c r="S185" i="16"/>
  <c r="P167" i="18"/>
  <c r="AH167" i="12"/>
  <c r="AJ149" i="13"/>
  <c r="AD167" i="12"/>
  <c r="Y167" i="12"/>
  <c r="E179" i="12"/>
  <c r="P149" i="13"/>
  <c r="W149" i="13"/>
  <c r="AG155" i="17"/>
  <c r="AE167" i="16"/>
  <c r="AA149" i="13"/>
  <c r="N167" i="18"/>
  <c r="R155" i="17"/>
  <c r="Q167" i="16"/>
  <c r="AC173" i="14"/>
  <c r="O167" i="16"/>
  <c r="T167" i="16"/>
  <c r="AE167" i="18"/>
  <c r="AE173" i="14"/>
  <c r="AA167" i="18"/>
  <c r="P155" i="17"/>
  <c r="AJ167" i="18"/>
  <c r="AK149" i="13"/>
  <c r="V155" i="14"/>
  <c r="E167" i="18"/>
  <c r="S179" i="12"/>
  <c r="AA173" i="14"/>
  <c r="M149" i="13"/>
  <c r="AG155" i="14"/>
  <c r="AA167" i="12"/>
  <c r="L173" i="14"/>
  <c r="AI155" i="14"/>
  <c r="N167" i="12"/>
  <c r="Y173" i="14"/>
  <c r="M167" i="18"/>
  <c r="V149" i="13"/>
  <c r="AG179" i="12"/>
  <c r="P179" i="12"/>
  <c r="J155" i="14"/>
  <c r="U155" i="14"/>
  <c r="K155" i="17"/>
  <c r="U167" i="16"/>
  <c r="J167" i="16"/>
  <c r="K173" i="14"/>
  <c r="AB149" i="13"/>
  <c r="AI167" i="12"/>
  <c r="X149" i="13"/>
  <c r="AJ155" i="14"/>
  <c r="W167" i="12"/>
  <c r="AD173" i="14"/>
  <c r="N149" i="13"/>
  <c r="AD149" i="13"/>
  <c r="AE155" i="14"/>
  <c r="Y167" i="18"/>
  <c r="G155" i="14"/>
  <c r="L179" i="12"/>
  <c r="W155" i="17"/>
  <c r="H167" i="18"/>
  <c r="X167" i="16"/>
  <c r="AL167" i="16"/>
  <c r="W167" i="18"/>
  <c r="AK173" i="14"/>
  <c r="S149" i="13"/>
  <c r="X155" i="17"/>
  <c r="J155" i="17"/>
  <c r="AH167" i="18"/>
  <c r="AG167" i="16"/>
  <c r="AK167" i="16"/>
  <c r="G167" i="16"/>
  <c r="T167" i="18"/>
  <c r="AF173" i="14"/>
  <c r="H149" i="13"/>
  <c r="AF149" i="13"/>
  <c r="AH155" i="14"/>
  <c r="AE155" i="17"/>
  <c r="AF179" i="12"/>
  <c r="N155" i="17"/>
  <c r="AF155" i="17"/>
  <c r="AC155" i="17"/>
  <c r="AI167" i="18"/>
  <c r="U167" i="18"/>
  <c r="W167" i="16"/>
  <c r="AC167" i="16"/>
  <c r="AF167" i="16"/>
  <c r="P173" i="14"/>
  <c r="R173" i="14"/>
  <c r="N167" i="16"/>
  <c r="E185" i="16"/>
  <c r="P185" i="16"/>
  <c r="AA167" i="16"/>
  <c r="O173" i="14"/>
  <c r="Z149" i="13"/>
  <c r="W155" i="14"/>
  <c r="AK167" i="12"/>
  <c r="Y149" i="13"/>
  <c r="U149" i="13"/>
  <c r="Q167" i="18"/>
  <c r="L167" i="18"/>
  <c r="F149" i="13"/>
  <c r="AC155" i="14"/>
  <c r="H173" i="14"/>
  <c r="T155" i="14"/>
  <c r="G149" i="13"/>
  <c r="AD179" i="12"/>
  <c r="AB155" i="14"/>
  <c r="E155" i="14"/>
  <c r="AL155" i="17"/>
  <c r="W179" i="12"/>
  <c r="H155" i="17"/>
  <c r="Q155" i="14"/>
  <c r="AK167" i="18"/>
  <c r="AF167" i="18"/>
  <c r="O167" i="18"/>
  <c r="M167" i="16"/>
  <c r="AB173" i="14"/>
  <c r="E167" i="16"/>
  <c r="T173" i="14"/>
  <c r="G185" i="16"/>
  <c r="K167" i="16"/>
  <c r="V167" i="18"/>
  <c r="AL155" i="14"/>
  <c r="X173" i="14"/>
  <c r="AG167" i="12"/>
  <c r="AG173" i="14"/>
  <c r="AG149" i="13"/>
  <c r="AL173" i="14"/>
  <c r="S155" i="14"/>
  <c r="L155" i="14"/>
  <c r="N155" i="14"/>
  <c r="G179" i="12"/>
  <c r="AK155" i="14"/>
  <c r="M155" i="14"/>
  <c r="K155" i="14"/>
  <c r="V173" i="14"/>
  <c r="G155" i="17"/>
  <c r="E155" i="17"/>
  <c r="AA155" i="14"/>
  <c r="X167" i="18"/>
  <c r="R149" i="13"/>
  <c r="J173" i="14"/>
  <c r="Z167" i="18"/>
  <c r="S167" i="18"/>
  <c r="AG167" i="18"/>
  <c r="Y167" i="16"/>
  <c r="F167" i="16"/>
  <c r="AI167" i="16"/>
  <c r="AB167" i="16"/>
  <c r="V167" i="16"/>
  <c r="S167" i="16"/>
  <c r="G173" i="14"/>
  <c r="J149" i="13"/>
  <c r="I149" i="13"/>
  <c r="W173" i="14"/>
  <c r="M173" i="14"/>
  <c r="R167" i="18"/>
  <c r="AL149" i="13"/>
  <c r="L149" i="13"/>
  <c r="AD167" i="18"/>
  <c r="Q149" i="13"/>
  <c r="AC149" i="13"/>
  <c r="AB167" i="18"/>
  <c r="V155" i="17"/>
  <c r="AK155" i="17"/>
  <c r="K167" i="18"/>
  <c r="AA118" i="12"/>
  <c r="AG118" i="12"/>
  <c r="I118" i="12"/>
  <c r="U118" i="12"/>
  <c r="E118" i="12"/>
  <c r="Y118" i="15"/>
  <c r="I118" i="15"/>
  <c r="Q118" i="15"/>
  <c r="AJ118" i="15"/>
  <c r="AE118" i="15"/>
  <c r="AL142" i="13"/>
  <c r="N142" i="13"/>
  <c r="U142" i="13"/>
  <c r="R142" i="13"/>
  <c r="AF142" i="13"/>
  <c r="AF142" i="15"/>
  <c r="AK142" i="15"/>
  <c r="F142" i="15"/>
  <c r="I142" i="15"/>
  <c r="O124" i="17"/>
  <c r="AK124" i="17"/>
  <c r="AB124" i="17"/>
  <c r="E124" i="17"/>
  <c r="R124" i="15"/>
  <c r="J124" i="15"/>
  <c r="V124" i="15"/>
  <c r="Z124" i="15"/>
  <c r="L130" i="14"/>
  <c r="AK130" i="14"/>
  <c r="AA130" i="14"/>
  <c r="O130" i="14"/>
  <c r="W155" i="16"/>
  <c r="J155" i="16"/>
  <c r="AL155" i="16"/>
  <c r="Z149" i="15"/>
  <c r="AK155" i="16"/>
  <c r="AL185" i="16"/>
  <c r="AD185" i="16"/>
  <c r="V185" i="16"/>
  <c r="AK185" i="16"/>
  <c r="J149" i="15"/>
  <c r="G149" i="15"/>
  <c r="AJ167" i="16"/>
  <c r="V161" i="15"/>
  <c r="AC161" i="15"/>
  <c r="R161" i="15"/>
  <c r="K118" i="12"/>
  <c r="AC118" i="12"/>
  <c r="AI118" i="12"/>
  <c r="O118" i="12"/>
  <c r="AD118" i="15"/>
  <c r="AB118" i="15"/>
  <c r="N118" i="15"/>
  <c r="R118" i="15"/>
  <c r="K142" i="13"/>
  <c r="S142" i="13"/>
  <c r="AJ142" i="13"/>
  <c r="I142" i="13"/>
  <c r="H142" i="15"/>
  <c r="W142" i="15"/>
  <c r="AI142" i="15"/>
  <c r="K142" i="15"/>
  <c r="Q124" i="17"/>
  <c r="Z124" i="17"/>
  <c r="M124" i="17"/>
  <c r="K124" i="17"/>
  <c r="O124" i="15"/>
  <c r="W124" i="15"/>
  <c r="U124" i="15"/>
  <c r="AI124" i="15"/>
  <c r="X130" i="14"/>
  <c r="AL130" i="14"/>
  <c r="Y130" i="14"/>
  <c r="U130" i="14"/>
  <c r="AD130" i="14"/>
  <c r="R155" i="16"/>
  <c r="AF149" i="15"/>
  <c r="O155" i="16"/>
  <c r="G155" i="16"/>
  <c r="AB155" i="16"/>
  <c r="AD149" i="15"/>
  <c r="AJ155" i="16"/>
  <c r="M149" i="15"/>
  <c r="W149" i="15"/>
  <c r="W185" i="16"/>
  <c r="AE185" i="16"/>
  <c r="P161" i="15"/>
  <c r="AG149" i="15"/>
  <c r="AH161" i="15"/>
  <c r="U161" i="15"/>
  <c r="I161" i="15"/>
  <c r="K161" i="15"/>
  <c r="W118" i="12"/>
  <c r="X118" i="12"/>
  <c r="V118" i="12"/>
  <c r="L118" i="12"/>
  <c r="F118" i="12"/>
  <c r="V118" i="15"/>
  <c r="F118" i="15"/>
  <c r="P118" i="15"/>
  <c r="L118" i="15"/>
  <c r="Q142" i="13"/>
  <c r="T142" i="13"/>
  <c r="AC142" i="13"/>
  <c r="Z142" i="13"/>
  <c r="AJ142" i="15"/>
  <c r="M142" i="15"/>
  <c r="R142" i="15"/>
  <c r="E142" i="15"/>
  <c r="AA142" i="15"/>
  <c r="I124" i="17"/>
  <c r="H124" i="17"/>
  <c r="AE124" i="17"/>
  <c r="AJ124" i="17"/>
  <c r="S124" i="17"/>
  <c r="AE124" i="15"/>
  <c r="F124" i="15"/>
  <c r="Y124" i="15"/>
  <c r="M124" i="15"/>
  <c r="K124" i="15"/>
  <c r="H130" i="14"/>
  <c r="AJ130" i="14"/>
  <c r="R130" i="14"/>
  <c r="AB130" i="14"/>
  <c r="P155" i="16"/>
  <c r="O149" i="15"/>
  <c r="I155" i="16"/>
  <c r="AC149" i="15"/>
  <c r="V155" i="16"/>
  <c r="N149" i="15"/>
  <c r="AE155" i="16"/>
  <c r="T149" i="15"/>
  <c r="V149" i="15"/>
  <c r="AI161" i="15"/>
  <c r="H161" i="15"/>
  <c r="AG161" i="15"/>
  <c r="J118" i="12"/>
  <c r="AD118" i="12"/>
  <c r="AH118" i="15"/>
  <c r="M118" i="15"/>
  <c r="AC118" i="15"/>
  <c r="AF118" i="15"/>
  <c r="AG142" i="13"/>
  <c r="E142" i="13"/>
  <c r="AK142" i="13"/>
  <c r="AH142" i="13"/>
  <c r="G142" i="15"/>
  <c r="AB142" i="15"/>
  <c r="AE142" i="15"/>
  <c r="Q142" i="15"/>
  <c r="P142" i="15"/>
  <c r="V124" i="17"/>
  <c r="AG124" i="17"/>
  <c r="F124" i="17"/>
  <c r="AH124" i="17"/>
  <c r="W124" i="17"/>
  <c r="T124" i="15"/>
  <c r="G124" i="15"/>
  <c r="AL124" i="15"/>
  <c r="E124" i="15"/>
  <c r="AA124" i="15"/>
  <c r="V130" i="14"/>
  <c r="G130" i="14"/>
  <c r="Z130" i="14"/>
  <c r="S130" i="14"/>
  <c r="AH155" i="16"/>
  <c r="H155" i="16"/>
  <c r="AE149" i="15"/>
  <c r="AG155" i="16"/>
  <c r="K149" i="15"/>
  <c r="Q149" i="15"/>
  <c r="X161" i="15"/>
  <c r="Z161" i="15"/>
  <c r="E161" i="15"/>
  <c r="AK118" i="12"/>
  <c r="P118" i="12"/>
  <c r="AB118" i="12"/>
  <c r="AH118" i="12"/>
  <c r="T118" i="15"/>
  <c r="O118" i="15"/>
  <c r="AK118" i="15"/>
  <c r="AL118" i="15"/>
  <c r="H142" i="13"/>
  <c r="X142" i="13"/>
  <c r="AB142" i="13"/>
  <c r="V142" i="13"/>
  <c r="X142" i="15"/>
  <c r="U142" i="15"/>
  <c r="AG142" i="15"/>
  <c r="S142" i="15"/>
  <c r="AI124" i="17"/>
  <c r="L124" i="17"/>
  <c r="P124" i="17"/>
  <c r="AD124" i="17"/>
  <c r="S124" i="15"/>
  <c r="N124" i="15"/>
  <c r="X124" i="15"/>
  <c r="AD124" i="15"/>
  <c r="AI130" i="14"/>
  <c r="T130" i="14"/>
  <c r="AF130" i="14"/>
  <c r="E130" i="14"/>
  <c r="AK149" i="15"/>
  <c r="N155" i="16"/>
  <c r="M155" i="16"/>
  <c r="Y149" i="15"/>
  <c r="AJ149" i="15"/>
  <c r="AD155" i="16"/>
  <c r="S155" i="16"/>
  <c r="Q155" i="16"/>
  <c r="X155" i="16"/>
  <c r="AB149" i="15"/>
  <c r="AD161" i="15"/>
  <c r="AL161" i="15"/>
  <c r="G161" i="15"/>
  <c r="AF161" i="15"/>
  <c r="J161" i="15"/>
  <c r="O161" i="15"/>
  <c r="N161" i="15"/>
  <c r="W161" i="15"/>
  <c r="M118" i="12"/>
  <c r="Q118" i="12"/>
  <c r="T118" i="12"/>
  <c r="S118" i="12"/>
  <c r="Y118" i="12"/>
  <c r="G118" i="15"/>
  <c r="S118" i="15"/>
  <c r="E118" i="15"/>
  <c r="AI118" i="15"/>
  <c r="O142" i="13"/>
  <c r="W142" i="13"/>
  <c r="L142" i="13"/>
  <c r="F142" i="13"/>
  <c r="AL142" i="15"/>
  <c r="AC142" i="15"/>
  <c r="O142" i="15"/>
  <c r="AH142" i="15"/>
  <c r="R124" i="17"/>
  <c r="AF124" i="17"/>
  <c r="N124" i="17"/>
  <c r="AL124" i="17"/>
  <c r="AK124" i="15"/>
  <c r="AC124" i="15"/>
  <c r="P124" i="15"/>
  <c r="H124" i="15"/>
  <c r="Q130" i="14"/>
  <c r="M130" i="14"/>
  <c r="AH130" i="14"/>
  <c r="N130" i="14"/>
  <c r="P149" i="15"/>
  <c r="AA155" i="16"/>
  <c r="I149" i="15"/>
  <c r="R149" i="15"/>
  <c r="Y155" i="16"/>
  <c r="L155" i="16"/>
  <c r="AI155" i="16"/>
  <c r="E155" i="16"/>
  <c r="M161" i="15"/>
  <c r="AL149" i="15"/>
  <c r="AA161" i="15"/>
  <c r="Q161" i="15"/>
  <c r="F161" i="15"/>
  <c r="AA149" i="15"/>
  <c r="AL118" i="12"/>
  <c r="R118" i="12"/>
  <c r="Z118" i="12"/>
  <c r="H118" i="12"/>
  <c r="AG118" i="15"/>
  <c r="AA118" i="15"/>
  <c r="Z118" i="15"/>
  <c r="W118" i="15"/>
  <c r="G142" i="13"/>
  <c r="AE142" i="13"/>
  <c r="M142" i="13"/>
  <c r="J142" i="13"/>
  <c r="T142" i="15"/>
  <c r="Y142" i="15"/>
  <c r="L142" i="15"/>
  <c r="AC124" i="17"/>
  <c r="X124" i="17"/>
  <c r="T124" i="17"/>
  <c r="AG124" i="15"/>
  <c r="L124" i="15"/>
  <c r="AB124" i="15"/>
  <c r="I130" i="14"/>
  <c r="P130" i="14"/>
  <c r="AE130" i="14"/>
  <c r="L149" i="15"/>
  <c r="K155" i="16"/>
  <c r="Z155" i="16"/>
  <c r="X149" i="15"/>
  <c r="T155" i="16"/>
  <c r="AI149" i="15"/>
  <c r="L161" i="15"/>
  <c r="S161" i="15"/>
  <c r="Y161" i="15"/>
  <c r="AE161" i="15"/>
  <c r="AK161" i="15"/>
  <c r="F41" i="13" a="1"/>
  <c r="E32" i="13" a="1"/>
  <c r="X46" i="14"/>
  <c r="J46" i="14"/>
  <c r="AH46" i="14"/>
  <c r="K46" i="14"/>
  <c r="G46" i="14"/>
  <c r="V46" i="14"/>
  <c r="P46" i="14"/>
  <c r="M46" i="14"/>
  <c r="AD46" i="14"/>
  <c r="Y46" i="14"/>
  <c r="AK46" i="14"/>
  <c r="AL46" i="14"/>
  <c r="AI46" i="14"/>
  <c r="AB46" i="14"/>
  <c r="Z46" i="14"/>
  <c r="R46" i="14"/>
  <c r="AC46" i="14"/>
  <c r="AJ46" i="14"/>
  <c r="AG46" i="14"/>
  <c r="L46" i="14"/>
  <c r="S46" i="14"/>
  <c r="T46" i="14"/>
  <c r="H46" i="14"/>
  <c r="AA46" i="14"/>
  <c r="F46" i="14"/>
  <c r="U46" i="14"/>
  <c r="I46" i="14"/>
  <c r="W46" i="14"/>
  <c r="AE46" i="14"/>
  <c r="AF46" i="14"/>
  <c r="N46" i="14"/>
  <c r="O46" i="14"/>
  <c r="Q46" i="14"/>
  <c r="F45" i="18" a="1"/>
  <c r="E32" i="18" a="1"/>
  <c r="BP22" i="7"/>
  <c r="AL22" i="7"/>
  <c r="S22" i="7"/>
  <c r="T22" i="7"/>
  <c r="AZ22" i="7"/>
  <c r="CN22" i="7"/>
  <c r="CQ22" i="7"/>
  <c r="CL22" i="7"/>
  <c r="BA22" i="7"/>
  <c r="Q22" i="7"/>
  <c r="AT22" i="7"/>
  <c r="CS22" i="7"/>
  <c r="E22" i="7"/>
  <c r="V22" i="7"/>
  <c r="BU22" i="7"/>
  <c r="CD22" i="7"/>
  <c r="CG22" i="7"/>
  <c r="AH22" i="7"/>
  <c r="L22" i="7"/>
  <c r="CC22" i="7"/>
  <c r="CM22" i="7"/>
  <c r="M22" i="7"/>
  <c r="BV22" i="7"/>
  <c r="CE22" i="7"/>
  <c r="BX22" i="7"/>
  <c r="AO22" i="7"/>
  <c r="AP22" i="7"/>
  <c r="AS22" i="7"/>
  <c r="BD22" i="7"/>
  <c r="BF22" i="7"/>
  <c r="BH22" i="7"/>
  <c r="Z22" i="7"/>
  <c r="BL22" i="7"/>
  <c r="BB22" i="7"/>
  <c r="Y22" i="7"/>
  <c r="H22" i="7"/>
  <c r="BN22" i="7"/>
  <c r="AD22" i="7"/>
  <c r="CF22" i="7"/>
  <c r="BC22" i="7"/>
  <c r="F22" i="7"/>
  <c r="I22" i="7"/>
  <c r="BK22" i="7"/>
  <c r="J22" i="7"/>
  <c r="CR22" i="7"/>
  <c r="BS22" i="7"/>
  <c r="G22" i="7"/>
  <c r="AR22" i="7"/>
  <c r="BT22" i="7"/>
  <c r="AA22" i="7"/>
  <c r="AM22" i="7"/>
  <c r="AN22" i="7"/>
  <c r="BY22" i="7"/>
  <c r="BQ22" i="7"/>
  <c r="AB22" i="7"/>
  <c r="P22" i="7"/>
  <c r="BO22" i="7"/>
  <c r="BM22" i="7"/>
  <c r="CO22" i="7"/>
  <c r="CI22" i="7"/>
  <c r="BZ22" i="7"/>
  <c r="BW22" i="7"/>
  <c r="AY22" i="7"/>
  <c r="W22" i="7"/>
  <c r="BI22" i="7"/>
  <c r="AF22" i="7"/>
  <c r="BR22" i="7"/>
  <c r="CJ22" i="7"/>
  <c r="AQ22" i="7"/>
  <c r="AV22" i="7"/>
  <c r="CA22" i="7"/>
  <c r="U22" i="7"/>
  <c r="AI22" i="7"/>
  <c r="N22" i="7"/>
  <c r="AU22" i="7"/>
  <c r="AG22" i="7"/>
  <c r="AK22" i="7"/>
  <c r="CK22" i="7"/>
  <c r="CB22" i="7"/>
  <c r="BJ22" i="7"/>
  <c r="AE22" i="7"/>
  <c r="O22" i="7"/>
  <c r="BG22" i="7"/>
  <c r="AW22" i="7"/>
  <c r="CP22" i="7"/>
  <c r="AC22" i="7"/>
  <c r="CH22" i="7"/>
  <c r="X22" i="7"/>
  <c r="R22" i="7"/>
  <c r="AJ22" i="7"/>
  <c r="AX22" i="7"/>
  <c r="BE22" i="7"/>
  <c r="K22" i="7"/>
  <c r="Y42" i="13"/>
  <c r="P42" i="13"/>
  <c r="O42" i="13"/>
  <c r="R42" i="13"/>
  <c r="M42" i="13"/>
  <c r="AI42" i="13"/>
  <c r="AH42" i="13"/>
  <c r="Q42" i="13"/>
  <c r="AF42" i="13"/>
  <c r="AA42" i="13"/>
  <c r="Z42" i="13"/>
  <c r="AC42" i="13"/>
  <c r="X42" i="13"/>
  <c r="G42" i="13"/>
  <c r="U42" i="13"/>
  <c r="L42" i="13"/>
  <c r="AD42" i="13"/>
  <c r="H42" i="13"/>
  <c r="J42" i="13"/>
  <c r="AK42" i="13"/>
  <c r="W42" i="13"/>
  <c r="AG42" i="13"/>
  <c r="K42" i="13"/>
  <c r="I42" i="13"/>
  <c r="AL42" i="13"/>
  <c r="AJ42" i="13"/>
  <c r="N42" i="13"/>
  <c r="AE42" i="13"/>
  <c r="V42" i="13"/>
  <c r="AB42" i="13"/>
  <c r="F42" i="13"/>
  <c r="T42" i="13"/>
  <c r="S42" i="13"/>
  <c r="AR18" i="7"/>
  <c r="G18" i="7"/>
  <c r="BM18" i="7"/>
  <c r="CQ18" i="7"/>
  <c r="BO18" i="7"/>
  <c r="BU18" i="7"/>
  <c r="BG18" i="7"/>
  <c r="BI18" i="7"/>
  <c r="N18" i="7"/>
  <c r="BE18" i="7"/>
  <c r="AS18" i="7"/>
  <c r="Z18" i="7"/>
  <c r="L18" i="7"/>
  <c r="BN18" i="7"/>
  <c r="AG18" i="7"/>
  <c r="AY18" i="7"/>
  <c r="O18" i="7"/>
  <c r="AC18" i="7"/>
  <c r="CP18" i="7"/>
  <c r="U18" i="7"/>
  <c r="Y18" i="7"/>
  <c r="BD18" i="7"/>
  <c r="BR18" i="7"/>
  <c r="CI18" i="7"/>
  <c r="R18" i="7"/>
  <c r="X18" i="7"/>
  <c r="CH18" i="7"/>
  <c r="AZ18" i="7"/>
  <c r="CG18" i="7"/>
  <c r="BT18" i="7"/>
  <c r="BZ18" i="7"/>
  <c r="AN18" i="7"/>
  <c r="BS18" i="7"/>
  <c r="CS18" i="7"/>
  <c r="BW18" i="7"/>
  <c r="BJ18" i="7"/>
  <c r="T18" i="7"/>
  <c r="AO18" i="7"/>
  <c r="P18" i="7"/>
  <c r="AL18" i="7"/>
  <c r="BC18" i="7"/>
  <c r="CC18" i="7"/>
  <c r="AE18" i="7"/>
  <c r="AP18" i="7"/>
  <c r="CE18" i="7"/>
  <c r="CF18" i="7"/>
  <c r="CL18" i="7"/>
  <c r="CK18" i="7"/>
  <c r="E18" i="7"/>
  <c r="AM18" i="7"/>
  <c r="AW18" i="7"/>
  <c r="CR18" i="7"/>
  <c r="V18" i="7"/>
  <c r="AA18" i="7"/>
  <c r="AF18" i="7"/>
  <c r="AT18" i="7"/>
  <c r="AU18" i="7"/>
  <c r="BH18" i="7"/>
  <c r="BP18" i="7"/>
  <c r="I18" i="7"/>
  <c r="BF18" i="7"/>
  <c r="S18" i="7"/>
  <c r="CD18" i="7"/>
  <c r="AJ18" i="7"/>
  <c r="BB18" i="7"/>
  <c r="M18" i="7"/>
  <c r="AX18" i="7"/>
  <c r="H18" i="7"/>
  <c r="AD18" i="7"/>
  <c r="CM18" i="7"/>
  <c r="CN18" i="7"/>
  <c r="BL18" i="7"/>
  <c r="K18" i="7"/>
  <c r="BX18" i="7"/>
  <c r="AQ18" i="7"/>
  <c r="BQ18" i="7"/>
  <c r="W18" i="7"/>
  <c r="BA18" i="7"/>
  <c r="AI18" i="7"/>
  <c r="CJ18" i="7"/>
  <c r="J18" i="7"/>
  <c r="AK18" i="7"/>
  <c r="Q18" i="7"/>
  <c r="BY18" i="7"/>
  <c r="AV18" i="7"/>
  <c r="BV18" i="7"/>
  <c r="AB18" i="7"/>
  <c r="F18" i="7"/>
  <c r="CO18" i="7"/>
  <c r="BK18" i="7"/>
  <c r="AH18" i="7"/>
  <c r="CB18" i="7"/>
  <c r="CA18" i="7"/>
  <c r="X45" i="14"/>
  <c r="M45" i="14"/>
  <c r="I45" i="14"/>
  <c r="U45" i="14"/>
  <c r="F45" i="14"/>
  <c r="W45" i="14"/>
  <c r="AD45" i="14"/>
  <c r="L45" i="14"/>
  <c r="AK45" i="14"/>
  <c r="K45" i="14"/>
  <c r="P45" i="14"/>
  <c r="H45" i="14"/>
  <c r="AG45" i="14"/>
  <c r="AI45" i="14"/>
  <c r="Q45" i="14"/>
  <c r="AC45" i="14"/>
  <c r="V45" i="14"/>
  <c r="AF45" i="14"/>
  <c r="AL45" i="14"/>
  <c r="J45" i="14"/>
  <c r="Y45" i="14"/>
  <c r="G45" i="14"/>
  <c r="AE45" i="14"/>
  <c r="AB45" i="14"/>
  <c r="R45" i="14"/>
  <c r="S45" i="14"/>
  <c r="AH45" i="14"/>
  <c r="Z45" i="14"/>
  <c r="O45" i="14"/>
  <c r="N45" i="14"/>
  <c r="AA45" i="14"/>
  <c r="T45" i="14"/>
  <c r="AJ45" i="14"/>
  <c r="AA46" i="18"/>
  <c r="AH46" i="18"/>
  <c r="AB46" i="18"/>
  <c r="AC46" i="18"/>
  <c r="R46" i="18"/>
  <c r="AG46" i="18"/>
  <c r="AK46" i="18"/>
  <c r="Z46" i="18"/>
  <c r="F46" i="18"/>
  <c r="AD46" i="18"/>
  <c r="P46" i="18"/>
  <c r="O46" i="18"/>
  <c r="AI46" i="18"/>
  <c r="AJ46" i="18"/>
  <c r="T46" i="18"/>
  <c r="X46" i="18"/>
  <c r="AL46" i="18"/>
  <c r="AE46" i="18"/>
  <c r="I46" i="18"/>
  <c r="G46" i="18"/>
  <c r="U46" i="18"/>
  <c r="M46" i="18"/>
  <c r="V46" i="18"/>
  <c r="AF46" i="18"/>
  <c r="S46" i="18"/>
  <c r="Y46" i="18"/>
  <c r="L46" i="18"/>
  <c r="J46" i="18"/>
  <c r="H46" i="18"/>
  <c r="N46" i="18"/>
  <c r="Q46" i="18"/>
  <c r="W46" i="18"/>
  <c r="K46" i="18"/>
  <c r="M41" i="12"/>
  <c r="X41" i="12"/>
  <c r="K41" i="12"/>
  <c r="N41" i="12"/>
  <c r="AK41" i="12"/>
  <c r="L41" i="12"/>
  <c r="W41" i="12"/>
  <c r="V41" i="12"/>
  <c r="AG41" i="12"/>
  <c r="T41" i="12"/>
  <c r="O41" i="12"/>
  <c r="J41" i="12"/>
  <c r="AC41" i="12"/>
  <c r="AJ41" i="12"/>
  <c r="AH41" i="12"/>
  <c r="H41" i="12"/>
  <c r="AI41" i="12"/>
  <c r="Z41" i="12"/>
  <c r="I41" i="12"/>
  <c r="AL41" i="12"/>
  <c r="AB41" i="12"/>
  <c r="R41" i="12"/>
  <c r="AF41" i="12"/>
  <c r="Y41" i="12"/>
  <c r="AE41" i="12"/>
  <c r="Q41" i="12"/>
  <c r="G41" i="12"/>
  <c r="F41" i="12"/>
  <c r="S41" i="12"/>
  <c r="U41" i="12"/>
  <c r="P41" i="12"/>
  <c r="AD41" i="12"/>
  <c r="AA41" i="12"/>
  <c r="L45" i="13"/>
  <c r="P45" i="13"/>
  <c r="H45" i="13"/>
  <c r="AD45" i="13"/>
  <c r="J45" i="13"/>
  <c r="F45" i="13"/>
  <c r="Q45" i="13"/>
  <c r="S45" i="13"/>
  <c r="O45" i="13"/>
  <c r="U45" i="13"/>
  <c r="AJ45" i="13"/>
  <c r="V45" i="13"/>
  <c r="I45" i="13"/>
  <c r="Z45" i="13"/>
  <c r="N45" i="13"/>
  <c r="AH45" i="13"/>
  <c r="AL45" i="13"/>
  <c r="AB45" i="13"/>
  <c r="W45" i="13"/>
  <c r="AG45" i="13"/>
  <c r="M45" i="13"/>
  <c r="R45" i="13"/>
  <c r="AE45" i="13"/>
  <c r="T45" i="13"/>
  <c r="AI45" i="13"/>
  <c r="G45" i="13"/>
  <c r="AC45" i="13"/>
  <c r="Y45" i="13"/>
  <c r="AA45" i="13"/>
  <c r="AF45" i="13"/>
  <c r="AK45" i="13"/>
  <c r="K45" i="13"/>
  <c r="X45" i="13"/>
  <c r="BW19" i="7"/>
  <c r="CR19" i="7"/>
  <c r="BM19" i="7"/>
  <c r="CH19" i="7"/>
  <c r="S19" i="7"/>
  <c r="CP19" i="7"/>
  <c r="BE19" i="7"/>
  <c r="CF19" i="7"/>
  <c r="CL19" i="7"/>
  <c r="AK19" i="7"/>
  <c r="CI19" i="7"/>
  <c r="BX19" i="7"/>
  <c r="BN19" i="7"/>
  <c r="AE19" i="7"/>
  <c r="BO19" i="7"/>
  <c r="BC19" i="7"/>
  <c r="BR19" i="7"/>
  <c r="BD19" i="7"/>
  <c r="K19" i="7"/>
  <c r="BA19" i="7"/>
  <c r="CA19" i="7"/>
  <c r="O19" i="7"/>
  <c r="CB19" i="7"/>
  <c r="AH19" i="7"/>
  <c r="CC19" i="7"/>
  <c r="BJ19" i="7"/>
  <c r="BI19" i="7"/>
  <c r="J19" i="7"/>
  <c r="AI19" i="7"/>
  <c r="AS19" i="7"/>
  <c r="N19" i="7"/>
  <c r="Y19" i="7"/>
  <c r="AV19" i="7"/>
  <c r="AF19" i="7"/>
  <c r="AB19" i="7"/>
  <c r="AO19" i="7"/>
  <c r="AM19" i="7"/>
  <c r="BS19" i="7"/>
  <c r="CO19" i="7"/>
  <c r="I19" i="7"/>
  <c r="T19" i="7"/>
  <c r="CQ19" i="7"/>
  <c r="AA19" i="7"/>
  <c r="U19" i="7"/>
  <c r="CK19" i="7"/>
  <c r="BU19" i="7"/>
  <c r="BP19" i="7"/>
  <c r="AR19" i="7"/>
  <c r="AQ19" i="7"/>
  <c r="BK19" i="7"/>
  <c r="AP19" i="7"/>
  <c r="CJ19" i="7"/>
  <c r="AC19" i="7"/>
  <c r="M19" i="7"/>
  <c r="AY19" i="7"/>
  <c r="AU19" i="7"/>
  <c r="G19" i="7"/>
  <c r="CS19" i="7"/>
  <c r="V19" i="7"/>
  <c r="AJ19" i="7"/>
  <c r="CM19" i="7"/>
  <c r="H19" i="7"/>
  <c r="BF19" i="7"/>
  <c r="BQ19" i="7"/>
  <c r="CD19" i="7"/>
  <c r="CN19" i="7"/>
  <c r="BZ19" i="7"/>
  <c r="F19" i="7"/>
  <c r="BT19" i="7"/>
  <c r="CG19" i="7"/>
  <c r="X19" i="7"/>
  <c r="AT19" i="7"/>
  <c r="AW19" i="7"/>
  <c r="BG19" i="7"/>
  <c r="AD19" i="7"/>
  <c r="L19" i="7"/>
  <c r="BV19" i="7"/>
  <c r="E19" i="7"/>
  <c r="AL19" i="7"/>
  <c r="BY19" i="7"/>
  <c r="R19" i="7"/>
  <c r="CE19" i="7"/>
  <c r="BL19" i="7"/>
  <c r="AN19" i="7"/>
  <c r="AZ19" i="7"/>
  <c r="BH19" i="7"/>
  <c r="W19" i="7"/>
  <c r="AG19" i="7"/>
  <c r="Q19" i="7"/>
  <c r="Z19" i="7"/>
  <c r="AX19" i="7"/>
  <c r="BB19" i="7"/>
  <c r="P19" i="7"/>
  <c r="F43" i="14" a="1"/>
  <c r="E32" i="14" a="1"/>
  <c r="U41" i="18"/>
  <c r="T41" i="18"/>
  <c r="S41" i="18"/>
  <c r="V41" i="18"/>
  <c r="I41" i="18"/>
  <c r="AF41" i="18"/>
  <c r="AA41" i="18"/>
  <c r="Z41" i="18"/>
  <c r="Y41" i="18"/>
  <c r="AB41" i="18"/>
  <c r="W41" i="18"/>
  <c r="R41" i="18"/>
  <c r="M41" i="18"/>
  <c r="X41" i="18"/>
  <c r="O41" i="18"/>
  <c r="N41" i="18"/>
  <c r="K41" i="18"/>
  <c r="F41" i="18"/>
  <c r="G41" i="18"/>
  <c r="AJ41" i="18"/>
  <c r="AL41" i="18"/>
  <c r="L41" i="18"/>
  <c r="AK41" i="18"/>
  <c r="AI41" i="18"/>
  <c r="P41" i="18"/>
  <c r="AE41" i="18"/>
  <c r="AG41" i="18"/>
  <c r="AC41" i="18"/>
  <c r="AH41" i="18"/>
  <c r="H41" i="18"/>
  <c r="J41" i="18"/>
  <c r="Q41" i="18"/>
  <c r="AD41" i="18"/>
  <c r="BX20" i="7"/>
  <c r="AB20" i="7"/>
  <c r="CD20" i="7"/>
  <c r="AW20" i="7"/>
  <c r="BK20" i="7"/>
  <c r="BY20" i="7"/>
  <c r="BW20" i="7"/>
  <c r="AC20" i="7"/>
  <c r="BJ20" i="7"/>
  <c r="BO20" i="7"/>
  <c r="I20" i="7"/>
  <c r="AY20" i="7"/>
  <c r="CI20" i="7"/>
  <c r="AX20" i="7"/>
  <c r="Q20" i="7"/>
  <c r="S20" i="7"/>
  <c r="AK20" i="7"/>
  <c r="O20" i="7"/>
  <c r="AZ20" i="7"/>
  <c r="J20" i="7"/>
  <c r="AP20" i="7"/>
  <c r="CQ20" i="7"/>
  <c r="AV20" i="7"/>
  <c r="BH20" i="7"/>
  <c r="BN20" i="7"/>
  <c r="BD20" i="7"/>
  <c r="Z20" i="7"/>
  <c r="AU20" i="7"/>
  <c r="CM20" i="7"/>
  <c r="CJ20" i="7"/>
  <c r="BL20" i="7"/>
  <c r="AA20" i="7"/>
  <c r="AR20" i="7"/>
  <c r="AH20" i="7"/>
  <c r="AJ20" i="7"/>
  <c r="F20" i="7"/>
  <c r="BZ20" i="7"/>
  <c r="BG20" i="7"/>
  <c r="AF20" i="7"/>
  <c r="AI20" i="7"/>
  <c r="BF20" i="7"/>
  <c r="L20" i="7"/>
  <c r="R20" i="7"/>
  <c r="P20" i="7"/>
  <c r="BE20" i="7"/>
  <c r="BB20" i="7"/>
  <c r="AE20" i="7"/>
  <c r="K20" i="7"/>
  <c r="BV20" i="7"/>
  <c r="CA20" i="7"/>
  <c r="BS20" i="7"/>
  <c r="CS20" i="7"/>
  <c r="CE20" i="7"/>
  <c r="M20" i="7"/>
  <c r="V20" i="7"/>
  <c r="CP20" i="7"/>
  <c r="CG20" i="7"/>
  <c r="N20" i="7"/>
  <c r="AO20" i="7"/>
  <c r="BM20" i="7"/>
  <c r="BP20" i="7"/>
  <c r="BU20" i="7"/>
  <c r="BT20" i="7"/>
  <c r="BC20" i="7"/>
  <c r="AQ20" i="7"/>
  <c r="CK20" i="7"/>
  <c r="Y20" i="7"/>
  <c r="AM20" i="7"/>
  <c r="CL20" i="7"/>
  <c r="BI20" i="7"/>
  <c r="T20" i="7"/>
  <c r="CN20" i="7"/>
  <c r="CR20" i="7"/>
  <c r="CH20" i="7"/>
  <c r="W20" i="7"/>
  <c r="AN20" i="7"/>
  <c r="BQ20" i="7"/>
  <c r="CC20" i="7"/>
  <c r="CF20" i="7"/>
  <c r="AD20" i="7"/>
  <c r="BR20" i="7"/>
  <c r="AS20" i="7"/>
  <c r="G20" i="7"/>
  <c r="BA20" i="7"/>
  <c r="AG20" i="7"/>
  <c r="CO20" i="7"/>
  <c r="H20" i="7"/>
  <c r="AL20" i="7"/>
  <c r="CB20" i="7"/>
  <c r="X20" i="7"/>
  <c r="E20" i="7"/>
  <c r="AT20" i="7"/>
  <c r="U20" i="7"/>
  <c r="AK44" i="18"/>
  <c r="P44" i="18"/>
  <c r="L44" i="18"/>
  <c r="AI44" i="18"/>
  <c r="F44" i="18"/>
  <c r="V44" i="18"/>
  <c r="W44" i="18"/>
  <c r="AD44" i="18"/>
  <c r="AA44" i="18"/>
  <c r="Z44" i="18"/>
  <c r="Q44" i="18"/>
  <c r="O44" i="18"/>
  <c r="H44" i="18"/>
  <c r="X44" i="18"/>
  <c r="G44" i="18"/>
  <c r="AE44" i="18"/>
  <c r="T44" i="18"/>
  <c r="AH44" i="18"/>
  <c r="AL44" i="18"/>
  <c r="K44" i="18"/>
  <c r="AF44" i="18"/>
  <c r="AJ44" i="18"/>
  <c r="M44" i="18"/>
  <c r="S44" i="18"/>
  <c r="AB44" i="18"/>
  <c r="I44" i="18"/>
  <c r="AG44" i="18"/>
  <c r="N44" i="18"/>
  <c r="J44" i="18"/>
  <c r="R44" i="18"/>
  <c r="AC44" i="18"/>
  <c r="U44" i="18"/>
  <c r="Y44" i="18"/>
  <c r="Q42" i="14"/>
  <c r="U42" i="14"/>
  <c r="X42" i="14"/>
  <c r="Z42" i="14"/>
  <c r="AG42" i="14"/>
  <c r="F42" i="14"/>
  <c r="H42" i="14"/>
  <c r="G42" i="14"/>
  <c r="S42" i="14"/>
  <c r="AJ42" i="14"/>
  <c r="AH42" i="14"/>
  <c r="I42" i="14"/>
  <c r="V42" i="14"/>
  <c r="K42" i="14"/>
  <c r="AB42" i="14"/>
  <c r="N42" i="14"/>
  <c r="O42" i="14"/>
  <c r="AK42" i="14"/>
  <c r="J42" i="14"/>
  <c r="W42" i="14"/>
  <c r="AF42" i="14"/>
  <c r="Y42" i="14"/>
  <c r="P42" i="14"/>
  <c r="L42" i="14"/>
  <c r="AL42" i="14"/>
  <c r="AA42" i="14"/>
  <c r="R42" i="14"/>
  <c r="AC42" i="14"/>
  <c r="M42" i="14"/>
  <c r="AD42" i="14"/>
  <c r="AE42" i="14"/>
  <c r="AI42" i="14"/>
  <c r="T42" i="14"/>
  <c r="K43" i="13"/>
  <c r="N43" i="13"/>
  <c r="AD43" i="13"/>
  <c r="R43" i="13"/>
  <c r="P43" i="13"/>
  <c r="Y43" i="13"/>
  <c r="J43" i="13"/>
  <c r="AA43" i="13"/>
  <c r="AI43" i="13"/>
  <c r="Z43" i="13"/>
  <c r="G43" i="13"/>
  <c r="S43" i="13"/>
  <c r="AC43" i="13"/>
  <c r="L43" i="13"/>
  <c r="Q43" i="13"/>
  <c r="T43" i="13"/>
  <c r="F43" i="13"/>
  <c r="O43" i="13"/>
  <c r="AF43" i="13"/>
  <c r="AL43" i="13"/>
  <c r="AK43" i="13"/>
  <c r="I43" i="13"/>
  <c r="AH43" i="13"/>
  <c r="AJ43" i="13"/>
  <c r="W43" i="13"/>
  <c r="M43" i="13"/>
  <c r="AB43" i="13"/>
  <c r="U43" i="13"/>
  <c r="V43" i="13"/>
  <c r="AG43" i="13"/>
  <c r="H43" i="13"/>
  <c r="X43" i="13"/>
  <c r="AE43" i="13"/>
  <c r="CF23" i="7"/>
  <c r="AU23" i="7"/>
  <c r="J23" i="7"/>
  <c r="BH23" i="7"/>
  <c r="BR23" i="7"/>
  <c r="CR23" i="7"/>
  <c r="BB23" i="7"/>
  <c r="H23" i="7"/>
  <c r="BA23" i="7"/>
  <c r="CJ23" i="7"/>
  <c r="AA23" i="7"/>
  <c r="M23" i="7"/>
  <c r="AZ23" i="7"/>
  <c r="O23" i="7"/>
  <c r="BU23" i="7"/>
  <c r="P23" i="7"/>
  <c r="AD23" i="7"/>
  <c r="AR23" i="7"/>
  <c r="CO23" i="7"/>
  <c r="AM23" i="7"/>
  <c r="BD23" i="7"/>
  <c r="BG23" i="7"/>
  <c r="CE23" i="7"/>
  <c r="AH23" i="7"/>
  <c r="AJ23" i="7"/>
  <c r="BF23" i="7"/>
  <c r="CB23" i="7"/>
  <c r="F23" i="7"/>
  <c r="AY23" i="7"/>
  <c r="AF23" i="7"/>
  <c r="CM23" i="7"/>
  <c r="BY23" i="7"/>
  <c r="BQ23" i="7"/>
  <c r="T23" i="7"/>
  <c r="AP23" i="7"/>
  <c r="AN23" i="7"/>
  <c r="CC23" i="7"/>
  <c r="S23" i="7"/>
  <c r="BS23" i="7"/>
  <c r="AI23" i="7"/>
  <c r="U23" i="7"/>
  <c r="BC23" i="7"/>
  <c r="CQ23" i="7"/>
  <c r="Z23" i="7"/>
  <c r="CI23" i="7"/>
  <c r="BI23" i="7"/>
  <c r="CD23" i="7"/>
  <c r="K23" i="7"/>
  <c r="BN23" i="7"/>
  <c r="AV23" i="7"/>
  <c r="BX23" i="7"/>
  <c r="CA23" i="7"/>
  <c r="CK23" i="7"/>
  <c r="BO23" i="7"/>
  <c r="AK23" i="7"/>
  <c r="V23" i="7"/>
  <c r="BZ23" i="7"/>
  <c r="N23" i="7"/>
  <c r="CS23" i="7"/>
  <c r="CL23" i="7"/>
  <c r="CP23" i="7"/>
  <c r="CN23" i="7"/>
  <c r="G23" i="7"/>
  <c r="AO23" i="7"/>
  <c r="BT23" i="7"/>
  <c r="R23" i="7"/>
  <c r="AS23" i="7"/>
  <c r="E23" i="7"/>
  <c r="Y23" i="7"/>
  <c r="L23" i="7"/>
  <c r="CG23" i="7"/>
  <c r="X23" i="7"/>
  <c r="I23" i="7"/>
  <c r="BL23" i="7"/>
  <c r="AQ23" i="7"/>
  <c r="AT23" i="7"/>
  <c r="BP23" i="7"/>
  <c r="AX23" i="7"/>
  <c r="AW23" i="7"/>
  <c r="BV23" i="7"/>
  <c r="BM23" i="7"/>
  <c r="BJ23" i="7"/>
  <c r="BW23" i="7"/>
  <c r="AG23" i="7"/>
  <c r="AE23" i="7"/>
  <c r="AL23" i="7"/>
  <c r="W23" i="7"/>
  <c r="AC23" i="7"/>
  <c r="AB23" i="7"/>
  <c r="BE23" i="7"/>
  <c r="Q23" i="7"/>
  <c r="CH23" i="7"/>
  <c r="BK23" i="7"/>
  <c r="M47" i="14"/>
  <c r="AL47" i="14"/>
  <c r="Z47" i="14"/>
  <c r="AH47" i="14"/>
  <c r="AI47" i="14"/>
  <c r="Y47" i="14"/>
  <c r="G47" i="14"/>
  <c r="AE47" i="14"/>
  <c r="AK47" i="14"/>
  <c r="AB47" i="14"/>
  <c r="V47" i="14"/>
  <c r="AG47" i="14"/>
  <c r="X47" i="14"/>
  <c r="AC47" i="14"/>
  <c r="K47" i="14"/>
  <c r="H47" i="14"/>
  <c r="I47" i="14"/>
  <c r="T47" i="14"/>
  <c r="Q47" i="14"/>
  <c r="N47" i="14"/>
  <c r="R47" i="14"/>
  <c r="O47" i="14"/>
  <c r="P47" i="14"/>
  <c r="AF47" i="14"/>
  <c r="L47" i="14"/>
  <c r="J47" i="14"/>
  <c r="AD47" i="14"/>
  <c r="W47" i="14"/>
  <c r="AJ47" i="14"/>
  <c r="AA47" i="14"/>
  <c r="F47" i="14"/>
  <c r="S47" i="14"/>
  <c r="U47" i="14"/>
  <c r="P43" i="18"/>
  <c r="AG43" i="18"/>
  <c r="I43" i="18"/>
  <c r="N43" i="18"/>
  <c r="S43" i="18"/>
  <c r="J43" i="18"/>
  <c r="AE43" i="18"/>
  <c r="K43" i="18"/>
  <c r="W43" i="18"/>
  <c r="AK43" i="18"/>
  <c r="AI43" i="18"/>
  <c r="G43" i="18"/>
  <c r="U43" i="18"/>
  <c r="AB43" i="18"/>
  <c r="M43" i="18"/>
  <c r="V43" i="18"/>
  <c r="H43" i="18"/>
  <c r="T43" i="18"/>
  <c r="O43" i="18"/>
  <c r="X43" i="18"/>
  <c r="R43" i="18"/>
  <c r="AH43" i="18"/>
  <c r="Z43" i="18"/>
  <c r="Q43" i="18"/>
  <c r="F43" i="18"/>
  <c r="AL43" i="18"/>
  <c r="AD43" i="18"/>
  <c r="Y43" i="18"/>
  <c r="L43" i="18"/>
  <c r="AA43" i="18"/>
  <c r="AF43" i="18"/>
  <c r="AC43" i="18"/>
  <c r="AJ43" i="18"/>
  <c r="V44" i="13"/>
  <c r="AG44" i="13"/>
  <c r="AE44" i="13"/>
  <c r="Z44" i="13"/>
  <c r="AC44" i="13"/>
  <c r="Y44" i="13"/>
  <c r="AL44" i="13"/>
  <c r="AK44" i="13"/>
  <c r="H44" i="13"/>
  <c r="K44" i="13"/>
  <c r="X44" i="13"/>
  <c r="F44" i="13"/>
  <c r="AH44" i="13"/>
  <c r="I44" i="13"/>
  <c r="AA44" i="13"/>
  <c r="R44" i="13"/>
  <c r="J44" i="13"/>
  <c r="L44" i="13"/>
  <c r="AF44" i="13"/>
  <c r="O44" i="13"/>
  <c r="G44" i="13"/>
  <c r="AB44" i="13"/>
  <c r="AJ44" i="13"/>
  <c r="P44" i="13"/>
  <c r="W44" i="13"/>
  <c r="U44" i="13"/>
  <c r="Q44" i="13"/>
  <c r="N44" i="13"/>
  <c r="AI44" i="13"/>
  <c r="S44" i="13"/>
  <c r="M44" i="13"/>
  <c r="T44" i="13"/>
  <c r="AD44" i="13"/>
  <c r="CQ17" i="7"/>
  <c r="CR17" i="7"/>
  <c r="R17" i="7"/>
  <c r="AA17" i="7"/>
  <c r="AL17" i="7"/>
  <c r="BG17" i="7"/>
  <c r="BR17" i="7"/>
  <c r="CB17" i="7"/>
  <c r="BD17" i="7"/>
  <c r="AG17" i="7"/>
  <c r="H17" i="7"/>
  <c r="CG17" i="7"/>
  <c r="BK17" i="7"/>
  <c r="AF17" i="7"/>
  <c r="AU17" i="7"/>
  <c r="BN17" i="7"/>
  <c r="BS17" i="7"/>
  <c r="BF17" i="7"/>
  <c r="AM17" i="7"/>
  <c r="Z17" i="7"/>
  <c r="J17" i="7"/>
  <c r="Y17" i="7"/>
  <c r="BU17" i="7"/>
  <c r="F17" i="7"/>
  <c r="AE17" i="7"/>
  <c r="AX17" i="7"/>
  <c r="AY17" i="7"/>
  <c r="N17" i="7"/>
  <c r="S17" i="7"/>
  <c r="BA17" i="7"/>
  <c r="AO17" i="7"/>
  <c r="AJ17" i="7"/>
  <c r="K17" i="7"/>
  <c r="BI17" i="7"/>
  <c r="O17" i="7"/>
  <c r="AH17" i="7"/>
  <c r="G17" i="7"/>
  <c r="CC17" i="7"/>
  <c r="BY17" i="7"/>
  <c r="CF17" i="7"/>
  <c r="BW17" i="7"/>
  <c r="BO17" i="7"/>
  <c r="V17" i="7"/>
  <c r="AK17" i="7"/>
  <c r="CK17" i="7"/>
  <c r="BM17" i="7"/>
  <c r="BE17" i="7"/>
  <c r="AW17" i="7"/>
  <c r="U17" i="7"/>
  <c r="CI17" i="7"/>
  <c r="AI17" i="7"/>
  <c r="W17" i="7"/>
  <c r="T17" i="7"/>
  <c r="L17" i="7"/>
  <c r="P17" i="7"/>
  <c r="CL17" i="7"/>
  <c r="AP17" i="7"/>
  <c r="E17" i="7"/>
  <c r="BX17" i="7"/>
  <c r="CN17" i="7"/>
  <c r="BP17" i="7"/>
  <c r="CS17" i="7"/>
  <c r="BV17" i="7"/>
  <c r="AR17" i="7"/>
  <c r="AZ17" i="7"/>
  <c r="AB17" i="7"/>
  <c r="CP17" i="7"/>
  <c r="AD17" i="7"/>
  <c r="CA17" i="7"/>
  <c r="BZ17" i="7"/>
  <c r="BQ17" i="7"/>
  <c r="AS17" i="7"/>
  <c r="Q17" i="7"/>
  <c r="CH17" i="7"/>
  <c r="CD17" i="7"/>
  <c r="BT17" i="7"/>
  <c r="AN17" i="7"/>
  <c r="CJ17" i="7"/>
  <c r="AQ17" i="7"/>
  <c r="BJ17" i="7"/>
  <c r="AT17" i="7"/>
  <c r="M17" i="7"/>
  <c r="BB17" i="7"/>
  <c r="CM17" i="7"/>
  <c r="BC17" i="7"/>
  <c r="CE17" i="7"/>
  <c r="BL17" i="7"/>
  <c r="AC17" i="7"/>
  <c r="CO17" i="7"/>
  <c r="I17" i="7"/>
  <c r="X17" i="7"/>
  <c r="AV17" i="7"/>
  <c r="BH17" i="7"/>
  <c r="K41" i="14"/>
  <c r="AI41" i="14"/>
  <c r="AG41" i="14"/>
  <c r="R41" i="14"/>
  <c r="AA41" i="14"/>
  <c r="Z41" i="14"/>
  <c r="AH41" i="14"/>
  <c r="AC41" i="14"/>
  <c r="AK41" i="14"/>
  <c r="G41" i="14"/>
  <c r="P41" i="14"/>
  <c r="M41" i="14"/>
  <c r="V41" i="14"/>
  <c r="AL41" i="14"/>
  <c r="I41" i="14"/>
  <c r="H41" i="14"/>
  <c r="W41" i="14"/>
  <c r="X41" i="14"/>
  <c r="Y41" i="14"/>
  <c r="AD41" i="14"/>
  <c r="S41" i="14"/>
  <c r="O41" i="14"/>
  <c r="AB41" i="14"/>
  <c r="N41" i="14"/>
  <c r="U41" i="14"/>
  <c r="Q41" i="14"/>
  <c r="L41" i="14"/>
  <c r="AE41" i="14"/>
  <c r="AJ41" i="14"/>
  <c r="AF41" i="14"/>
  <c r="J41" i="14"/>
  <c r="T41" i="14"/>
  <c r="F41" i="14"/>
  <c r="N42" i="18"/>
  <c r="O42" i="18"/>
  <c r="AG42" i="18"/>
  <c r="AI42" i="18"/>
  <c r="P42" i="18"/>
  <c r="S42" i="18"/>
  <c r="Z42" i="18"/>
  <c r="R42" i="18"/>
  <c r="L42" i="18"/>
  <c r="AE42" i="18"/>
  <c r="K42" i="18"/>
  <c r="AC42" i="18"/>
  <c r="M42" i="18"/>
  <c r="AH42" i="18"/>
  <c r="F42" i="18"/>
  <c r="I42" i="18"/>
  <c r="AD42" i="18"/>
  <c r="U42" i="18"/>
  <c r="W42" i="18"/>
  <c r="AB42" i="18"/>
  <c r="Y42" i="18"/>
  <c r="AA42" i="18"/>
  <c r="AL42" i="18"/>
  <c r="Q42" i="18"/>
  <c r="J42" i="18"/>
  <c r="H42" i="18"/>
  <c r="AJ42" i="18"/>
  <c r="T42" i="18"/>
  <c r="X42" i="18"/>
  <c r="AF42" i="18"/>
  <c r="AK42" i="18"/>
  <c r="V42" i="18"/>
  <c r="G42" i="18"/>
  <c r="AF41" i="15"/>
  <c r="AB41" i="15"/>
  <c r="AE41" i="15"/>
  <c r="AH41" i="15"/>
  <c r="M41" i="15"/>
  <c r="AJ41" i="15"/>
  <c r="O41" i="15"/>
  <c r="N41" i="15"/>
  <c r="AC41" i="15"/>
  <c r="Q41" i="15"/>
  <c r="G41" i="15"/>
  <c r="P41" i="15"/>
  <c r="AL41" i="15"/>
  <c r="T41" i="15"/>
  <c r="F41" i="15"/>
  <c r="Z41" i="15"/>
  <c r="Y41" i="15"/>
  <c r="W41" i="15"/>
  <c r="AG41" i="15"/>
  <c r="S41" i="15"/>
  <c r="U41" i="15"/>
  <c r="AD41" i="15"/>
  <c r="X41" i="15"/>
  <c r="K41" i="15"/>
  <c r="I41" i="15"/>
  <c r="V41" i="15"/>
  <c r="J41" i="15"/>
  <c r="AK41" i="15"/>
  <c r="AI41" i="15"/>
  <c r="L41" i="15"/>
  <c r="R41" i="15"/>
  <c r="AA41" i="15"/>
  <c r="H41" i="15"/>
  <c r="AF47" i="13"/>
  <c r="W47" i="13"/>
  <c r="O47" i="13"/>
  <c r="AB47" i="13"/>
  <c r="T47" i="13"/>
  <c r="F47" i="13"/>
  <c r="N47" i="13"/>
  <c r="Z47" i="13"/>
  <c r="AL47" i="13"/>
  <c r="G47" i="13"/>
  <c r="X47" i="13"/>
  <c r="AE47" i="13"/>
  <c r="AC47" i="13"/>
  <c r="Y47" i="13"/>
  <c r="I47" i="13"/>
  <c r="Q47" i="13"/>
  <c r="AD47" i="13"/>
  <c r="AG47" i="13"/>
  <c r="S47" i="13"/>
  <c r="H47" i="13"/>
  <c r="AK47" i="13"/>
  <c r="L47" i="13"/>
  <c r="AA47" i="13"/>
  <c r="AH47" i="13"/>
  <c r="K47" i="13"/>
  <c r="J47" i="13"/>
  <c r="AI47" i="13"/>
  <c r="V47" i="13"/>
  <c r="M47" i="13"/>
  <c r="U47" i="13"/>
  <c r="AJ47" i="13"/>
  <c r="P47" i="13"/>
  <c r="R47" i="13"/>
  <c r="AJ21" i="7"/>
  <c r="AP21" i="7"/>
  <c r="CK21" i="7"/>
  <c r="CH21" i="7"/>
  <c r="CO21" i="7"/>
  <c r="AI21" i="7"/>
  <c r="T21" i="7"/>
  <c r="AE21" i="7"/>
  <c r="BL21" i="7"/>
  <c r="CA21" i="7"/>
  <c r="CM21" i="7"/>
  <c r="BY21" i="7"/>
  <c r="E21" i="7"/>
  <c r="BF21" i="7"/>
  <c r="BU21" i="7"/>
  <c r="AT21" i="7"/>
  <c r="AG21" i="7"/>
  <c r="CJ21" i="7"/>
  <c r="R21" i="7"/>
  <c r="G21" i="7"/>
  <c r="N21" i="7"/>
  <c r="AH21" i="7"/>
  <c r="F21" i="7"/>
  <c r="BP21" i="7"/>
  <c r="Z21" i="7"/>
  <c r="BE21" i="7"/>
  <c r="V21" i="7"/>
  <c r="Q21" i="7"/>
  <c r="AF21" i="7"/>
  <c r="BT21" i="7"/>
  <c r="AL21" i="7"/>
  <c r="CG21" i="7"/>
  <c r="CS21" i="7"/>
  <c r="L21" i="7"/>
  <c r="J21" i="7"/>
  <c r="CF21" i="7"/>
  <c r="CR21" i="7"/>
  <c r="CN21" i="7"/>
  <c r="AU21" i="7"/>
  <c r="X21" i="7"/>
  <c r="K21" i="7"/>
  <c r="AS21" i="7"/>
  <c r="Y21" i="7"/>
  <c r="BW21" i="7"/>
  <c r="CB21" i="7"/>
  <c r="AR21" i="7"/>
  <c r="BD21" i="7"/>
  <c r="AB21" i="7"/>
  <c r="BX21" i="7"/>
  <c r="CC21" i="7"/>
  <c r="BM21" i="7"/>
  <c r="U21" i="7"/>
  <c r="AZ21" i="7"/>
  <c r="BG21" i="7"/>
  <c r="BQ21" i="7"/>
  <c r="BZ21" i="7"/>
  <c r="BC21" i="7"/>
  <c r="AQ21" i="7"/>
  <c r="S21" i="7"/>
  <c r="BK21" i="7"/>
  <c r="CD21" i="7"/>
  <c r="AC21" i="7"/>
  <c r="AN21" i="7"/>
  <c r="CL21" i="7"/>
  <c r="AA21" i="7"/>
  <c r="BB21" i="7"/>
  <c r="I21" i="7"/>
  <c r="BI21" i="7"/>
  <c r="AY21" i="7"/>
  <c r="AM21" i="7"/>
  <c r="P21" i="7"/>
  <c r="M21" i="7"/>
  <c r="BV21" i="7"/>
  <c r="AW21" i="7"/>
  <c r="AK21" i="7"/>
  <c r="H21" i="7"/>
  <c r="AD21" i="7"/>
  <c r="BR21" i="7"/>
  <c r="BN21" i="7"/>
  <c r="AX21" i="7"/>
  <c r="BS21" i="7"/>
  <c r="CQ21" i="7"/>
  <c r="BJ21" i="7"/>
  <c r="CI21" i="7"/>
  <c r="AO21" i="7"/>
  <c r="O21" i="7"/>
  <c r="AV21" i="7"/>
  <c r="BH21" i="7"/>
  <c r="CE21" i="7"/>
  <c r="BO21" i="7"/>
  <c r="W21" i="7"/>
  <c r="BA21" i="7"/>
  <c r="CP21" i="7"/>
  <c r="AD44" i="14"/>
  <c r="V44" i="14"/>
  <c r="P44" i="14"/>
  <c r="AH44" i="14"/>
  <c r="N44" i="14"/>
  <c r="AL44" i="14"/>
  <c r="L44" i="14"/>
  <c r="T44" i="14"/>
  <c r="I44" i="14"/>
  <c r="AC44" i="14"/>
  <c r="AE44" i="14"/>
  <c r="S44" i="14"/>
  <c r="X44" i="14"/>
  <c r="AI44" i="14"/>
  <c r="O44" i="14"/>
  <c r="AJ44" i="14"/>
  <c r="H44" i="14"/>
  <c r="Z44" i="14"/>
  <c r="AG44" i="14"/>
  <c r="J44" i="14"/>
  <c r="Q44" i="14"/>
  <c r="K44" i="14"/>
  <c r="U44" i="14"/>
  <c r="M44" i="14"/>
  <c r="AF44" i="14"/>
  <c r="AA44" i="14"/>
  <c r="G44" i="14"/>
  <c r="R44" i="14"/>
  <c r="F44" i="14"/>
  <c r="Y44" i="14"/>
  <c r="AK44" i="14"/>
  <c r="W44" i="14"/>
  <c r="AB44" i="14"/>
  <c r="L47" i="18"/>
  <c r="T47" i="18"/>
  <c r="O47" i="18"/>
  <c r="AH47" i="18"/>
  <c r="AD47" i="18"/>
  <c r="AA47" i="18"/>
  <c r="AJ47" i="18"/>
  <c r="U47" i="18"/>
  <c r="H47" i="18"/>
  <c r="Y47" i="18"/>
  <c r="AE47" i="18"/>
  <c r="X47" i="18"/>
  <c r="G47" i="18"/>
  <c r="P47" i="18"/>
  <c r="Z47" i="18"/>
  <c r="F47" i="18"/>
  <c r="W47" i="18"/>
  <c r="AF47" i="18"/>
  <c r="N47" i="18"/>
  <c r="I47" i="18"/>
  <c r="AG47" i="18"/>
  <c r="S47" i="18"/>
  <c r="AB47" i="18"/>
  <c r="AC47" i="18"/>
  <c r="R47" i="18"/>
  <c r="AK47" i="18"/>
  <c r="V47" i="18"/>
  <c r="J47" i="18"/>
  <c r="K47" i="18"/>
  <c r="AL47" i="18"/>
  <c r="Q47" i="18"/>
  <c r="AI47" i="18"/>
  <c r="M47" i="18"/>
  <c r="AH46" i="13"/>
  <c r="AA46" i="13"/>
  <c r="AJ46" i="13"/>
  <c r="Y46" i="13"/>
  <c r="F46" i="13"/>
  <c r="J46" i="13"/>
  <c r="V46" i="13"/>
  <c r="Q46" i="13"/>
  <c r="X46" i="13"/>
  <c r="G46" i="13"/>
  <c r="AB46" i="13"/>
  <c r="U46" i="13"/>
  <c r="S46" i="13"/>
  <c r="I46" i="13"/>
  <c r="Z46" i="13"/>
  <c r="L46" i="13"/>
  <c r="AL46" i="13"/>
  <c r="P46" i="13"/>
  <c r="AI46" i="13"/>
  <c r="W46" i="13"/>
  <c r="O46" i="13"/>
  <c r="T46" i="13"/>
  <c r="H46" i="13"/>
  <c r="AD46" i="13"/>
  <c r="AC46" i="13"/>
  <c r="AG46" i="13"/>
  <c r="AE46" i="13"/>
  <c r="R46" i="13"/>
  <c r="M46" i="13"/>
  <c r="N46" i="13"/>
  <c r="AK46" i="13"/>
  <c r="AF46" i="13"/>
  <c r="K46" i="13"/>
  <c r="AD12" i="10"/>
  <c r="R12" i="10"/>
  <c r="V12" i="10"/>
  <c r="AE12" i="10"/>
  <c r="K12" i="10"/>
  <c r="G12" i="10"/>
  <c r="AG12" i="10"/>
  <c r="AK12" i="10"/>
  <c r="U12" i="10"/>
  <c r="AJ12" i="10"/>
  <c r="W12" i="10"/>
  <c r="X12" i="10"/>
  <c r="J12" i="10"/>
  <c r="AB12" i="10"/>
  <c r="AA12" i="10"/>
  <c r="Z12" i="10"/>
  <c r="O12" i="10"/>
  <c r="Y12" i="10"/>
  <c r="T12" i="10"/>
  <c r="AC12" i="10"/>
  <c r="AI12" i="10"/>
  <c r="H12" i="10"/>
  <c r="AF12" i="10"/>
  <c r="E12" i="10"/>
  <c r="AH12" i="10"/>
  <c r="N12" i="10"/>
  <c r="L12" i="10"/>
  <c r="S12" i="10"/>
  <c r="AL12" i="10"/>
  <c r="CS47" i="10"/>
  <c r="I12" i="10"/>
  <c r="Q12" i="10"/>
  <c r="M12" i="10"/>
  <c r="F12" i="10"/>
  <c r="P12" i="10"/>
  <c r="S15" i="10"/>
  <c r="F15" i="10"/>
  <c r="T15" i="10"/>
  <c r="O15" i="10"/>
  <c r="I15" i="10"/>
  <c r="Y15" i="10"/>
  <c r="AF15" i="10"/>
  <c r="X15" i="10"/>
  <c r="AJ15" i="10"/>
  <c r="AA15" i="10"/>
  <c r="AH15" i="10"/>
  <c r="Z15" i="10"/>
  <c r="AE15" i="10"/>
  <c r="N15" i="10"/>
  <c r="AB15" i="10"/>
  <c r="J15" i="10"/>
  <c r="P15" i="10"/>
  <c r="Q15" i="10"/>
  <c r="AI15" i="10"/>
  <c r="K15" i="10"/>
  <c r="H15" i="10"/>
  <c r="V15" i="10"/>
  <c r="U15" i="10"/>
  <c r="E15" i="10"/>
  <c r="AK15" i="10"/>
  <c r="G15" i="10"/>
  <c r="AD15" i="10"/>
  <c r="AL15" i="10"/>
  <c r="CS50" i="10"/>
  <c r="M15" i="10"/>
  <c r="W15" i="10"/>
  <c r="AG15" i="10"/>
  <c r="AC15" i="10"/>
  <c r="R15" i="10"/>
  <c r="L15" i="10"/>
  <c r="F13" i="10"/>
  <c r="AK13" i="10"/>
  <c r="H13" i="10"/>
  <c r="J13" i="10"/>
  <c r="T13" i="10"/>
  <c r="V13" i="10"/>
  <c r="K13" i="10"/>
  <c r="AI13" i="10"/>
  <c r="X13" i="10"/>
  <c r="P13" i="10"/>
  <c r="N13" i="10"/>
  <c r="AH13" i="10"/>
  <c r="G13" i="10"/>
  <c r="AC13" i="10"/>
  <c r="AF13" i="10"/>
  <c r="E13" i="10"/>
  <c r="R13" i="10"/>
  <c r="AG13" i="10"/>
  <c r="W13" i="10"/>
  <c r="AJ13" i="10"/>
  <c r="Y13" i="10"/>
  <c r="U13" i="10"/>
  <c r="AD13" i="10"/>
  <c r="AL13" i="10"/>
  <c r="CS48" i="10"/>
  <c r="AB13" i="10"/>
  <c r="M13" i="10"/>
  <c r="Z13" i="10"/>
  <c r="L13" i="10"/>
  <c r="AE13" i="10"/>
  <c r="O13" i="10"/>
  <c r="S13" i="10"/>
  <c r="I13" i="10"/>
  <c r="Q13" i="10"/>
  <c r="AA13" i="10"/>
  <c r="E11" i="10"/>
  <c r="K11" i="10"/>
  <c r="R11" i="10"/>
  <c r="N11" i="10"/>
  <c r="AC11" i="10"/>
  <c r="AF11" i="10"/>
  <c r="S11" i="10"/>
  <c r="AB11" i="10"/>
  <c r="Y11" i="10"/>
  <c r="W11" i="10"/>
  <c r="X11" i="10"/>
  <c r="AD11" i="10"/>
  <c r="AK11" i="10"/>
  <c r="I11" i="10"/>
  <c r="Q11" i="10"/>
  <c r="T11" i="10"/>
  <c r="AJ11" i="10"/>
  <c r="O11" i="10"/>
  <c r="AE11" i="10"/>
  <c r="AI11" i="10"/>
  <c r="AL11" i="10"/>
  <c r="CS46" i="10"/>
  <c r="AA11" i="10"/>
  <c r="U11" i="10"/>
  <c r="Z11" i="10"/>
  <c r="AH11" i="10"/>
  <c r="AG11" i="10"/>
  <c r="L11" i="10"/>
  <c r="V11" i="10"/>
  <c r="M11" i="10"/>
  <c r="F11" i="10"/>
  <c r="H11" i="10"/>
  <c r="J11" i="10"/>
  <c r="G11" i="10"/>
  <c r="P11" i="10"/>
  <c r="Q14" i="10"/>
  <c r="AI14" i="10"/>
  <c r="S14" i="10"/>
  <c r="AA14" i="10"/>
  <c r="AL14" i="10"/>
  <c r="CS49" i="10"/>
  <c r="AB14" i="10"/>
  <c r="X14" i="10"/>
  <c r="U14" i="10"/>
  <c r="F14" i="10"/>
  <c r="J14" i="10"/>
  <c r="R14" i="10"/>
  <c r="G14" i="10"/>
  <c r="V14" i="10"/>
  <c r="L14" i="10"/>
  <c r="Y14" i="10"/>
  <c r="E14" i="10"/>
  <c r="Z14" i="10"/>
  <c r="AG14" i="10"/>
  <c r="AK14" i="10"/>
  <c r="W14" i="10"/>
  <c r="AJ14" i="10"/>
  <c r="AF14" i="10"/>
  <c r="H14" i="10"/>
  <c r="T14" i="10"/>
  <c r="I14" i="10"/>
  <c r="AH14" i="10"/>
  <c r="AE14" i="10"/>
  <c r="N14" i="10"/>
  <c r="AD14" i="10"/>
  <c r="AC14" i="10"/>
  <c r="P14" i="10"/>
  <c r="O14" i="10"/>
  <c r="K14" i="10"/>
  <c r="M14" i="10"/>
  <c r="AC16" i="10"/>
  <c r="R16" i="10"/>
  <c r="AH16" i="10"/>
  <c r="F16" i="10"/>
  <c r="P16" i="10"/>
  <c r="H16" i="10"/>
  <c r="AK16" i="10"/>
  <c r="AD16" i="10"/>
  <c r="AL16" i="10"/>
  <c r="CS51" i="10"/>
  <c r="AF16" i="10"/>
  <c r="Z16" i="10"/>
  <c r="Q16" i="10"/>
  <c r="AG16" i="10"/>
  <c r="V16" i="10"/>
  <c r="AE16" i="10"/>
  <c r="J16" i="10"/>
  <c r="AI16" i="10"/>
  <c r="AA16" i="10"/>
  <c r="E16" i="10"/>
  <c r="I16" i="10"/>
  <c r="K16" i="10"/>
  <c r="G16" i="10"/>
  <c r="AB16" i="10"/>
  <c r="U16" i="10"/>
  <c r="W16" i="10"/>
  <c r="Y16" i="10"/>
  <c r="M16" i="10"/>
  <c r="S16" i="10"/>
  <c r="N16" i="10"/>
  <c r="AJ16" i="10"/>
  <c r="X16" i="10"/>
  <c r="T16" i="10"/>
  <c r="L16" i="10"/>
  <c r="O16" i="10"/>
  <c r="AI17" i="10"/>
  <c r="Q17" i="10"/>
  <c r="H17" i="10"/>
  <c r="AL17" i="10"/>
  <c r="CS52" i="10"/>
  <c r="J17" i="10"/>
  <c r="M17" i="10"/>
  <c r="U17" i="10"/>
  <c r="AF17" i="10"/>
  <c r="V17" i="10"/>
  <c r="Z17" i="10"/>
  <c r="K17" i="10"/>
  <c r="S17" i="10"/>
  <c r="AH17" i="10"/>
  <c r="F17" i="10"/>
  <c r="AG17" i="10"/>
  <c r="AK17" i="10"/>
  <c r="N17" i="10"/>
  <c r="AE17" i="10"/>
  <c r="Y17" i="10"/>
  <c r="G17" i="10"/>
  <c r="AB17" i="10"/>
  <c r="R17" i="10"/>
  <c r="AD17" i="10"/>
  <c r="X17" i="10"/>
  <c r="AC17" i="10"/>
  <c r="AJ17" i="10"/>
  <c r="O17" i="10"/>
  <c r="W17" i="10"/>
  <c r="P17" i="10"/>
  <c r="E17" i="10"/>
  <c r="T17" i="10"/>
  <c r="I17" i="10"/>
  <c r="AA17" i="10"/>
  <c r="L17" i="10"/>
  <c r="E34" i="12"/>
  <c r="E32" i="12"/>
  <c r="E36" i="12"/>
  <c r="E35" i="12"/>
  <c r="E38" i="12"/>
  <c r="E33" i="12"/>
  <c r="K169" i="12"/>
  <c r="U108" i="17"/>
  <c r="E144" i="16"/>
  <c r="O163" i="14"/>
  <c r="U132" i="18"/>
  <c r="AI181" i="18"/>
  <c r="U120" i="14"/>
  <c r="I181" i="14"/>
  <c r="N175" i="15"/>
  <c r="I163" i="18"/>
  <c r="J157" i="12"/>
  <c r="E120" i="13"/>
  <c r="M163" i="12"/>
  <c r="J187" i="13"/>
  <c r="K163" i="14"/>
  <c r="M144" i="13"/>
  <c r="AG144" i="15"/>
  <c r="F187" i="16"/>
  <c r="AI120" i="15"/>
  <c r="U132" i="16"/>
  <c r="U144" i="17"/>
  <c r="U163" i="17"/>
  <c r="U181" i="14"/>
  <c r="I126" i="13"/>
  <c r="K175" i="13"/>
  <c r="I120" i="12"/>
  <c r="L144" i="17"/>
  <c r="K108" i="13"/>
  <c r="K175" i="16"/>
  <c r="I144" i="15"/>
  <c r="I187" i="16"/>
  <c r="M181" i="13"/>
  <c r="O120" i="17"/>
  <c r="E157" i="18"/>
  <c r="AG132" i="14"/>
  <c r="U138" i="17"/>
  <c r="U114" i="15"/>
  <c r="U175" i="14"/>
  <c r="K157" i="12"/>
  <c r="K138" i="18"/>
  <c r="J108" i="13"/>
  <c r="J157" i="17"/>
  <c r="I157" i="15"/>
  <c r="L151" i="14"/>
  <c r="I181" i="15"/>
  <c r="P108" i="15"/>
  <c r="I120" i="14"/>
  <c r="O138" i="17"/>
  <c r="Q144" i="14"/>
  <c r="AD120" i="17"/>
  <c r="U163" i="14"/>
  <c r="U108" i="12"/>
  <c r="U151" i="18"/>
  <c r="U108" i="18"/>
  <c r="M163" i="15"/>
  <c r="J120" i="18"/>
  <c r="M169" i="15"/>
  <c r="J181" i="18"/>
  <c r="K163" i="17"/>
  <c r="J132" i="16"/>
  <c r="I151" i="17"/>
  <c r="N108" i="14"/>
  <c r="Q144" i="12"/>
  <c r="T126" i="14"/>
  <c r="S132" i="13"/>
  <c r="U187" i="12"/>
  <c r="AE187" i="17"/>
  <c r="U120" i="17"/>
  <c r="U108" i="14"/>
  <c r="U181" i="16"/>
  <c r="U181" i="13"/>
  <c r="K187" i="13"/>
  <c r="I126" i="17"/>
  <c r="M138" i="15"/>
  <c r="M181" i="18"/>
  <c r="M114" i="16"/>
  <c r="K175" i="18"/>
  <c r="K163" i="15"/>
  <c r="J181" i="14"/>
  <c r="S138" i="16"/>
  <c r="S126" i="13"/>
  <c r="Y138" i="16"/>
  <c r="U169" i="12"/>
  <c r="V169" i="12"/>
  <c r="U175" i="15"/>
  <c r="U175" i="13"/>
  <c r="U181" i="12"/>
  <c r="I120" i="16"/>
  <c r="L132" i="18"/>
  <c r="L163" i="15"/>
  <c r="L120" i="12"/>
  <c r="L108" i="17"/>
  <c r="M120" i="18"/>
  <c r="M120" i="16"/>
  <c r="P138" i="12"/>
  <c r="N151" i="14"/>
  <c r="R175" i="12"/>
  <c r="U108" i="15"/>
  <c r="F138" i="16"/>
  <c r="AI144" i="14"/>
  <c r="U132" i="13"/>
  <c r="U126" i="18"/>
  <c r="U126" i="13"/>
  <c r="U187" i="16"/>
  <c r="J169" i="16"/>
  <c r="M169" i="12"/>
  <c r="L169" i="17"/>
  <c r="I144" i="12"/>
  <c r="I169" i="12"/>
  <c r="J151" i="15"/>
  <c r="L144" i="12"/>
  <c r="N181" i="15"/>
  <c r="T132" i="17"/>
  <c r="R114" i="15"/>
  <c r="S132" i="12"/>
  <c r="O108" i="17"/>
  <c r="O169" i="12"/>
  <c r="N175" i="12"/>
  <c r="R108" i="17"/>
  <c r="N138" i="14"/>
  <c r="P151" i="13"/>
  <c r="Q126" i="15"/>
  <c r="T175" i="16"/>
  <c r="Q114" i="18"/>
  <c r="N108" i="17"/>
  <c r="N181" i="18"/>
  <c r="Q138" i="17"/>
  <c r="N120" i="14"/>
  <c r="S169" i="13"/>
  <c r="S169" i="17"/>
  <c r="N187" i="15"/>
  <c r="Q138" i="12"/>
  <c r="T157" i="18"/>
  <c r="Q187" i="17"/>
  <c r="L144" i="14"/>
  <c r="N175" i="18"/>
  <c r="J138" i="18"/>
  <c r="J114" i="13"/>
  <c r="J126" i="15"/>
  <c r="K138" i="17"/>
  <c r="I138" i="15"/>
  <c r="K151" i="18"/>
  <c r="K108" i="16"/>
  <c r="J163" i="18"/>
  <c r="L151" i="17"/>
  <c r="J132" i="13"/>
  <c r="L138" i="16"/>
  <c r="I114" i="18"/>
  <c r="K151" i="17"/>
  <c r="M187" i="16"/>
  <c r="J181" i="17"/>
  <c r="I169" i="18"/>
  <c r="I151" i="14"/>
  <c r="L181" i="16"/>
  <c r="I120" i="17"/>
  <c r="K120" i="13"/>
  <c r="J151" i="17"/>
  <c r="M157" i="13"/>
  <c r="K175" i="15"/>
  <c r="L114" i="15"/>
  <c r="L157" i="16"/>
  <c r="I108" i="18"/>
  <c r="K175" i="12"/>
  <c r="J126" i="13"/>
  <c r="M114" i="17"/>
  <c r="M126" i="13"/>
  <c r="J138" i="14"/>
  <c r="L181" i="17"/>
  <c r="K144" i="12"/>
  <c r="L163" i="18"/>
  <c r="M144" i="12"/>
  <c r="L132" i="12"/>
  <c r="L138" i="18"/>
  <c r="M114" i="13"/>
  <c r="L151" i="15"/>
  <c r="K157" i="17"/>
  <c r="I144" i="13"/>
  <c r="I163" i="16"/>
  <c r="L138" i="17"/>
  <c r="I120" i="13"/>
  <c r="L175" i="15"/>
  <c r="L163" i="16"/>
  <c r="M175" i="13"/>
  <c r="I114" i="12"/>
  <c r="L114" i="14"/>
  <c r="I151" i="12"/>
  <c r="L126" i="18"/>
  <c r="J181" i="13"/>
  <c r="M138" i="17"/>
  <c r="L120" i="18"/>
  <c r="M138" i="16"/>
  <c r="L144" i="13"/>
  <c r="U138" i="18"/>
  <c r="U144" i="15"/>
  <c r="U163" i="12"/>
  <c r="U175" i="17"/>
  <c r="U132" i="12"/>
  <c r="W187" i="14"/>
  <c r="N132" i="18"/>
  <c r="N151" i="17"/>
  <c r="P175" i="15"/>
  <c r="S163" i="15"/>
  <c r="N132" i="12"/>
  <c r="S132" i="15"/>
  <c r="R163" i="16"/>
  <c r="T175" i="18"/>
  <c r="T126" i="18"/>
  <c r="S157" i="14"/>
  <c r="T114" i="16"/>
  <c r="Q169" i="16"/>
  <c r="N126" i="16"/>
  <c r="T187" i="13"/>
  <c r="T187" i="16"/>
  <c r="M108" i="18"/>
  <c r="S138" i="15"/>
  <c r="Q163" i="16"/>
  <c r="P169" i="15"/>
  <c r="N144" i="16"/>
  <c r="S169" i="15"/>
  <c r="T126" i="17"/>
  <c r="M187" i="15"/>
  <c r="L157" i="17"/>
  <c r="J163" i="12"/>
  <c r="K187" i="12"/>
  <c r="J126" i="18"/>
  <c r="J108" i="15"/>
  <c r="M157" i="15"/>
  <c r="M187" i="18"/>
  <c r="I169" i="17"/>
  <c r="J120" i="17"/>
  <c r="J169" i="15"/>
  <c r="J157" i="18"/>
  <c r="M187" i="13"/>
  <c r="J175" i="17"/>
  <c r="J138" i="15"/>
  <c r="J108" i="18"/>
  <c r="L187" i="13"/>
  <c r="I163" i="17"/>
  <c r="J132" i="12"/>
  <c r="L132" i="14"/>
  <c r="K126" i="18"/>
  <c r="K163" i="16"/>
  <c r="M175" i="14"/>
  <c r="K132" i="12"/>
  <c r="I181" i="12"/>
  <c r="L114" i="16"/>
  <c r="I157" i="12"/>
  <c r="M132" i="18"/>
  <c r="J163" i="16"/>
  <c r="M132" i="15"/>
  <c r="L157" i="13"/>
  <c r="J114" i="12"/>
  <c r="M138" i="18"/>
  <c r="J181" i="16"/>
  <c r="M126" i="14"/>
  <c r="K169" i="14"/>
  <c r="L132" i="17"/>
  <c r="J138" i="17"/>
  <c r="K181" i="16"/>
  <c r="L181" i="14"/>
  <c r="L126" i="15"/>
  <c r="L132" i="16"/>
  <c r="M126" i="15"/>
  <c r="M151" i="12"/>
  <c r="K138" i="16"/>
  <c r="M187" i="14"/>
  <c r="L175" i="17"/>
  <c r="I181" i="16"/>
  <c r="J157" i="16"/>
  <c r="L151" i="12"/>
  <c r="J151" i="14"/>
  <c r="K181" i="18"/>
  <c r="K181" i="14"/>
  <c r="K151" i="14"/>
  <c r="M157" i="14"/>
  <c r="U151" i="16"/>
  <c r="U181" i="17"/>
  <c r="U144" i="14"/>
  <c r="U132" i="17"/>
  <c r="U126" i="12"/>
  <c r="S120" i="16"/>
  <c r="R187" i="16"/>
  <c r="P108" i="13"/>
  <c r="Q126" i="13"/>
  <c r="S175" i="13"/>
  <c r="P120" i="15"/>
  <c r="T144" i="16"/>
  <c r="R181" i="17"/>
  <c r="O181" i="18"/>
  <c r="N114" i="15"/>
  <c r="S175" i="16"/>
  <c r="N108" i="12"/>
  <c r="N126" i="13"/>
  <c r="S187" i="14"/>
  <c r="P151" i="12"/>
  <c r="I138" i="16"/>
  <c r="S151" i="15"/>
  <c r="N138" i="15"/>
  <c r="O132" i="18"/>
  <c r="M108" i="16"/>
  <c r="P114" i="13"/>
  <c r="O126" i="16"/>
  <c r="S114" i="12"/>
  <c r="I187" i="15"/>
  <c r="L120" i="13"/>
  <c r="M151" i="17"/>
  <c r="K181" i="12"/>
  <c r="K126" i="14"/>
  <c r="K114" i="16"/>
  <c r="M126" i="12"/>
  <c r="M157" i="12"/>
  <c r="I151" i="13"/>
  <c r="J120" i="15"/>
  <c r="J144" i="15"/>
  <c r="J144" i="12"/>
  <c r="L163" i="14"/>
  <c r="L108" i="14"/>
  <c r="M157" i="17"/>
  <c r="M169" i="14"/>
  <c r="J163" i="15"/>
  <c r="L169" i="15"/>
  <c r="J108" i="12"/>
  <c r="L163" i="12"/>
  <c r="J163" i="14"/>
  <c r="I151" i="16"/>
  <c r="M169" i="18"/>
  <c r="M151" i="13"/>
  <c r="J126" i="12"/>
  <c r="L114" i="12"/>
  <c r="K187" i="18"/>
  <c r="K151" i="13"/>
  <c r="K157" i="13"/>
  <c r="K132" i="18"/>
  <c r="M138" i="12"/>
  <c r="K181" i="15"/>
  <c r="K126" i="12"/>
  <c r="M132" i="17"/>
  <c r="K120" i="17"/>
  <c r="K144" i="18"/>
  <c r="K132" i="13"/>
  <c r="K120" i="12"/>
  <c r="J151" i="13"/>
  <c r="I138" i="18"/>
  <c r="I175" i="18"/>
  <c r="L126" i="16"/>
  <c r="I187" i="12"/>
  <c r="J114" i="18"/>
  <c r="K169" i="17"/>
  <c r="J151" i="18"/>
  <c r="M157" i="18"/>
  <c r="L187" i="15"/>
  <c r="K138" i="13"/>
  <c r="J187" i="17"/>
  <c r="L126" i="17"/>
  <c r="K138" i="15"/>
  <c r="J120" i="13"/>
  <c r="H144" i="14"/>
  <c r="K138" i="14"/>
  <c r="G138" i="17"/>
  <c r="L108" i="12"/>
  <c r="U108" i="13"/>
  <c r="U163" i="13"/>
  <c r="U144" i="13"/>
  <c r="U163" i="16"/>
  <c r="R151" i="16"/>
  <c r="R126" i="16"/>
  <c r="S163" i="17"/>
  <c r="R138" i="15"/>
  <c r="R169" i="17"/>
  <c r="T163" i="13"/>
  <c r="S175" i="18"/>
  <c r="O126" i="17"/>
  <c r="P175" i="14"/>
  <c r="N126" i="17"/>
  <c r="O157" i="15"/>
  <c r="Q144" i="17"/>
  <c r="T157" i="13"/>
  <c r="P187" i="15"/>
  <c r="P175" i="17"/>
  <c r="K169" i="13"/>
  <c r="P126" i="12"/>
  <c r="S120" i="14"/>
  <c r="T138" i="15"/>
  <c r="J169" i="12"/>
  <c r="K157" i="18"/>
  <c r="Q181" i="14"/>
  <c r="I169" i="15"/>
  <c r="S181" i="15"/>
  <c r="I114" i="14"/>
  <c r="J138" i="12"/>
  <c r="J175" i="15"/>
  <c r="J169" i="18"/>
  <c r="L114" i="18"/>
  <c r="M175" i="17"/>
  <c r="M163" i="13"/>
  <c r="I126" i="18"/>
  <c r="J120" i="12"/>
  <c r="M114" i="15"/>
  <c r="K181" i="13"/>
  <c r="I114" i="16"/>
  <c r="J132" i="18"/>
  <c r="M138" i="14"/>
  <c r="L157" i="14"/>
  <c r="L120" i="15"/>
  <c r="L181" i="12"/>
  <c r="L163" i="17"/>
  <c r="I157" i="18"/>
  <c r="J187" i="14"/>
  <c r="M181" i="12"/>
  <c r="M157" i="16"/>
  <c r="J138" i="16"/>
  <c r="I169" i="13"/>
  <c r="L169" i="14"/>
  <c r="I157" i="17"/>
  <c r="M151" i="18"/>
  <c r="I138" i="17"/>
  <c r="M163" i="18"/>
  <c r="K151" i="15"/>
  <c r="K120" i="16"/>
  <c r="L144" i="15"/>
  <c r="I108" i="15"/>
  <c r="M132" i="12"/>
  <c r="K132" i="15"/>
  <c r="M187" i="17"/>
  <c r="M126" i="17"/>
  <c r="M175" i="16"/>
  <c r="M138" i="13"/>
  <c r="M181" i="15"/>
  <c r="K120" i="18"/>
  <c r="I163" i="14"/>
  <c r="M120" i="15"/>
  <c r="M132" i="13"/>
  <c r="I138" i="13"/>
  <c r="K114" i="15"/>
  <c r="I120" i="15"/>
  <c r="I181" i="13"/>
  <c r="L169" i="16"/>
  <c r="I169" i="16"/>
  <c r="L151" i="13"/>
  <c r="L114" i="17"/>
  <c r="I157" i="14"/>
  <c r="K126" i="16"/>
  <c r="J175" i="14"/>
  <c r="K108" i="18"/>
  <c r="U169" i="16"/>
  <c r="U157" i="17"/>
  <c r="T157" i="12"/>
  <c r="T120" i="14"/>
  <c r="Q144" i="15"/>
  <c r="O181" i="16"/>
  <c r="P126" i="17"/>
  <c r="P144" i="13"/>
  <c r="O187" i="16"/>
  <c r="R157" i="12"/>
  <c r="Q138" i="15"/>
  <c r="P157" i="16"/>
  <c r="R114" i="18"/>
  <c r="N187" i="18"/>
  <c r="S138" i="12"/>
  <c r="S144" i="13"/>
  <c r="J163" i="13"/>
  <c r="O163" i="17"/>
  <c r="Q126" i="12"/>
  <c r="N157" i="17"/>
  <c r="Q151" i="12"/>
  <c r="I157" i="13"/>
  <c r="P108" i="16"/>
  <c r="T108" i="17"/>
  <c r="P181" i="12"/>
  <c r="J114" i="14"/>
  <c r="L138" i="12"/>
  <c r="I163" i="13"/>
  <c r="J138" i="13"/>
  <c r="J175" i="18"/>
  <c r="J169" i="14"/>
  <c r="K169" i="18"/>
  <c r="M169" i="13"/>
  <c r="I108" i="14"/>
  <c r="L126" i="13"/>
  <c r="J151" i="12"/>
  <c r="L120" i="14"/>
  <c r="I157" i="16"/>
  <c r="J144" i="16"/>
  <c r="M132" i="14"/>
  <c r="J144" i="18"/>
  <c r="I132" i="17"/>
  <c r="L187" i="17"/>
  <c r="K114" i="17"/>
  <c r="J187" i="15"/>
  <c r="J151" i="16"/>
  <c r="J126" i="17"/>
  <c r="M114" i="14"/>
  <c r="M108" i="14"/>
  <c r="K175" i="14"/>
  <c r="K144" i="17"/>
  <c r="L169" i="12"/>
  <c r="M175" i="15"/>
  <c r="K114" i="18"/>
  <c r="I138" i="14"/>
  <c r="J144" i="17"/>
  <c r="J175" i="12"/>
  <c r="L187" i="16"/>
  <c r="M108" i="17"/>
  <c r="I126" i="16"/>
  <c r="J126" i="14"/>
  <c r="M126" i="16"/>
  <c r="I114" i="17"/>
  <c r="J181" i="12"/>
  <c r="L126" i="14"/>
  <c r="L181" i="13"/>
  <c r="L120" i="17"/>
  <c r="J181" i="15"/>
  <c r="I132" i="15"/>
  <c r="I108" i="12"/>
  <c r="L175" i="18"/>
  <c r="K187" i="16"/>
  <c r="I151" i="18"/>
  <c r="K138" i="12"/>
  <c r="I175" i="16"/>
  <c r="L138" i="13"/>
  <c r="L175" i="12"/>
  <c r="J132" i="14"/>
  <c r="M114" i="12"/>
  <c r="L157" i="18"/>
  <c r="J169" i="17"/>
  <c r="J163" i="17"/>
  <c r="U114" i="12"/>
  <c r="U181" i="18"/>
  <c r="U157" i="15"/>
  <c r="U138" i="12"/>
  <c r="Q187" i="16"/>
  <c r="N126" i="18"/>
  <c r="O187" i="14"/>
  <c r="Q120" i="16"/>
  <c r="O181" i="14"/>
  <c r="P163" i="13"/>
  <c r="T108" i="18"/>
  <c r="P181" i="15"/>
  <c r="T169" i="12"/>
  <c r="O144" i="17"/>
  <c r="P187" i="16"/>
  <c r="S114" i="15"/>
  <c r="M108" i="15"/>
  <c r="T120" i="16"/>
  <c r="J126" i="16"/>
  <c r="L181" i="15"/>
  <c r="P138" i="16"/>
  <c r="Q157" i="18"/>
  <c r="Q108" i="13"/>
  <c r="K108" i="14"/>
  <c r="T181" i="13"/>
  <c r="U114" i="18"/>
  <c r="J114" i="16"/>
  <c r="M120" i="12"/>
  <c r="L187" i="18"/>
  <c r="L169" i="13"/>
  <c r="I126" i="12"/>
  <c r="M120" i="17"/>
  <c r="M163" i="14"/>
  <c r="M120" i="14"/>
  <c r="I175" i="17"/>
  <c r="L108" i="13"/>
  <c r="L144" i="16"/>
  <c r="I138" i="12"/>
  <c r="I175" i="15"/>
  <c r="I144" i="16"/>
  <c r="J169" i="13"/>
  <c r="M175" i="12"/>
  <c r="M181" i="14"/>
  <c r="I163" i="12"/>
  <c r="I187" i="17"/>
  <c r="K157" i="14"/>
  <c r="K120" i="14"/>
  <c r="I181" i="17"/>
  <c r="J132" i="17"/>
  <c r="M144" i="17"/>
  <c r="J157" i="14"/>
  <c r="K144" i="16"/>
  <c r="L108" i="15"/>
  <c r="M132" i="16"/>
  <c r="I175" i="14"/>
  <c r="M126" i="18"/>
  <c r="I114" i="13"/>
  <c r="I114" i="15"/>
  <c r="K163" i="12"/>
  <c r="J187" i="12"/>
  <c r="K108" i="15"/>
  <c r="L151" i="16"/>
  <c r="I132" i="12"/>
  <c r="I187" i="13"/>
  <c r="I169" i="14"/>
  <c r="M175" i="18"/>
  <c r="M108" i="12"/>
  <c r="L175" i="16"/>
  <c r="I132" i="18"/>
  <c r="J114" i="15"/>
  <c r="M163" i="16"/>
  <c r="I132" i="13"/>
  <c r="I163" i="15"/>
  <c r="K187" i="17"/>
  <c r="J132" i="15"/>
  <c r="I144" i="17"/>
  <c r="K181" i="17"/>
  <c r="K144" i="15"/>
  <c r="L132" i="13"/>
  <c r="M108" i="13"/>
  <c r="J175" i="13"/>
  <c r="K126" i="17"/>
  <c r="M120" i="13"/>
  <c r="K126" i="13"/>
  <c r="U138" i="13"/>
  <c r="U114" i="17"/>
  <c r="U126" i="14"/>
  <c r="Q108" i="18"/>
  <c r="O144" i="16"/>
  <c r="N108" i="15"/>
  <c r="Q151" i="15"/>
  <c r="Q126" i="16"/>
  <c r="Q132" i="18"/>
  <c r="S151" i="18"/>
  <c r="S151" i="13"/>
  <c r="O181" i="15"/>
  <c r="Q138" i="16"/>
  <c r="Q108" i="14"/>
  <c r="T114" i="18"/>
  <c r="I132" i="14"/>
  <c r="T163" i="14"/>
  <c r="T187" i="18"/>
  <c r="M169" i="16"/>
  <c r="P163" i="12"/>
  <c r="N187" i="16"/>
  <c r="S187" i="18"/>
  <c r="S138" i="13"/>
  <c r="O175" i="17"/>
  <c r="L181" i="18"/>
  <c r="M163" i="17"/>
  <c r="P163" i="15"/>
  <c r="M181" i="16"/>
  <c r="J108" i="14"/>
  <c r="K120" i="15"/>
  <c r="L138" i="15"/>
  <c r="M169" i="17"/>
  <c r="M181" i="17"/>
  <c r="J108" i="16"/>
  <c r="I187" i="14"/>
  <c r="L187" i="12"/>
  <c r="K169" i="16"/>
  <c r="L126" i="12"/>
  <c r="I175" i="12"/>
  <c r="J157" i="15"/>
  <c r="I144" i="18"/>
  <c r="M151" i="16"/>
  <c r="J114" i="17"/>
  <c r="K144" i="13"/>
  <c r="J144" i="14"/>
  <c r="K157" i="16"/>
  <c r="L157" i="12"/>
  <c r="I126" i="15"/>
  <c r="K163" i="13"/>
  <c r="J175" i="16"/>
  <c r="K114" i="13"/>
  <c r="L120" i="16"/>
  <c r="K144" i="14"/>
  <c r="K151" i="16"/>
  <c r="L169" i="18"/>
  <c r="I132" i="16"/>
  <c r="M144" i="16"/>
  <c r="I175" i="13"/>
  <c r="J157" i="13"/>
  <c r="K175" i="17"/>
  <c r="K126" i="15"/>
  <c r="J187" i="16"/>
  <c r="L132" i="15"/>
  <c r="I108" i="13"/>
  <c r="L187" i="14"/>
  <c r="L138" i="14"/>
  <c r="I108" i="17"/>
  <c r="K187" i="14"/>
  <c r="L114" i="13"/>
  <c r="I187" i="18"/>
  <c r="I151" i="15"/>
  <c r="L175" i="14"/>
  <c r="I120" i="18"/>
  <c r="M144" i="18"/>
  <c r="K169" i="15"/>
  <c r="M144" i="14"/>
  <c r="J120" i="14"/>
  <c r="K108" i="12"/>
  <c r="L151" i="18"/>
  <c r="L108" i="18"/>
  <c r="L144" i="18"/>
  <c r="M187" i="12"/>
  <c r="J187" i="18"/>
  <c r="K114" i="12"/>
  <c r="Z120" i="13"/>
  <c r="F138" i="18"/>
  <c r="U151" i="14"/>
  <c r="U138" i="16"/>
  <c r="U175" i="16"/>
  <c r="U187" i="14"/>
  <c r="K132" i="14"/>
  <c r="J108" i="17"/>
  <c r="I181" i="18"/>
  <c r="K163" i="18"/>
  <c r="J144" i="13"/>
  <c r="K132" i="17"/>
  <c r="K151" i="12"/>
  <c r="M151" i="15"/>
  <c r="P181" i="17"/>
  <c r="T120" i="12"/>
  <c r="G175" i="18"/>
  <c r="AK175" i="17"/>
  <c r="E169" i="17"/>
  <c r="U163" i="15"/>
  <c r="U120" i="12"/>
  <c r="U175" i="12"/>
  <c r="O144" i="18"/>
  <c r="P132" i="17"/>
  <c r="T132" i="15"/>
  <c r="Q126" i="18"/>
  <c r="S187" i="16"/>
  <c r="S108" i="17"/>
  <c r="P138" i="13"/>
  <c r="O157" i="13"/>
  <c r="T169" i="15"/>
  <c r="R114" i="13"/>
  <c r="R132" i="13"/>
  <c r="T181" i="15"/>
  <c r="O132" i="17"/>
  <c r="S151" i="14"/>
  <c r="R169" i="14"/>
  <c r="R151" i="17"/>
  <c r="Q175" i="13"/>
  <c r="R187" i="13"/>
  <c r="P126" i="13"/>
  <c r="T138" i="16"/>
  <c r="S114" i="16"/>
  <c r="S126" i="14"/>
  <c r="Q138" i="14"/>
  <c r="Q108" i="16"/>
  <c r="S151" i="12"/>
  <c r="Q132" i="14"/>
  <c r="O144" i="15"/>
  <c r="T187" i="12"/>
  <c r="P138" i="14"/>
  <c r="Q120" i="14"/>
  <c r="Q181" i="16"/>
  <c r="S120" i="15"/>
  <c r="T151" i="13"/>
  <c r="O138" i="15"/>
  <c r="T120" i="17"/>
  <c r="O144" i="13"/>
  <c r="S157" i="13"/>
  <c r="P144" i="16"/>
  <c r="Q114" i="15"/>
  <c r="R120" i="16"/>
  <c r="R175" i="17"/>
  <c r="O120" i="13"/>
  <c r="P108" i="14"/>
  <c r="O151" i="16"/>
  <c r="R132" i="16"/>
  <c r="P187" i="18"/>
  <c r="Q157" i="13"/>
  <c r="O181" i="17"/>
  <c r="O175" i="13"/>
  <c r="T138" i="14"/>
  <c r="Q163" i="15"/>
  <c r="T132" i="14"/>
  <c r="Q132" i="13"/>
  <c r="P108" i="17"/>
  <c r="U126" i="17"/>
  <c r="U157" i="16"/>
  <c r="S108" i="12"/>
  <c r="O151" i="14"/>
  <c r="T126" i="16"/>
  <c r="T144" i="15"/>
  <c r="T151" i="12"/>
  <c r="R169" i="16"/>
  <c r="O175" i="15"/>
  <c r="R132" i="17"/>
  <c r="T175" i="12"/>
  <c r="T120" i="15"/>
  <c r="R114" i="16"/>
  <c r="R144" i="15"/>
  <c r="R163" i="13"/>
  <c r="P157" i="15"/>
  <c r="R108" i="18"/>
  <c r="Q175" i="16"/>
  <c r="Q144" i="16"/>
  <c r="S144" i="18"/>
  <c r="T126" i="12"/>
  <c r="T144" i="12"/>
  <c r="Q132" i="15"/>
  <c r="Q157" i="17"/>
  <c r="T108" i="16"/>
  <c r="Q181" i="17"/>
  <c r="Q175" i="18"/>
  <c r="O126" i="13"/>
  <c r="P163" i="17"/>
  <c r="S181" i="18"/>
  <c r="Q169" i="15"/>
  <c r="Q175" i="15"/>
  <c r="Q163" i="14"/>
  <c r="O120" i="14"/>
  <c r="Q169" i="14"/>
  <c r="T157" i="16"/>
  <c r="Q181" i="12"/>
  <c r="P151" i="16"/>
  <c r="R175" i="14"/>
  <c r="O126" i="18"/>
  <c r="Q181" i="13"/>
  <c r="R151" i="15"/>
  <c r="O151" i="13"/>
  <c r="O151" i="18"/>
  <c r="S187" i="13"/>
  <c r="Q138" i="13"/>
  <c r="S181" i="17"/>
  <c r="R151" i="13"/>
  <c r="T108" i="12"/>
  <c r="S114" i="14"/>
  <c r="S163" i="14"/>
  <c r="R138" i="13"/>
  <c r="T181" i="16"/>
  <c r="S114" i="13"/>
  <c r="S144" i="17"/>
  <c r="S114" i="17"/>
  <c r="O108" i="13"/>
  <c r="T108" i="14"/>
  <c r="P132" i="16"/>
  <c r="O187" i="12"/>
  <c r="S151" i="16"/>
  <c r="O163" i="13"/>
  <c r="Q175" i="14"/>
  <c r="O108" i="14"/>
  <c r="T132" i="13"/>
  <c r="R157" i="14"/>
  <c r="P169" i="16"/>
  <c r="P157" i="18"/>
  <c r="U175" i="18"/>
  <c r="U120" i="13"/>
  <c r="P163" i="18"/>
  <c r="R163" i="18"/>
  <c r="T169" i="17"/>
  <c r="O120" i="15"/>
  <c r="P114" i="16"/>
  <c r="P175" i="16"/>
  <c r="O175" i="16"/>
  <c r="P138" i="15"/>
  <c r="S132" i="18"/>
  <c r="S181" i="12"/>
  <c r="T120" i="13"/>
  <c r="T169" i="18"/>
  <c r="P126" i="14"/>
  <c r="T108" i="13"/>
  <c r="R157" i="13"/>
  <c r="O169" i="14"/>
  <c r="Q132" i="17"/>
  <c r="S126" i="16"/>
  <c r="P132" i="13"/>
  <c r="R169" i="13"/>
  <c r="R157" i="15"/>
  <c r="O114" i="12"/>
  <c r="O181" i="13"/>
  <c r="Q187" i="12"/>
  <c r="O132" i="13"/>
  <c r="S163" i="13"/>
  <c r="P169" i="12"/>
  <c r="O151" i="17"/>
  <c r="R120" i="14"/>
  <c r="P181" i="18"/>
  <c r="O175" i="12"/>
  <c r="O157" i="18"/>
  <c r="S157" i="12"/>
  <c r="P144" i="12"/>
  <c r="S132" i="16"/>
  <c r="S181" i="16"/>
  <c r="P181" i="16"/>
  <c r="S169" i="14"/>
  <c r="T120" i="18"/>
  <c r="R126" i="17"/>
  <c r="O132" i="12"/>
  <c r="P151" i="15"/>
  <c r="S187" i="15"/>
  <c r="P187" i="14"/>
  <c r="P132" i="14"/>
  <c r="T114" i="15"/>
  <c r="R144" i="12"/>
  <c r="P157" i="14"/>
  <c r="S151" i="17"/>
  <c r="S157" i="17"/>
  <c r="S163" i="18"/>
  <c r="T175" i="17"/>
  <c r="Q108" i="17"/>
  <c r="R181" i="13"/>
  <c r="U151" i="15"/>
  <c r="U169" i="17"/>
  <c r="U169" i="15"/>
  <c r="T175" i="13"/>
  <c r="P144" i="14"/>
  <c r="S120" i="18"/>
  <c r="T181" i="17"/>
  <c r="R169" i="18"/>
  <c r="P108" i="12"/>
  <c r="T151" i="14"/>
  <c r="S108" i="15"/>
  <c r="O108" i="18"/>
  <c r="P120" i="12"/>
  <c r="R163" i="12"/>
  <c r="O114" i="18"/>
  <c r="Q157" i="16"/>
  <c r="R187" i="17"/>
  <c r="R187" i="15"/>
  <c r="Q144" i="13"/>
  <c r="S157" i="15"/>
  <c r="T169" i="16"/>
  <c r="S126" i="17"/>
  <c r="S187" i="12"/>
  <c r="P187" i="12"/>
  <c r="Q144" i="18"/>
  <c r="O138" i="18"/>
  <c r="P120" i="16"/>
  <c r="S163" i="16"/>
  <c r="Q151" i="13"/>
  <c r="R114" i="14"/>
  <c r="P175" i="12"/>
  <c r="P187" i="17"/>
  <c r="Q114" i="14"/>
  <c r="R132" i="18"/>
  <c r="Q151" i="16"/>
  <c r="O157" i="14"/>
  <c r="R175" i="16"/>
  <c r="Q108" i="15"/>
  <c r="R132" i="12"/>
  <c r="T163" i="15"/>
  <c r="O169" i="18"/>
  <c r="Q151" i="14"/>
  <c r="S108" i="13"/>
  <c r="O157" i="12"/>
  <c r="S175" i="14"/>
  <c r="R144" i="16"/>
  <c r="T144" i="13"/>
  <c r="O163" i="18"/>
  <c r="R144" i="14"/>
  <c r="P151" i="17"/>
  <c r="S138" i="18"/>
  <c r="T181" i="12"/>
  <c r="S175" i="12"/>
  <c r="P120" i="17"/>
  <c r="R138" i="16"/>
  <c r="O108" i="15"/>
  <c r="T169" i="13"/>
  <c r="Q163" i="12"/>
  <c r="Q175" i="12"/>
  <c r="T187" i="14"/>
  <c r="U157" i="12"/>
  <c r="U157" i="13"/>
  <c r="U151" i="12"/>
  <c r="T151" i="15"/>
  <c r="R108" i="16"/>
  <c r="S175" i="17"/>
  <c r="R181" i="18"/>
  <c r="O138" i="16"/>
  <c r="Q157" i="14"/>
  <c r="P144" i="15"/>
  <c r="R187" i="18"/>
  <c r="R138" i="14"/>
  <c r="S132" i="17"/>
  <c r="O120" i="16"/>
  <c r="T126" i="15"/>
  <c r="Q175" i="17"/>
  <c r="S163" i="12"/>
  <c r="O187" i="17"/>
  <c r="O175" i="14"/>
  <c r="R126" i="14"/>
  <c r="R126" i="18"/>
  <c r="R187" i="12"/>
  <c r="S181" i="14"/>
  <c r="P114" i="12"/>
  <c r="R132" i="14"/>
  <c r="O144" i="14"/>
  <c r="O132" i="16"/>
  <c r="O144" i="12"/>
  <c r="Q120" i="18"/>
  <c r="Q169" i="13"/>
  <c r="Q126" i="14"/>
  <c r="R132" i="15"/>
  <c r="Q132" i="12"/>
  <c r="Q120" i="13"/>
  <c r="O169" i="17"/>
  <c r="P138" i="18"/>
  <c r="Q151" i="18"/>
  <c r="R144" i="17"/>
  <c r="P114" i="14"/>
  <c r="O126" i="12"/>
  <c r="O114" i="15"/>
  <c r="S108" i="18"/>
  <c r="R163" i="15"/>
  <c r="O163" i="12"/>
  <c r="P108" i="18"/>
  <c r="S120" i="13"/>
  <c r="R108" i="12"/>
  <c r="O132" i="15"/>
  <c r="P175" i="18"/>
  <c r="P132" i="15"/>
  <c r="T132" i="18"/>
  <c r="R108" i="15"/>
  <c r="P169" i="13"/>
  <c r="P169" i="18"/>
  <c r="T138" i="18"/>
  <c r="Q157" i="15"/>
  <c r="T151" i="16"/>
  <c r="T114" i="17"/>
  <c r="Q187" i="18"/>
  <c r="T163" i="12"/>
  <c r="S132" i="14"/>
  <c r="R120" i="12"/>
  <c r="R138" i="12"/>
  <c r="S157" i="18"/>
  <c r="O169" i="15"/>
  <c r="O157" i="17"/>
  <c r="R163" i="14"/>
  <c r="P157" i="13"/>
  <c r="P151" i="14"/>
  <c r="T114" i="13"/>
  <c r="O169" i="13"/>
  <c r="R114" i="17"/>
  <c r="Q187" i="13"/>
  <c r="U157" i="14"/>
  <c r="U181" i="15"/>
  <c r="U126" i="16"/>
  <c r="P120" i="14"/>
  <c r="T157" i="14"/>
  <c r="T138" i="17"/>
  <c r="T138" i="12"/>
  <c r="R144" i="18"/>
  <c r="O138" i="12"/>
  <c r="S126" i="12"/>
  <c r="R157" i="17"/>
  <c r="Q114" i="13"/>
  <c r="S157" i="16"/>
  <c r="O114" i="16"/>
  <c r="Q138" i="18"/>
  <c r="R120" i="17"/>
  <c r="S114" i="18"/>
  <c r="O120" i="18"/>
  <c r="O132" i="14"/>
  <c r="T144" i="14"/>
  <c r="T132" i="12"/>
  <c r="R138" i="17"/>
  <c r="O120" i="12"/>
  <c r="Q120" i="12"/>
  <c r="O187" i="18"/>
  <c r="P126" i="16"/>
  <c r="R120" i="18"/>
  <c r="Q132" i="16"/>
  <c r="T181" i="14"/>
  <c r="T163" i="16"/>
  <c r="O169" i="16"/>
  <c r="P114" i="15"/>
  <c r="S144" i="15"/>
  <c r="Q163" i="13"/>
  <c r="R144" i="13"/>
  <c r="P144" i="18"/>
  <c r="R151" i="12"/>
  <c r="Q114" i="17"/>
  <c r="P169" i="14"/>
  <c r="S108" i="16"/>
  <c r="O151" i="15"/>
  <c r="P120" i="13"/>
  <c r="P187" i="13"/>
  <c r="T187" i="17"/>
  <c r="R138" i="18"/>
  <c r="P175" i="13"/>
  <c r="O151" i="12"/>
  <c r="R163" i="17"/>
  <c r="O114" i="13"/>
  <c r="R181" i="15"/>
  <c r="T163" i="18"/>
  <c r="P126" i="18"/>
  <c r="P163" i="16"/>
  <c r="S144" i="12"/>
  <c r="S181" i="13"/>
  <c r="S169" i="16"/>
  <c r="T187" i="15"/>
  <c r="O181" i="12"/>
  <c r="O126" i="14"/>
  <c r="O138" i="14"/>
  <c r="S169" i="12"/>
  <c r="O157" i="16"/>
  <c r="T108" i="15"/>
  <c r="Q181" i="15"/>
  <c r="R169" i="15"/>
  <c r="P151" i="18"/>
  <c r="R126" i="15"/>
  <c r="Q187" i="15"/>
  <c r="T157" i="15"/>
  <c r="U120" i="16"/>
  <c r="U169" i="18"/>
  <c r="U138" i="15"/>
  <c r="P126" i="15"/>
  <c r="R187" i="14"/>
  <c r="S187" i="17"/>
  <c r="R151" i="18"/>
  <c r="R157" i="18"/>
  <c r="Q169" i="12"/>
  <c r="S169" i="18"/>
  <c r="P157" i="12"/>
  <c r="S108" i="14"/>
  <c r="P181" i="14"/>
  <c r="R151" i="14"/>
  <c r="P114" i="17"/>
  <c r="Q114" i="16"/>
  <c r="R126" i="13"/>
  <c r="T144" i="17"/>
  <c r="Q114" i="12"/>
  <c r="R175" i="18"/>
  <c r="O108" i="16"/>
  <c r="Q108" i="12"/>
  <c r="R175" i="15"/>
  <c r="O126" i="15"/>
  <c r="O175" i="18"/>
  <c r="P157" i="17"/>
  <c r="O187" i="15"/>
  <c r="Q169" i="18"/>
  <c r="O138" i="13"/>
  <c r="Q169" i="17"/>
  <c r="R181" i="12"/>
  <c r="T175" i="14"/>
  <c r="Q187" i="14"/>
  <c r="Q126" i="17"/>
  <c r="Q120" i="15"/>
  <c r="O163" i="16"/>
  <c r="S144" i="14"/>
  <c r="P114" i="18"/>
  <c r="Q163" i="18"/>
  <c r="P138" i="17"/>
  <c r="T157" i="17"/>
  <c r="R157" i="16"/>
  <c r="S144" i="16"/>
  <c r="R120" i="15"/>
  <c r="P144" i="17"/>
  <c r="T132" i="16"/>
  <c r="S120" i="17"/>
  <c r="P120" i="18"/>
  <c r="S126" i="15"/>
  <c r="T163" i="17"/>
  <c r="Q157" i="12"/>
  <c r="R108" i="13"/>
  <c r="O114" i="14"/>
  <c r="P169" i="17"/>
  <c r="P163" i="14"/>
  <c r="S126" i="18"/>
  <c r="Q163" i="17"/>
  <c r="R169" i="12"/>
  <c r="T175" i="15"/>
  <c r="O163" i="15"/>
  <c r="R181" i="14"/>
  <c r="S138" i="14"/>
  <c r="R120" i="13"/>
  <c r="R114" i="12"/>
  <c r="O114" i="17"/>
  <c r="S120" i="12"/>
  <c r="Q120" i="17"/>
  <c r="S175" i="15"/>
  <c r="T151" i="18"/>
  <c r="T126" i="13"/>
  <c r="T151" i="17"/>
  <c r="S138" i="17"/>
  <c r="Q151" i="17"/>
  <c r="P132" i="12"/>
  <c r="R175" i="13"/>
  <c r="N175" i="14"/>
  <c r="N175" i="13"/>
  <c r="N144" i="13"/>
  <c r="N151" i="15"/>
  <c r="N120" i="15"/>
  <c r="N169" i="16"/>
  <c r="N120" i="17"/>
  <c r="N163" i="16"/>
  <c r="K108" i="17"/>
  <c r="N163" i="12"/>
  <c r="N114" i="13"/>
  <c r="N132" i="15"/>
  <c r="N181" i="16"/>
  <c r="N163" i="14"/>
  <c r="N114" i="12"/>
  <c r="N138" i="18"/>
  <c r="N157" i="13"/>
  <c r="N157" i="18"/>
  <c r="N181" i="14"/>
  <c r="M144" i="15"/>
  <c r="N132" i="16"/>
  <c r="N175" i="16"/>
  <c r="I144" i="14"/>
  <c r="N108" i="13"/>
  <c r="N132" i="17"/>
  <c r="N163" i="18"/>
  <c r="N169" i="14"/>
  <c r="N163" i="15"/>
  <c r="N144" i="12"/>
  <c r="N181" i="17"/>
  <c r="N120" i="18"/>
  <c r="N114" i="14"/>
  <c r="N138" i="13"/>
  <c r="N151" i="18"/>
  <c r="N114" i="17"/>
  <c r="N108" i="18"/>
  <c r="N120" i="16"/>
  <c r="N163" i="13"/>
  <c r="N187" i="12"/>
  <c r="N120" i="13"/>
  <c r="N151" i="16"/>
  <c r="N108" i="16"/>
  <c r="N144" i="17"/>
  <c r="N175" i="17"/>
  <c r="N187" i="13"/>
  <c r="N157" i="12"/>
  <c r="N132" i="14"/>
  <c r="N138" i="17"/>
  <c r="N138" i="16"/>
  <c r="N126" i="14"/>
  <c r="N169" i="17"/>
  <c r="N181" i="13"/>
  <c r="N126" i="15"/>
  <c r="N138" i="12"/>
  <c r="N151" i="13"/>
  <c r="N144" i="18"/>
  <c r="N163" i="17"/>
  <c r="N187" i="17"/>
  <c r="N157" i="14"/>
  <c r="N132" i="13"/>
  <c r="N120" i="12"/>
  <c r="N144" i="15"/>
  <c r="N114" i="16"/>
  <c r="M151" i="14"/>
  <c r="N169" i="15"/>
  <c r="N157" i="15"/>
  <c r="N187" i="14"/>
  <c r="N157" i="16"/>
  <c r="N169" i="13"/>
  <c r="N114" i="18"/>
  <c r="N126" i="12"/>
  <c r="N144" i="14"/>
  <c r="I108" i="16"/>
  <c r="J120" i="16"/>
  <c r="R126" i="12"/>
  <c r="R181" i="16"/>
  <c r="P132" i="18"/>
  <c r="R108" i="14"/>
  <c r="N169" i="12"/>
  <c r="T169" i="14"/>
  <c r="Q181" i="18"/>
  <c r="O187" i="13"/>
  <c r="T114" i="12"/>
  <c r="N169" i="18"/>
  <c r="T114" i="14"/>
  <c r="N151" i="12"/>
  <c r="F138" i="14"/>
  <c r="F132" i="18"/>
  <c r="AD114" i="18"/>
  <c r="AG163" i="15"/>
  <c r="AI138" i="17"/>
  <c r="Y120" i="18"/>
  <c r="Y175" i="15"/>
  <c r="F114" i="14"/>
  <c r="E175" i="14"/>
  <c r="AD151" i="18"/>
  <c r="AH163" i="18"/>
  <c r="W175" i="16"/>
  <c r="AA144" i="12"/>
  <c r="AA144" i="13"/>
  <c r="H157" i="15"/>
  <c r="G157" i="16"/>
  <c r="F163" i="12"/>
  <c r="AI151" i="12"/>
  <c r="F163" i="18"/>
  <c r="E157" i="14"/>
  <c r="AD175" i="12"/>
  <c r="AJ163" i="12"/>
  <c r="X163" i="12"/>
  <c r="X181" i="18"/>
  <c r="X126" i="16"/>
  <c r="E138" i="18"/>
  <c r="F132" i="14"/>
  <c r="AK120" i="12"/>
  <c r="AK138" i="13"/>
  <c r="W187" i="15"/>
  <c r="Y108" i="14"/>
  <c r="AA132" i="17"/>
  <c r="H151" i="17"/>
  <c r="W163" i="18"/>
  <c r="AA163" i="13"/>
  <c r="AH132" i="15"/>
  <c r="AE144" i="17"/>
  <c r="AF114" i="12"/>
  <c r="AJ175" i="14"/>
  <c r="X108" i="13"/>
  <c r="Z108" i="16"/>
  <c r="AC126" i="12"/>
  <c r="E108" i="18"/>
  <c r="F187" i="12"/>
  <c r="E126" i="18"/>
  <c r="F169" i="12"/>
  <c r="F157" i="12"/>
  <c r="F181" i="13"/>
  <c r="F144" i="12"/>
  <c r="F138" i="17"/>
  <c r="E181" i="17"/>
  <c r="E120" i="17"/>
  <c r="F126" i="18"/>
  <c r="F108" i="12"/>
  <c r="E187" i="18"/>
  <c r="E126" i="16"/>
  <c r="E181" i="13"/>
  <c r="AD132" i="14"/>
  <c r="AE132" i="16"/>
  <c r="AE138" i="12"/>
  <c r="AD126" i="17"/>
  <c r="AC169" i="12"/>
  <c r="AC169" i="13"/>
  <c r="AG114" i="12"/>
  <c r="AF144" i="12"/>
  <c r="AJ187" i="12"/>
  <c r="AH157" i="14"/>
  <c r="AK157" i="12"/>
  <c r="AK163" i="14"/>
  <c r="AG157" i="12"/>
  <c r="AI126" i="17"/>
  <c r="AJ163" i="18"/>
  <c r="AK157" i="15"/>
  <c r="AH169" i="13"/>
  <c r="AF169" i="18"/>
  <c r="AF163" i="17"/>
  <c r="Y157" i="14"/>
  <c r="AB114" i="15"/>
  <c r="Y132" i="17"/>
  <c r="W169" i="16"/>
  <c r="X151" i="12"/>
  <c r="W144" i="12"/>
  <c r="Z175" i="17"/>
  <c r="AA181" i="18"/>
  <c r="V157" i="15"/>
  <c r="Y163" i="14"/>
  <c r="X175" i="16"/>
  <c r="Y187" i="14"/>
  <c r="Y181" i="18"/>
  <c r="AA181" i="12"/>
  <c r="Y151" i="17"/>
  <c r="X120" i="13"/>
  <c r="Y108" i="17"/>
  <c r="H175" i="16"/>
  <c r="E120" i="12"/>
  <c r="F126" i="12"/>
  <c r="H157" i="16"/>
  <c r="H132" i="15"/>
  <c r="H187" i="17"/>
  <c r="H157" i="13"/>
  <c r="G126" i="14"/>
  <c r="G169" i="17"/>
  <c r="G108" i="16"/>
  <c r="G187" i="13"/>
  <c r="G187" i="17"/>
  <c r="G144" i="18"/>
  <c r="G157" i="15"/>
  <c r="G114" i="15"/>
  <c r="G181" i="17"/>
  <c r="G114" i="17"/>
  <c r="G175" i="15"/>
  <c r="G132" i="15"/>
  <c r="G163" i="13"/>
  <c r="H181" i="14"/>
  <c r="H144" i="18"/>
  <c r="H169" i="17"/>
  <c r="H181" i="16"/>
  <c r="H126" i="17"/>
  <c r="H187" i="16"/>
  <c r="H157" i="14"/>
  <c r="H138" i="18"/>
  <c r="H120" i="13"/>
  <c r="H126" i="15"/>
  <c r="H181" i="17"/>
  <c r="G169" i="15"/>
  <c r="G114" i="16"/>
  <c r="G108" i="17"/>
  <c r="G120" i="14"/>
  <c r="G157" i="18"/>
  <c r="G169" i="16"/>
  <c r="G108" i="14"/>
  <c r="G132" i="16"/>
  <c r="G175" i="13"/>
  <c r="G157" i="14"/>
  <c r="G181" i="14"/>
  <c r="G151" i="18"/>
  <c r="H132" i="14"/>
  <c r="H108" i="14"/>
  <c r="H169" i="13"/>
  <c r="H163" i="12"/>
  <c r="H114" i="14"/>
  <c r="H138" i="16"/>
  <c r="H138" i="12"/>
  <c r="H169" i="14"/>
  <c r="H163" i="14"/>
  <c r="G126" i="15"/>
  <c r="G163" i="14"/>
  <c r="G144" i="12"/>
  <c r="G163" i="15"/>
  <c r="G151" i="14"/>
  <c r="G132" i="12"/>
  <c r="G151" i="17"/>
  <c r="G151" i="16"/>
  <c r="G175" i="12"/>
  <c r="G126" i="13"/>
  <c r="G163" i="17"/>
  <c r="G144" i="16"/>
  <c r="G120" i="18"/>
  <c r="G108" i="15"/>
  <c r="G144" i="13"/>
  <c r="G120" i="12"/>
  <c r="G181" i="15"/>
  <c r="G187" i="16"/>
  <c r="H126" i="12"/>
  <c r="H175" i="18"/>
  <c r="H157" i="12"/>
  <c r="H138" i="15"/>
  <c r="H151" i="16"/>
  <c r="H114" i="16"/>
  <c r="H181" i="13"/>
  <c r="H151" i="14"/>
  <c r="H169" i="12"/>
  <c r="H114" i="18"/>
  <c r="H151" i="15"/>
  <c r="H163" i="15"/>
  <c r="H132" i="17"/>
  <c r="H126" i="14"/>
  <c r="H108" i="12"/>
  <c r="H175" i="14"/>
  <c r="H163" i="13"/>
  <c r="G132" i="18"/>
  <c r="G138" i="12"/>
  <c r="G157" i="12"/>
  <c r="G126" i="17"/>
  <c r="G108" i="13"/>
  <c r="G187" i="14"/>
  <c r="G175" i="17"/>
  <c r="G157" i="17"/>
  <c r="G157" i="13"/>
  <c r="G138" i="16"/>
  <c r="H120" i="15"/>
  <c r="H181" i="12"/>
  <c r="H151" i="18"/>
  <c r="H175" i="12"/>
  <c r="H108" i="16"/>
  <c r="H151" i="13"/>
  <c r="H163" i="18"/>
  <c r="H120" i="17"/>
  <c r="H144" i="16"/>
  <c r="H144" i="17"/>
  <c r="G108" i="12"/>
  <c r="G144" i="14"/>
  <c r="G132" i="13"/>
  <c r="G120" i="15"/>
  <c r="G138" i="14"/>
  <c r="G120" i="13"/>
  <c r="G138" i="15"/>
  <c r="G114" i="18"/>
  <c r="G169" i="18"/>
  <c r="H108" i="18"/>
  <c r="H175" i="17"/>
  <c r="H120" i="16"/>
  <c r="H187" i="14"/>
  <c r="H114" i="12"/>
  <c r="H132" i="16"/>
  <c r="H187" i="12"/>
  <c r="H163" i="16"/>
  <c r="H163" i="17"/>
  <c r="H181" i="18"/>
  <c r="H169" i="15"/>
  <c r="H144" i="12"/>
  <c r="H126" i="13"/>
  <c r="H138" i="13"/>
  <c r="H108" i="17"/>
  <c r="G169" i="12"/>
  <c r="G114" i="12"/>
  <c r="G120" i="17"/>
  <c r="G114" i="14"/>
  <c r="G187" i="12"/>
  <c r="G138" i="13"/>
  <c r="G151" i="15"/>
  <c r="G126" i="18"/>
  <c r="G187" i="15"/>
  <c r="G151" i="12"/>
  <c r="H108" i="15"/>
  <c r="H132" i="12"/>
  <c r="H144" i="13"/>
  <c r="H151" i="12"/>
  <c r="H181" i="15"/>
  <c r="H114" i="13"/>
  <c r="H126" i="18"/>
  <c r="G144" i="17"/>
  <c r="G132" i="17"/>
  <c r="G175" i="14"/>
  <c r="G181" i="18"/>
  <c r="G169" i="13"/>
  <c r="G144" i="15"/>
  <c r="G175" i="16"/>
  <c r="G187" i="18"/>
  <c r="G138" i="18"/>
  <c r="G163" i="12"/>
  <c r="G181" i="13"/>
  <c r="G163" i="18"/>
  <c r="H126" i="16"/>
  <c r="H114" i="17"/>
  <c r="H187" i="18"/>
  <c r="H114" i="15"/>
  <c r="H157" i="18"/>
  <c r="H187" i="15"/>
  <c r="G120" i="16"/>
  <c r="AJ151" i="18"/>
  <c r="AA132" i="14"/>
  <c r="AL126" i="16"/>
  <c r="AG157" i="15"/>
  <c r="AI187" i="17"/>
  <c r="AC138" i="13"/>
  <c r="Y132" i="12"/>
  <c r="X144" i="12"/>
  <c r="AI138" i="15"/>
  <c r="AI169" i="14"/>
  <c r="AI132" i="17"/>
  <c r="AJ151" i="14"/>
  <c r="AJ144" i="14"/>
  <c r="V163" i="18"/>
  <c r="V175" i="15"/>
  <c r="AL138" i="17"/>
  <c r="AC144" i="14"/>
  <c r="AC144" i="15"/>
  <c r="AG187" i="18"/>
  <c r="AH108" i="15"/>
  <c r="Z175" i="13"/>
  <c r="AJ187" i="18"/>
  <c r="AE151" i="14"/>
  <c r="AA138" i="14"/>
  <c r="W151" i="12"/>
  <c r="Z108" i="12"/>
  <c r="AI151" i="14"/>
  <c r="AC126" i="15"/>
  <c r="AE169" i="17"/>
  <c r="AK157" i="14"/>
  <c r="AI108" i="13"/>
  <c r="AI120" i="16"/>
  <c r="V175" i="18"/>
  <c r="AF132" i="17"/>
  <c r="AG157" i="18"/>
  <c r="AJ132" i="17"/>
  <c r="AL144" i="14"/>
  <c r="AK108" i="18"/>
  <c r="AE157" i="17"/>
  <c r="AG114" i="18"/>
  <c r="X138" i="18"/>
  <c r="Z120" i="14"/>
  <c r="AA108" i="13"/>
  <c r="Y132" i="18"/>
  <c r="AL151" i="13"/>
  <c r="AB163" i="12"/>
  <c r="AI138" i="16"/>
  <c r="AK138" i="15"/>
  <c r="AJ157" i="16"/>
  <c r="AH138" i="12"/>
  <c r="AB114" i="17"/>
  <c r="W187" i="18"/>
  <c r="Z181" i="18"/>
  <c r="AJ126" i="14"/>
  <c r="AI157" i="15"/>
  <c r="AH187" i="14"/>
  <c r="AE181" i="17"/>
  <c r="AD151" i="12"/>
  <c r="AD157" i="16"/>
  <c r="V114" i="15"/>
  <c r="AD126" i="14"/>
  <c r="AJ144" i="16"/>
  <c r="AB181" i="12"/>
  <c r="AK157" i="18"/>
  <c r="AJ132" i="18"/>
  <c r="V157" i="12"/>
  <c r="AD163" i="15"/>
  <c r="AD144" i="17"/>
  <c r="W151" i="17"/>
  <c r="AI157" i="14"/>
  <c r="AD114" i="17"/>
  <c r="AD120" i="14"/>
  <c r="AI175" i="17"/>
  <c r="AB126" i="12"/>
  <c r="AB169" i="17"/>
  <c r="AB108" i="18"/>
  <c r="X108" i="15"/>
  <c r="Y138" i="12"/>
  <c r="AL157" i="18"/>
  <c r="AE138" i="16"/>
  <c r="AI181" i="14"/>
  <c r="AL138" i="12"/>
  <c r="AJ132" i="14"/>
  <c r="AB163" i="13"/>
  <c r="V114" i="12"/>
  <c r="AF114" i="18"/>
  <c r="AE138" i="15"/>
  <c r="AG169" i="13"/>
  <c r="V108" i="18"/>
  <c r="X144" i="13"/>
  <c r="AK187" i="13"/>
  <c r="AC163" i="13"/>
  <c r="AG138" i="15"/>
  <c r="AK169" i="15"/>
  <c r="AJ163" i="17"/>
  <c r="X157" i="12"/>
  <c r="W120" i="12"/>
  <c r="AI138" i="12"/>
  <c r="AC181" i="14"/>
  <c r="AC132" i="14"/>
  <c r="AL114" i="18"/>
  <c r="W120" i="18"/>
  <c r="Z157" i="13"/>
  <c r="AG126" i="16"/>
  <c r="X126" i="12"/>
  <c r="W132" i="15"/>
  <c r="AD163" i="17"/>
  <c r="AL181" i="14"/>
  <c r="AG151" i="13"/>
  <c r="AJ138" i="12"/>
  <c r="AC163" i="14"/>
  <c r="AF175" i="14"/>
  <c r="AL108" i="15"/>
  <c r="AC132" i="18"/>
  <c r="Z157" i="17"/>
  <c r="X114" i="18"/>
  <c r="V114" i="18"/>
  <c r="AD132" i="12"/>
  <c r="AG175" i="13"/>
  <c r="AG187" i="15"/>
  <c r="AJ151" i="17"/>
  <c r="AE163" i="16"/>
  <c r="AE144" i="13"/>
  <c r="AL187" i="15"/>
  <c r="X181" i="13"/>
  <c r="Z108" i="14"/>
  <c r="AA138" i="16"/>
  <c r="AF157" i="15"/>
  <c r="AG144" i="12"/>
  <c r="AE126" i="13"/>
  <c r="AD138" i="14"/>
  <c r="AJ151" i="16"/>
  <c r="AG163" i="18"/>
  <c r="AE163" i="12"/>
  <c r="AI151" i="18"/>
  <c r="Y126" i="15"/>
  <c r="AL126" i="13"/>
  <c r="AH175" i="17"/>
  <c r="AC181" i="16"/>
  <c r="AG169" i="16"/>
  <c r="AG138" i="13"/>
  <c r="AD175" i="15"/>
  <c r="AE181" i="14"/>
  <c r="V187" i="16"/>
  <c r="AI114" i="16"/>
  <c r="AI132" i="18"/>
  <c r="AG151" i="15"/>
  <c r="AC169" i="17"/>
  <c r="AH132" i="12"/>
  <c r="W169" i="13"/>
  <c r="AD157" i="15"/>
  <c r="AG187" i="16"/>
  <c r="X138" i="17"/>
  <c r="AG169" i="15"/>
  <c r="AI120" i="17"/>
  <c r="AF187" i="15"/>
  <c r="AA163" i="17"/>
  <c r="AB114" i="12"/>
  <c r="AD138" i="16"/>
  <c r="AC120" i="18"/>
  <c r="AF114" i="13"/>
  <c r="X157" i="13"/>
  <c r="AI181" i="16"/>
  <c r="AJ108" i="14"/>
  <c r="AE144" i="16"/>
  <c r="AL132" i="12"/>
  <c r="AF187" i="12"/>
  <c r="AG187" i="12"/>
  <c r="AD126" i="12"/>
  <c r="AH132" i="16"/>
  <c r="AK175" i="15"/>
  <c r="AC138" i="15"/>
  <c r="Y187" i="13"/>
  <c r="AJ108" i="16"/>
  <c r="AE175" i="16"/>
  <c r="AG187" i="17"/>
  <c r="AC157" i="16"/>
  <c r="AG126" i="17"/>
  <c r="W163" i="15"/>
  <c r="Y163" i="12"/>
  <c r="AC181" i="12"/>
  <c r="AF132" i="18"/>
  <c r="AD138" i="17"/>
  <c r="AL187" i="16"/>
  <c r="Y126" i="14"/>
  <c r="X120" i="15"/>
  <c r="AL144" i="13"/>
  <c r="AH144" i="13"/>
  <c r="X181" i="12"/>
  <c r="AA163" i="16"/>
  <c r="W108" i="16"/>
  <c r="AC163" i="17"/>
  <c r="AC163" i="16"/>
  <c r="AH114" i="12"/>
  <c r="AH181" i="17"/>
  <c r="AK126" i="18"/>
  <c r="AE151" i="16"/>
  <c r="W175" i="17"/>
  <c r="AA120" i="17"/>
  <c r="Y163" i="18"/>
  <c r="AH114" i="14"/>
  <c r="AC175" i="15"/>
  <c r="AK138" i="16"/>
  <c r="AF120" i="16"/>
  <c r="AL108" i="18"/>
  <c r="AC132" i="17"/>
  <c r="AF138" i="18"/>
  <c r="Z138" i="15"/>
  <c r="Z151" i="16"/>
  <c r="Y175" i="16"/>
  <c r="X151" i="16"/>
  <c r="AB181" i="13"/>
  <c r="AE144" i="18"/>
  <c r="AC163" i="15"/>
  <c r="AC169" i="18"/>
  <c r="AB132" i="17"/>
  <c r="AD144" i="18"/>
  <c r="AL114" i="14"/>
  <c r="Y151" i="14"/>
  <c r="AE138" i="13"/>
  <c r="AL181" i="18"/>
  <c r="AE163" i="15"/>
  <c r="AK126" i="13"/>
  <c r="Z187" i="18"/>
  <c r="AJ169" i="13"/>
  <c r="AG132" i="18"/>
  <c r="AD144" i="12"/>
  <c r="AK114" i="15"/>
  <c r="AB114" i="18"/>
  <c r="AC187" i="14"/>
  <c r="Z114" i="18"/>
  <c r="AG163" i="13"/>
  <c r="AK187" i="17"/>
  <c r="AH144" i="15"/>
  <c r="W181" i="16"/>
  <c r="AB175" i="15"/>
  <c r="AL169" i="13"/>
  <c r="AC181" i="17"/>
  <c r="Z187" i="17"/>
  <c r="AL138" i="14"/>
  <c r="AH126" i="16"/>
  <c r="AF144" i="16"/>
  <c r="AC187" i="16"/>
  <c r="Z144" i="16"/>
  <c r="Z120" i="12"/>
  <c r="AJ175" i="18"/>
  <c r="AF132" i="15"/>
  <c r="V114" i="13"/>
  <c r="AL144" i="17"/>
  <c r="AL120" i="14"/>
  <c r="AJ126" i="16"/>
  <c r="AB157" i="14"/>
  <c r="AJ169" i="15"/>
  <c r="AB157" i="16"/>
  <c r="AI169" i="17"/>
  <c r="W144" i="15"/>
  <c r="Z187" i="13"/>
  <c r="AF163" i="16"/>
  <c r="AG144" i="17"/>
  <c r="AC126" i="13"/>
  <c r="AJ163" i="14"/>
  <c r="AH157" i="18"/>
  <c r="AA169" i="12"/>
  <c r="AC169" i="14"/>
  <c r="AB175" i="17"/>
  <c r="AI175" i="14"/>
  <c r="AJ187" i="16"/>
  <c r="AH163" i="15"/>
  <c r="X175" i="12"/>
  <c r="Y181" i="17"/>
  <c r="AG169" i="12"/>
  <c r="V187" i="15"/>
  <c r="Z163" i="16"/>
  <c r="AC144" i="16"/>
  <c r="AG175" i="16"/>
  <c r="AJ114" i="17"/>
  <c r="AB187" i="17"/>
  <c r="AE120" i="13"/>
  <c r="AG132" i="17"/>
  <c r="AH151" i="14"/>
  <c r="Y163" i="16"/>
  <c r="X187" i="13"/>
  <c r="AE151" i="18"/>
  <c r="AD144" i="13"/>
  <c r="AC181" i="15"/>
  <c r="AI138" i="13"/>
  <c r="AE144" i="12"/>
  <c r="AJ181" i="14"/>
  <c r="AK151" i="16"/>
  <c r="AG126" i="13"/>
  <c r="X108" i="14"/>
  <c r="Y181" i="16"/>
  <c r="X163" i="18"/>
  <c r="AA108" i="14"/>
  <c r="AF169" i="12"/>
  <c r="AH151" i="16"/>
  <c r="AH187" i="16"/>
  <c r="AD163" i="18"/>
  <c r="AB163" i="16"/>
  <c r="AK132" i="15"/>
  <c r="AC169" i="16"/>
  <c r="AA144" i="17"/>
  <c r="AC120" i="15"/>
  <c r="AC120" i="14"/>
  <c r="AK114" i="18"/>
  <c r="AK175" i="14"/>
  <c r="X151" i="14"/>
  <c r="AE120" i="15"/>
  <c r="AE126" i="18"/>
  <c r="AF169" i="16"/>
  <c r="AJ114" i="13"/>
  <c r="AG120" i="14"/>
  <c r="AE163" i="14"/>
  <c r="AK187" i="14"/>
  <c r="Y126" i="12"/>
  <c r="AH144" i="12"/>
  <c r="AF187" i="18"/>
  <c r="X126" i="17"/>
  <c r="X169" i="14"/>
  <c r="AE169" i="12"/>
  <c r="AF181" i="18"/>
  <c r="AB138" i="17"/>
  <c r="Z108" i="13"/>
  <c r="AH132" i="13"/>
  <c r="AD169" i="15"/>
  <c r="AE157" i="18"/>
  <c r="AF108" i="16"/>
  <c r="Z169" i="15"/>
  <c r="AE157" i="16"/>
  <c r="AI175" i="15"/>
  <c r="AD151" i="17"/>
  <c r="AI151" i="16"/>
  <c r="AL114" i="15"/>
  <c r="AJ187" i="17"/>
  <c r="AB181" i="15"/>
  <c r="AF151" i="13"/>
  <c r="AJ163" i="15"/>
  <c r="AG187" i="13"/>
  <c r="Z132" i="15"/>
  <c r="Y169" i="13"/>
  <c r="V169" i="15"/>
  <c r="AJ108" i="12"/>
  <c r="AH157" i="13"/>
  <c r="AI151" i="17"/>
  <c r="AI114" i="13"/>
  <c r="AJ114" i="18"/>
  <c r="Y181" i="12"/>
  <c r="X175" i="14"/>
  <c r="AG169" i="14"/>
  <c r="AJ132" i="15"/>
  <c r="AL120" i="15"/>
  <c r="AL187" i="14"/>
  <c r="W132" i="18"/>
  <c r="X108" i="17"/>
  <c r="AF132" i="12"/>
  <c r="AA120" i="18"/>
  <c r="X114" i="17"/>
  <c r="AE120" i="12"/>
  <c r="AC175" i="12"/>
  <c r="AG114" i="14"/>
  <c r="AG187" i="14"/>
  <c r="AE175" i="17"/>
  <c r="AB157" i="12"/>
  <c r="AI157" i="18"/>
  <c r="AL157" i="14"/>
  <c r="V163" i="16"/>
  <c r="V120" i="16"/>
  <c r="AF138" i="16"/>
  <c r="AB187" i="13"/>
  <c r="AL181" i="16"/>
  <c r="AD108" i="15"/>
  <c r="AL120" i="18"/>
  <c r="AK132" i="14"/>
  <c r="AH114" i="15"/>
  <c r="AD157" i="17"/>
  <c r="W187" i="17"/>
  <c r="W114" i="14"/>
  <c r="W169" i="14"/>
  <c r="AI169" i="15"/>
  <c r="AK181" i="12"/>
  <c r="AI175" i="18"/>
  <c r="AB151" i="15"/>
  <c r="AE181" i="15"/>
  <c r="AB132" i="12"/>
  <c r="AC126" i="14"/>
  <c r="AH151" i="15"/>
  <c r="Y114" i="17"/>
  <c r="AG132" i="13"/>
  <c r="AH175" i="18"/>
  <c r="AD181" i="14"/>
  <c r="AI187" i="16"/>
  <c r="Y126" i="18"/>
  <c r="AE132" i="18"/>
  <c r="AH169" i="17"/>
  <c r="AJ175" i="17"/>
  <c r="AH132" i="17"/>
  <c r="AD181" i="17"/>
  <c r="AF169" i="17"/>
  <c r="AG144" i="16"/>
  <c r="AC151" i="17"/>
  <c r="Z163" i="14"/>
  <c r="AF157" i="14"/>
  <c r="AI181" i="12"/>
  <c r="AF120" i="12"/>
  <c r="AL114" i="17"/>
  <c r="W126" i="16"/>
  <c r="AK169" i="18"/>
  <c r="AB114" i="16"/>
  <c r="AB151" i="13"/>
  <c r="AI126" i="15"/>
  <c r="X132" i="16"/>
  <c r="AB144" i="14"/>
  <c r="AB132" i="15"/>
  <c r="AE120" i="18"/>
  <c r="AJ151" i="13"/>
  <c r="Y169" i="15"/>
  <c r="AH151" i="18"/>
  <c r="AI151" i="15"/>
  <c r="AB157" i="15"/>
  <c r="AJ144" i="17"/>
  <c r="AF144" i="18"/>
  <c r="X114" i="13"/>
  <c r="W181" i="12"/>
  <c r="AF120" i="18"/>
  <c r="AG126" i="14"/>
  <c r="AK169" i="13"/>
  <c r="AK169" i="16"/>
  <c r="AD144" i="16"/>
  <c r="V181" i="16"/>
  <c r="W151" i="18"/>
  <c r="AE108" i="14"/>
  <c r="AK181" i="13"/>
  <c r="AG157" i="13"/>
  <c r="AC108" i="18"/>
  <c r="AF120" i="14"/>
  <c r="Y132" i="14"/>
  <c r="W157" i="17"/>
  <c r="AI144" i="12"/>
  <c r="W144" i="17"/>
  <c r="AD175" i="14"/>
  <c r="AJ114" i="15"/>
  <c r="AC114" i="12"/>
  <c r="AH126" i="15"/>
  <c r="AF163" i="14"/>
  <c r="AF187" i="14"/>
  <c r="AD132" i="15"/>
  <c r="AF151" i="17"/>
  <c r="Y108" i="18"/>
  <c r="W120" i="13"/>
  <c r="Z120" i="15"/>
  <c r="AI157" i="13"/>
  <c r="AC108" i="16"/>
  <c r="AK144" i="17"/>
  <c r="AI175" i="16"/>
  <c r="AD175" i="17"/>
  <c r="AI169" i="16"/>
  <c r="AD126" i="15"/>
  <c r="Z144" i="14"/>
  <c r="V120" i="17"/>
  <c r="AA157" i="13"/>
  <c r="AJ187" i="14"/>
  <c r="AL169" i="14"/>
  <c r="AK126" i="16"/>
  <c r="AK163" i="12"/>
  <c r="AE126" i="17"/>
  <c r="AB187" i="18"/>
  <c r="AJ181" i="16"/>
  <c r="AH126" i="14"/>
  <c r="AA144" i="14"/>
  <c r="AG138" i="14"/>
  <c r="AD157" i="14"/>
  <c r="AD151" i="14"/>
  <c r="AD138" i="15"/>
  <c r="AE187" i="13"/>
  <c r="AI126" i="16"/>
  <c r="AA144" i="15"/>
  <c r="AI175" i="12"/>
  <c r="AC157" i="18"/>
  <c r="AJ175" i="13"/>
  <c r="AK187" i="15"/>
  <c r="Z175" i="12"/>
  <c r="AL138" i="16"/>
  <c r="AG120" i="12"/>
  <c r="X181" i="17"/>
  <c r="AD144" i="14"/>
  <c r="AK120" i="17"/>
  <c r="AK187" i="16"/>
  <c r="AB144" i="18"/>
  <c r="Z114" i="12"/>
  <c r="AH144" i="16"/>
  <c r="AJ138" i="15"/>
  <c r="AI169" i="18"/>
  <c r="AB126" i="16"/>
  <c r="AA126" i="15"/>
  <c r="AD163" i="12"/>
  <c r="AL163" i="18"/>
  <c r="AF108" i="17"/>
  <c r="Y138" i="15"/>
  <c r="AH175" i="16"/>
  <c r="Y175" i="13"/>
  <c r="AK114" i="16"/>
  <c r="AJ126" i="15"/>
  <c r="AG114" i="16"/>
  <c r="V163" i="17"/>
  <c r="V132" i="17"/>
  <c r="AF175" i="18"/>
  <c r="AB187" i="14"/>
  <c r="AG163" i="12"/>
  <c r="AE126" i="15"/>
  <c r="AE126" i="16"/>
  <c r="Y175" i="14"/>
  <c r="V126" i="13"/>
  <c r="AJ169" i="18"/>
  <c r="AE187" i="12"/>
  <c r="AE108" i="18"/>
  <c r="AC144" i="17"/>
  <c r="AB120" i="15"/>
  <c r="AI132" i="13"/>
  <c r="AE151" i="17"/>
  <c r="AJ169" i="17"/>
  <c r="AL175" i="13"/>
  <c r="AH169" i="18"/>
  <c r="AL138" i="15"/>
  <c r="AD187" i="18"/>
  <c r="AH126" i="17"/>
  <c r="AL144" i="15"/>
  <c r="Y163" i="13"/>
  <c r="W114" i="13"/>
  <c r="AK138" i="14"/>
  <c r="AI114" i="12"/>
  <c r="AL187" i="17"/>
  <c r="AC108" i="12"/>
  <c r="AI187" i="12"/>
  <c r="AC175" i="16"/>
  <c r="AI108" i="16"/>
  <c r="AH157" i="15"/>
  <c r="Z114" i="15"/>
  <c r="AF163" i="12"/>
  <c r="AB181" i="16"/>
  <c r="AE108" i="12"/>
  <c r="AL169" i="16"/>
  <c r="AF108" i="18"/>
  <c r="AD181" i="18"/>
  <c r="AG132" i="16"/>
  <c r="AI114" i="14"/>
  <c r="Z169" i="17"/>
  <c r="X157" i="14"/>
  <c r="AE108" i="17"/>
  <c r="AD126" i="16"/>
  <c r="AF175" i="16"/>
  <c r="AI126" i="14"/>
  <c r="AK151" i="17"/>
  <c r="AJ175" i="16"/>
  <c r="Y132" i="15"/>
  <c r="AL132" i="13"/>
  <c r="AH108" i="12"/>
  <c r="AG144" i="18"/>
  <c r="AJ138" i="18"/>
  <c r="AB163" i="15"/>
  <c r="Y120" i="15"/>
  <c r="AI108" i="12"/>
  <c r="AG108" i="15"/>
  <c r="X187" i="18"/>
  <c r="AA187" i="16"/>
  <c r="AC151" i="15"/>
  <c r="AK108" i="16"/>
  <c r="AB108" i="17"/>
  <c r="X138" i="15"/>
  <c r="AG132" i="12"/>
  <c r="AH144" i="17"/>
  <c r="AI163" i="13"/>
  <c r="AD169" i="17"/>
  <c r="Y138" i="13"/>
  <c r="AB126" i="14"/>
  <c r="AC138" i="14"/>
  <c r="AI169" i="13"/>
  <c r="AA108" i="16"/>
  <c r="AL175" i="15"/>
  <c r="AG175" i="15"/>
  <c r="X108" i="16"/>
  <c r="AD120" i="18"/>
  <c r="AA126" i="13"/>
  <c r="AF108" i="15"/>
  <c r="AH181" i="18"/>
  <c r="AD169" i="16"/>
  <c r="AL126" i="14"/>
  <c r="AD120" i="12"/>
  <c r="AL151" i="15"/>
  <c r="AL151" i="14"/>
  <c r="AI132" i="16"/>
  <c r="AJ163" i="13"/>
  <c r="AG157" i="16"/>
  <c r="AC126" i="18"/>
  <c r="AE126" i="12"/>
  <c r="Y175" i="12"/>
  <c r="W126" i="18"/>
  <c r="AA138" i="13"/>
  <c r="V169" i="16"/>
  <c r="AA157" i="15"/>
  <c r="Y181" i="14"/>
  <c r="Z126" i="17"/>
  <c r="X187" i="15"/>
  <c r="Z187" i="15"/>
  <c r="Y138" i="14"/>
  <c r="V120" i="13"/>
  <c r="AA126" i="18"/>
  <c r="AA163" i="15"/>
  <c r="Y181" i="15"/>
  <c r="Y157" i="13"/>
  <c r="AA187" i="18"/>
  <c r="X132" i="18"/>
  <c r="X181" i="15"/>
  <c r="Y114" i="12"/>
  <c r="X132" i="17"/>
  <c r="V181" i="15"/>
  <c r="AA169" i="17"/>
  <c r="V114" i="14"/>
  <c r="Y157" i="16"/>
  <c r="AA132" i="13"/>
  <c r="AA187" i="13"/>
  <c r="V132" i="12"/>
  <c r="V175" i="12"/>
  <c r="V132" i="15"/>
  <c r="AA138" i="17"/>
  <c r="W187" i="13"/>
  <c r="AJ114" i="16"/>
  <c r="AK181" i="15"/>
  <c r="AF120" i="13"/>
  <c r="AL151" i="17"/>
  <c r="AL132" i="15"/>
  <c r="AE169" i="14"/>
  <c r="AC138" i="12"/>
  <c r="AD132" i="16"/>
  <c r="AD181" i="15"/>
  <c r="AB175" i="18"/>
  <c r="AC175" i="14"/>
  <c r="AI132" i="12"/>
  <c r="AH144" i="18"/>
  <c r="AG169" i="17"/>
  <c r="AK144" i="15"/>
  <c r="AG175" i="17"/>
  <c r="AJ175" i="12"/>
  <c r="AA187" i="17"/>
  <c r="W114" i="17"/>
  <c r="V175" i="14"/>
  <c r="AA120" i="12"/>
  <c r="W108" i="15"/>
  <c r="W144" i="13"/>
  <c r="X120" i="18"/>
  <c r="AB187" i="16"/>
  <c r="AA114" i="14"/>
  <c r="W132" i="13"/>
  <c r="Y151" i="16"/>
  <c r="AA138" i="15"/>
  <c r="Z114" i="14"/>
  <c r="W157" i="14"/>
  <c r="Z144" i="13"/>
  <c r="AB138" i="14"/>
  <c r="AB187" i="12"/>
  <c r="V126" i="16"/>
  <c r="V108" i="15"/>
  <c r="X169" i="17"/>
  <c r="AH144" i="14"/>
  <c r="AC187" i="13"/>
  <c r="AC114" i="18"/>
  <c r="Y120" i="12"/>
  <c r="AK175" i="18"/>
  <c r="AL163" i="12"/>
  <c r="W181" i="13"/>
  <c r="AI169" i="12"/>
  <c r="AF138" i="17"/>
  <c r="AH138" i="18"/>
  <c r="Z126" i="15"/>
  <c r="AD169" i="18"/>
  <c r="AK120" i="14"/>
  <c r="V187" i="18"/>
  <c r="AC114" i="15"/>
  <c r="AK175" i="16"/>
  <c r="AG175" i="18"/>
  <c r="Y108" i="12"/>
  <c r="AA175" i="15"/>
  <c r="AA169" i="18"/>
  <c r="W138" i="13"/>
  <c r="Z126" i="16"/>
  <c r="V169" i="18"/>
  <c r="Z175" i="15"/>
  <c r="X169" i="13"/>
  <c r="Y114" i="15"/>
  <c r="W163" i="17"/>
  <c r="Z138" i="14"/>
  <c r="AB169" i="18"/>
  <c r="AA138" i="18"/>
  <c r="Z138" i="16"/>
  <c r="Z163" i="17"/>
  <c r="V126" i="18"/>
  <c r="AA151" i="16"/>
  <c r="W114" i="18"/>
  <c r="V175" i="17"/>
  <c r="AA126" i="14"/>
  <c r="Y120" i="14"/>
  <c r="V132" i="18"/>
  <c r="AH138" i="14"/>
  <c r="AF108" i="12"/>
  <c r="Z181" i="13"/>
  <c r="AF126" i="15"/>
  <c r="AF187" i="13"/>
  <c r="W175" i="12"/>
  <c r="AF151" i="15"/>
  <c r="AD108" i="16"/>
  <c r="AB132" i="13"/>
  <c r="AF126" i="12"/>
  <c r="AE187" i="16"/>
  <c r="AF181" i="16"/>
  <c r="AE132" i="15"/>
  <c r="AC138" i="17"/>
  <c r="Z126" i="12"/>
  <c r="AJ157" i="17"/>
  <c r="Y157" i="15"/>
  <c r="X187" i="16"/>
  <c r="Y175" i="17"/>
  <c r="Z114" i="13"/>
  <c r="Y108" i="15"/>
  <c r="Z175" i="18"/>
  <c r="X132" i="14"/>
  <c r="Y144" i="14"/>
  <c r="X114" i="14"/>
  <c r="W108" i="18"/>
  <c r="AB144" i="16"/>
  <c r="W126" i="17"/>
  <c r="V187" i="17"/>
  <c r="X138" i="12"/>
  <c r="W169" i="17"/>
  <c r="W181" i="15"/>
  <c r="Y187" i="16"/>
  <c r="W132" i="17"/>
  <c r="X169" i="15"/>
  <c r="Z108" i="17"/>
  <c r="AB138" i="12"/>
  <c r="AA175" i="12"/>
  <c r="Y187" i="17"/>
  <c r="AA163" i="14"/>
  <c r="W151" i="13"/>
  <c r="Z126" i="14"/>
  <c r="V120" i="12"/>
  <c r="V108" i="12"/>
  <c r="W163" i="13"/>
  <c r="W151" i="16"/>
  <c r="Y108" i="16"/>
  <c r="AA120" i="14"/>
  <c r="W144" i="16"/>
  <c r="Z163" i="15"/>
  <c r="AJ138" i="13"/>
  <c r="AD187" i="15"/>
  <c r="AI187" i="15"/>
  <c r="AC187" i="18"/>
  <c r="AH181" i="16"/>
  <c r="AK144" i="18"/>
  <c r="AJ144" i="18"/>
  <c r="AG108" i="14"/>
  <c r="AI163" i="14"/>
  <c r="AK108" i="13"/>
  <c r="AB126" i="18"/>
  <c r="AD163" i="14"/>
  <c r="V151" i="12"/>
  <c r="V144" i="18"/>
  <c r="V126" i="15"/>
  <c r="V120" i="14"/>
  <c r="X175" i="18"/>
  <c r="W108" i="17"/>
  <c r="X151" i="15"/>
  <c r="Y114" i="13"/>
  <c r="AA163" i="18"/>
  <c r="Z138" i="18"/>
  <c r="V181" i="13"/>
  <c r="Y187" i="18"/>
  <c r="Z132" i="17"/>
  <c r="V157" i="17"/>
  <c r="Y175" i="18"/>
  <c r="V108" i="16"/>
  <c r="W138" i="12"/>
  <c r="AA114" i="12"/>
  <c r="Y126" i="17"/>
  <c r="Z138" i="13"/>
  <c r="X132" i="15"/>
  <c r="X157" i="17"/>
  <c r="X157" i="18"/>
  <c r="X157" i="15"/>
  <c r="W157" i="13"/>
  <c r="X138" i="16"/>
  <c r="Z163" i="12"/>
  <c r="Y151" i="15"/>
  <c r="V144" i="16"/>
  <c r="AB144" i="17"/>
  <c r="Y187" i="15"/>
  <c r="Y108" i="13"/>
  <c r="Z132" i="18"/>
  <c r="X114" i="15"/>
  <c r="V175" i="16"/>
  <c r="AI181" i="17"/>
  <c r="X108" i="18"/>
  <c r="Z157" i="15"/>
  <c r="AA151" i="18"/>
  <c r="AL120" i="17"/>
  <c r="AL144" i="16"/>
  <c r="Z144" i="12"/>
  <c r="Z108" i="18"/>
  <c r="AD114" i="12"/>
  <c r="AF163" i="15"/>
  <c r="W120" i="17"/>
  <c r="AB187" i="15"/>
  <c r="AE114" i="12"/>
  <c r="AK114" i="17"/>
  <c r="V169" i="13"/>
  <c r="AG157" i="14"/>
  <c r="AL169" i="15"/>
  <c r="AG138" i="12"/>
  <c r="AG181" i="12"/>
  <c r="AC157" i="15"/>
  <c r="X144" i="16"/>
  <c r="AJ157" i="13"/>
  <c r="AI120" i="13"/>
  <c r="AK181" i="18"/>
  <c r="X181" i="16"/>
  <c r="X108" i="12"/>
  <c r="AB181" i="18"/>
  <c r="AL157" i="15"/>
  <c r="AG181" i="13"/>
  <c r="AI114" i="15"/>
  <c r="AG144" i="13"/>
  <c r="X181" i="14"/>
  <c r="Z181" i="15"/>
  <c r="AA114" i="16"/>
  <c r="W151" i="14"/>
  <c r="V151" i="17"/>
  <c r="W163" i="14"/>
  <c r="W181" i="14"/>
  <c r="V157" i="18"/>
  <c r="AA108" i="18"/>
  <c r="Z108" i="15"/>
  <c r="AA157" i="14"/>
  <c r="AA132" i="16"/>
  <c r="X126" i="15"/>
  <c r="V151" i="14"/>
  <c r="V144" i="12"/>
  <c r="AA151" i="13"/>
  <c r="Y163" i="15"/>
  <c r="Z151" i="12"/>
  <c r="Z144" i="17"/>
  <c r="W138" i="18"/>
  <c r="X175" i="17"/>
  <c r="W132" i="16"/>
  <c r="V144" i="13"/>
  <c r="X151" i="18"/>
  <c r="Y132" i="13"/>
  <c r="V181" i="17"/>
  <c r="W120" i="16"/>
  <c r="AA151" i="17"/>
  <c r="AA181" i="17"/>
  <c r="Z151" i="13"/>
  <c r="V187" i="14"/>
  <c r="X126" i="13"/>
  <c r="AA157" i="18"/>
  <c r="E169" i="18"/>
  <c r="E114" i="14"/>
  <c r="E151" i="16"/>
  <c r="F169" i="17"/>
  <c r="F187" i="15"/>
  <c r="F114" i="12"/>
  <c r="F157" i="17"/>
  <c r="E114" i="17"/>
  <c r="E108" i="12"/>
  <c r="F169" i="16"/>
  <c r="E144" i="17"/>
  <c r="E114" i="12"/>
  <c r="E169" i="13"/>
  <c r="AC151" i="18"/>
  <c r="AC151" i="12"/>
  <c r="AE175" i="12"/>
  <c r="AE114" i="17"/>
  <c r="AD108" i="13"/>
  <c r="AD132" i="18"/>
  <c r="AF175" i="12"/>
  <c r="AJ120" i="12"/>
  <c r="AH132" i="14"/>
  <c r="AF163" i="18"/>
  <c r="AH163" i="12"/>
  <c r="AI181" i="13"/>
  <c r="AI151" i="13"/>
  <c r="AK144" i="12"/>
  <c r="AG132" i="15"/>
  <c r="AI138" i="14"/>
  <c r="AI108" i="14"/>
  <c r="AK108" i="12"/>
  <c r="AK126" i="12"/>
  <c r="AH138" i="16"/>
  <c r="V108" i="14"/>
  <c r="Z181" i="16"/>
  <c r="AA126" i="12"/>
  <c r="V138" i="17"/>
  <c r="V138" i="12"/>
  <c r="Y114" i="14"/>
  <c r="V151" i="15"/>
  <c r="AB175" i="12"/>
  <c r="V132" i="14"/>
  <c r="V163" i="14"/>
  <c r="W175" i="18"/>
  <c r="X132" i="13"/>
  <c r="Y169" i="16"/>
  <c r="AA108" i="15"/>
  <c r="Z120" i="16"/>
  <c r="H132" i="18"/>
  <c r="H187" i="13"/>
  <c r="G132" i="14"/>
  <c r="G181" i="12"/>
  <c r="AD138" i="12"/>
  <c r="Z138" i="12"/>
  <c r="E175" i="16"/>
  <c r="F151" i="17"/>
  <c r="F120" i="13"/>
  <c r="E120" i="14"/>
  <c r="E144" i="18"/>
  <c r="F187" i="13"/>
  <c r="F120" i="18"/>
  <c r="E120" i="15"/>
  <c r="F175" i="13"/>
  <c r="F187" i="17"/>
  <c r="F181" i="16"/>
  <c r="F151" i="15"/>
  <c r="E126" i="13"/>
  <c r="F151" i="18"/>
  <c r="F175" i="18"/>
  <c r="E126" i="14"/>
  <c r="F138" i="13"/>
  <c r="F108" i="14"/>
  <c r="F175" i="12"/>
  <c r="E114" i="15"/>
  <c r="E138" i="15"/>
  <c r="F151" i="16"/>
  <c r="F126" i="17"/>
  <c r="E138" i="17"/>
  <c r="F144" i="18"/>
  <c r="E181" i="16"/>
  <c r="E138" i="14"/>
  <c r="E163" i="17"/>
  <c r="F181" i="14"/>
  <c r="E163" i="18"/>
  <c r="F108" i="18"/>
  <c r="E163" i="13"/>
  <c r="F120" i="15"/>
  <c r="F132" i="12"/>
  <c r="E132" i="17"/>
  <c r="F120" i="14"/>
  <c r="F187" i="18"/>
  <c r="F163" i="14"/>
  <c r="F175" i="17"/>
  <c r="F181" i="12"/>
  <c r="E151" i="12"/>
  <c r="F163" i="16"/>
  <c r="E108" i="13"/>
  <c r="E187" i="16"/>
  <c r="E132" i="15"/>
  <c r="F114" i="16"/>
  <c r="E169" i="12"/>
  <c r="F138" i="15"/>
  <c r="F132" i="17"/>
  <c r="E114" i="16"/>
  <c r="E169" i="15"/>
  <c r="E126" i="17"/>
  <c r="E163" i="12"/>
  <c r="F157" i="13"/>
  <c r="F108" i="15"/>
  <c r="E108" i="16"/>
  <c r="E163" i="16"/>
  <c r="F175" i="14"/>
  <c r="F169" i="14"/>
  <c r="E157" i="15"/>
  <c r="E132" i="14"/>
  <c r="E126" i="15"/>
  <c r="E114" i="13"/>
  <c r="F163" i="15"/>
  <c r="E169" i="14"/>
  <c r="F108" i="16"/>
  <c r="E144" i="14"/>
  <c r="E132" i="13"/>
  <c r="E151" i="14"/>
  <c r="E175" i="13"/>
  <c r="E144" i="15"/>
  <c r="F163" i="13"/>
  <c r="E126" i="12"/>
  <c r="F108" i="17"/>
  <c r="E151" i="18"/>
  <c r="F169" i="13"/>
  <c r="F132" i="15"/>
  <c r="E163" i="14"/>
  <c r="F163" i="17"/>
  <c r="F108" i="13"/>
  <c r="E157" i="12"/>
  <c r="E151" i="17"/>
  <c r="F126" i="13"/>
  <c r="F114" i="18"/>
  <c r="E151" i="13"/>
  <c r="F169" i="15"/>
  <c r="F132" i="16"/>
  <c r="E138" i="16"/>
  <c r="F126" i="15"/>
  <c r="E169" i="16"/>
  <c r="E157" i="16"/>
  <c r="E187" i="13"/>
  <c r="F120" i="17"/>
  <c r="AD163" i="16"/>
  <c r="AD126" i="13"/>
  <c r="AD114" i="13"/>
  <c r="AE132" i="12"/>
  <c r="AC114" i="16"/>
  <c r="AE181" i="12"/>
  <c r="AK181" i="14"/>
  <c r="AK108" i="14"/>
  <c r="AH163" i="13"/>
  <c r="AH126" i="18"/>
  <c r="AH151" i="13"/>
  <c r="AF108" i="14"/>
  <c r="AK169" i="12"/>
  <c r="AI126" i="13"/>
  <c r="AJ157" i="18"/>
  <c r="AH151" i="12"/>
  <c r="AJ181" i="18"/>
  <c r="AF120" i="15"/>
  <c r="AI108" i="15"/>
  <c r="AB169" i="12"/>
  <c r="AA132" i="15"/>
  <c r="X120" i="12"/>
  <c r="V169" i="14"/>
  <c r="AA114" i="15"/>
  <c r="V169" i="17"/>
  <c r="Z163" i="13"/>
  <c r="W157" i="16"/>
  <c r="AA108" i="17"/>
  <c r="Z144" i="15"/>
  <c r="AB169" i="15"/>
  <c r="W108" i="14"/>
  <c r="AB175" i="13"/>
  <c r="AA163" i="12"/>
  <c r="Z114" i="17"/>
  <c r="X144" i="17"/>
  <c r="AA181" i="14"/>
  <c r="AB132" i="16"/>
  <c r="Z169" i="18"/>
  <c r="Z169" i="13"/>
  <c r="W132" i="12"/>
  <c r="W138" i="14"/>
  <c r="AB120" i="12"/>
  <c r="H108" i="13"/>
  <c r="H175" i="13"/>
  <c r="G126" i="12"/>
  <c r="F175" i="16"/>
  <c r="AC157" i="17"/>
  <c r="AC187" i="15"/>
  <c r="X169" i="12"/>
  <c r="AF157" i="18"/>
  <c r="AH175" i="13"/>
  <c r="F169" i="18"/>
  <c r="F144" i="17"/>
  <c r="E175" i="18"/>
  <c r="E157" i="13"/>
  <c r="F114" i="15"/>
  <c r="E181" i="14"/>
  <c r="E175" i="12"/>
  <c r="E157" i="17"/>
  <c r="E187" i="15"/>
  <c r="E181" i="18"/>
  <c r="E114" i="18"/>
  <c r="F157" i="18"/>
  <c r="E175" i="15"/>
  <c r="AD120" i="16"/>
  <c r="AE114" i="13"/>
  <c r="AC138" i="16"/>
  <c r="AE108" i="13"/>
  <c r="AE157" i="14"/>
  <c r="AD187" i="14"/>
  <c r="AG114" i="17"/>
  <c r="AK132" i="12"/>
  <c r="AH175" i="15"/>
  <c r="AI132" i="14"/>
  <c r="AK175" i="12"/>
  <c r="AF132" i="16"/>
  <c r="AH108" i="14"/>
  <c r="AG114" i="13"/>
  <c r="AG108" i="18"/>
  <c r="AH187" i="17"/>
  <c r="AK144" i="13"/>
  <c r="AK114" i="14"/>
  <c r="AJ120" i="18"/>
  <c r="V132" i="16"/>
  <c r="Y151" i="12"/>
  <c r="Z187" i="14"/>
  <c r="V157" i="14"/>
  <c r="AA175" i="18"/>
  <c r="Y144" i="16"/>
  <c r="W175" i="14"/>
  <c r="V151" i="18"/>
  <c r="X132" i="12"/>
  <c r="AB138" i="15"/>
  <c r="AA175" i="16"/>
  <c r="X126" i="18"/>
  <c r="Z120" i="18"/>
  <c r="W132" i="14"/>
  <c r="V138" i="15"/>
  <c r="Y169" i="14"/>
  <c r="V138" i="13"/>
  <c r="H120" i="12"/>
  <c r="H169" i="16"/>
  <c r="H120" i="14"/>
  <c r="G163" i="16"/>
  <c r="F157" i="14"/>
  <c r="F132" i="13"/>
  <c r="AE144" i="15"/>
  <c r="H144" i="15"/>
  <c r="AD108" i="18"/>
  <c r="W108" i="13"/>
  <c r="F181" i="18"/>
  <c r="F120" i="16"/>
  <c r="E144" i="12"/>
  <c r="E138" i="12"/>
  <c r="F120" i="12"/>
  <c r="F157" i="16"/>
  <c r="F114" i="17"/>
  <c r="F151" i="12"/>
  <c r="F157" i="15"/>
  <c r="E187" i="12"/>
  <c r="F175" i="15"/>
  <c r="AD187" i="13"/>
  <c r="AC126" i="17"/>
  <c r="AC144" i="18"/>
  <c r="AD144" i="15"/>
  <c r="AD169" i="12"/>
  <c r="AE175" i="13"/>
  <c r="AH187" i="15"/>
  <c r="AH157" i="12"/>
  <c r="AJ169" i="12"/>
  <c r="AJ157" i="15"/>
  <c r="AI175" i="13"/>
  <c r="AK138" i="12"/>
  <c r="AH138" i="17"/>
  <c r="AH169" i="14"/>
  <c r="AJ181" i="12"/>
  <c r="AG181" i="15"/>
  <c r="AF114" i="16"/>
  <c r="AK163" i="13"/>
  <c r="AF108" i="13"/>
  <c r="AI144" i="13"/>
  <c r="W163" i="16"/>
  <c r="X175" i="13"/>
  <c r="AB151" i="16"/>
  <c r="Z114" i="16"/>
  <c r="AA175" i="17"/>
  <c r="W126" i="13"/>
  <c r="X151" i="17"/>
  <c r="X163" i="15"/>
  <c r="X114" i="12"/>
  <c r="Z126" i="18"/>
  <c r="W138" i="15"/>
  <c r="X151" i="13"/>
  <c r="AA114" i="18"/>
  <c r="W114" i="15"/>
  <c r="AA132" i="18"/>
  <c r="V157" i="13"/>
  <c r="Y126" i="13"/>
  <c r="V120" i="18"/>
  <c r="H120" i="18"/>
  <c r="H175" i="15"/>
  <c r="G151" i="13"/>
  <c r="G169" i="14"/>
  <c r="E108" i="14"/>
  <c r="AC132" i="12"/>
  <c r="AK144" i="14"/>
  <c r="F144" i="13"/>
  <c r="F181" i="15"/>
  <c r="F126" i="14"/>
  <c r="E132" i="12"/>
  <c r="E187" i="14"/>
  <c r="F181" i="17"/>
  <c r="E151" i="15"/>
  <c r="F187" i="14"/>
  <c r="F144" i="14"/>
  <c r="E181" i="12"/>
  <c r="AD181" i="12"/>
  <c r="AE151" i="12"/>
  <c r="AC157" i="14"/>
  <c r="AE181" i="18"/>
  <c r="AD138" i="13"/>
  <c r="AE138" i="14"/>
  <c r="Y181" i="13"/>
  <c r="AH169" i="16"/>
  <c r="AF169" i="14"/>
  <c r="AK157" i="16"/>
  <c r="AI120" i="14"/>
  <c r="AG181" i="18"/>
  <c r="AH114" i="16"/>
  <c r="AF138" i="14"/>
  <c r="AH114" i="13"/>
  <c r="AJ187" i="15"/>
  <c r="AF151" i="16"/>
  <c r="AK132" i="13"/>
  <c r="AF163" i="13"/>
  <c r="AI126" i="12"/>
  <c r="AA132" i="12"/>
  <c r="Z126" i="13"/>
  <c r="W187" i="12"/>
  <c r="W120" i="15"/>
  <c r="Z175" i="16"/>
  <c r="V144" i="15"/>
  <c r="W181" i="17"/>
  <c r="AA120" i="15"/>
  <c r="V181" i="18"/>
  <c r="V151" i="13"/>
  <c r="X144" i="18"/>
  <c r="X163" i="17"/>
  <c r="Z132" i="14"/>
  <c r="Z157" i="14"/>
  <c r="AB120" i="13"/>
  <c r="Y144" i="12"/>
  <c r="AA114" i="13"/>
  <c r="V108" i="13"/>
  <c r="AA187" i="15"/>
  <c r="V151" i="16"/>
  <c r="E108" i="17"/>
  <c r="H157" i="17"/>
  <c r="H132" i="13"/>
  <c r="G108" i="18"/>
  <c r="G114" i="13"/>
  <c r="F126" i="16"/>
  <c r="E187" i="17"/>
  <c r="E138" i="13"/>
  <c r="E132" i="16"/>
  <c r="E181" i="15"/>
  <c r="E175" i="17"/>
  <c r="F114" i="13"/>
  <c r="F151" i="14"/>
  <c r="E144" i="13"/>
  <c r="E163" i="15"/>
  <c r="E108" i="15"/>
  <c r="E132" i="18"/>
  <c r="F144" i="16"/>
  <c r="AE120" i="14"/>
  <c r="AE181" i="13"/>
  <c r="AC120" i="17"/>
  <c r="AC163" i="12"/>
  <c r="AC120" i="13"/>
  <c r="AD120" i="13"/>
  <c r="Y126" i="16"/>
  <c r="AG163" i="17"/>
  <c r="AF144" i="15"/>
  <c r="AF157" i="13"/>
  <c r="AI181" i="15"/>
  <c r="AG120" i="18"/>
  <c r="AH120" i="13"/>
  <c r="AH120" i="17"/>
  <c r="AI163" i="16"/>
  <c r="AK163" i="15"/>
  <c r="AH163" i="16"/>
  <c r="AJ169" i="14"/>
  <c r="AI120" i="12"/>
  <c r="AJ144" i="15"/>
  <c r="X187" i="12"/>
  <c r="Y120" i="16"/>
  <c r="AA151" i="12"/>
  <c r="X157" i="16"/>
  <c r="W126" i="14"/>
  <c r="X114" i="16"/>
  <c r="Y157" i="17"/>
  <c r="AA120" i="13"/>
  <c r="AA144" i="16"/>
  <c r="AB151" i="17"/>
  <c r="Y138" i="17"/>
  <c r="V157" i="16"/>
  <c r="AA187" i="14"/>
  <c r="Z187" i="16"/>
  <c r="W175" i="15"/>
  <c r="Y157" i="12"/>
  <c r="V126" i="12"/>
  <c r="H169" i="18"/>
  <c r="H138" i="14"/>
  <c r="H138" i="17"/>
  <c r="E120" i="18"/>
  <c r="G126" i="16"/>
  <c r="Z151" i="17"/>
  <c r="V175" i="13"/>
  <c r="F138" i="12"/>
  <c r="AD114" i="14"/>
  <c r="AD187" i="17"/>
  <c r="Y144" i="17"/>
  <c r="X120" i="16"/>
  <c r="U163" i="18"/>
  <c r="X169" i="16"/>
  <c r="V144" i="17"/>
  <c r="U151" i="13"/>
  <c r="W163" i="12"/>
  <c r="AE163" i="13"/>
  <c r="AB120" i="18"/>
  <c r="AD151" i="16"/>
  <c r="AD108" i="12"/>
  <c r="AG108" i="13"/>
  <c r="AF132" i="14"/>
  <c r="AG157" i="17"/>
  <c r="AE187" i="18"/>
  <c r="AC120" i="12"/>
  <c r="Y144" i="15"/>
  <c r="Z138" i="17"/>
  <c r="AA108" i="12"/>
  <c r="Z175" i="14"/>
  <c r="AB114" i="13"/>
  <c r="AE132" i="13"/>
  <c r="AH114" i="17"/>
  <c r="AF175" i="13"/>
  <c r="AE138" i="17"/>
  <c r="AC157" i="13"/>
  <c r="U126" i="15"/>
  <c r="Z187" i="12"/>
  <c r="Z169" i="12"/>
  <c r="Z181" i="12"/>
  <c r="X163" i="16"/>
  <c r="AA187" i="12"/>
  <c r="AH163" i="17"/>
  <c r="AH126" i="13"/>
  <c r="AB108" i="16"/>
  <c r="AB108" i="12"/>
  <c r="AE175" i="18"/>
  <c r="AF175" i="17"/>
  <c r="Y132" i="16"/>
  <c r="Y151" i="18"/>
  <c r="V163" i="13"/>
  <c r="AC144" i="12"/>
  <c r="AA175" i="14"/>
  <c r="AE181" i="16"/>
  <c r="W108" i="12"/>
  <c r="AD157" i="13"/>
  <c r="AB120" i="16"/>
  <c r="AC163" i="18"/>
  <c r="AC175" i="13"/>
  <c r="AE169" i="15"/>
  <c r="AG138" i="18"/>
  <c r="AC108" i="17"/>
  <c r="Z181" i="14"/>
  <c r="X175" i="15"/>
  <c r="W187" i="16"/>
  <c r="AH138" i="15"/>
  <c r="W157" i="15"/>
  <c r="AG175" i="12"/>
  <c r="AH181" i="15"/>
  <c r="Z132" i="16"/>
  <c r="AD157" i="12"/>
  <c r="W144" i="18"/>
  <c r="AC132" i="16"/>
  <c r="AF144" i="14"/>
  <c r="X163" i="13"/>
  <c r="AH108" i="13"/>
  <c r="AD108" i="17"/>
  <c r="AD181" i="16"/>
  <c r="AD187" i="16"/>
  <c r="AB126" i="17"/>
  <c r="AE169" i="13"/>
  <c r="AF181" i="15"/>
  <c r="AB151" i="18"/>
  <c r="AH181" i="13"/>
  <c r="AF120" i="17"/>
  <c r="Z181" i="17"/>
  <c r="AA114" i="17"/>
  <c r="AA120" i="16"/>
  <c r="AA157" i="12"/>
  <c r="AD169" i="13"/>
  <c r="AH169" i="12"/>
  <c r="AG169" i="18"/>
  <c r="AH157" i="16"/>
  <c r="AG181" i="16"/>
  <c r="AD169" i="14"/>
  <c r="AC114" i="17"/>
  <c r="AE144" i="14"/>
  <c r="AA126" i="17"/>
  <c r="V114" i="16"/>
  <c r="V108" i="17"/>
  <c r="W169" i="12"/>
  <c r="Y187" i="12"/>
  <c r="Z132" i="13"/>
  <c r="AB169" i="13"/>
  <c r="AD175" i="18"/>
  <c r="AF151" i="12"/>
  <c r="AD132" i="17"/>
  <c r="AC181" i="18"/>
  <c r="AD108" i="14"/>
  <c r="AF181" i="17"/>
  <c r="AG151" i="16"/>
  <c r="AH114" i="18"/>
  <c r="X126" i="14"/>
  <c r="V138" i="16"/>
  <c r="W151" i="15"/>
  <c r="Y163" i="17"/>
  <c r="AA169" i="15"/>
  <c r="AC114" i="14"/>
  <c r="AG163" i="14"/>
  <c r="AB144" i="15"/>
  <c r="AD175" i="16"/>
  <c r="AD132" i="13"/>
  <c r="AA126" i="16"/>
  <c r="AH120" i="16"/>
  <c r="AE132" i="17"/>
  <c r="AF126" i="17"/>
  <c r="AG138" i="17"/>
  <c r="Z132" i="12"/>
  <c r="U138" i="14"/>
  <c r="V126" i="14"/>
  <c r="Y169" i="18"/>
  <c r="U169" i="13"/>
  <c r="AF169" i="13"/>
  <c r="AF169" i="15"/>
  <c r="AB138" i="13"/>
  <c r="AH138" i="13"/>
  <c r="AB163" i="18"/>
  <c r="AG108" i="17"/>
  <c r="AE169" i="16"/>
  <c r="AE169" i="18"/>
  <c r="AD114" i="15"/>
  <c r="AF181" i="14"/>
  <c r="X163" i="14"/>
  <c r="U187" i="13"/>
  <c r="U132" i="15"/>
  <c r="X187" i="14"/>
  <c r="AB151" i="12"/>
  <c r="AH120" i="12"/>
  <c r="AF126" i="18"/>
  <c r="AF138" i="15"/>
  <c r="AH157" i="17"/>
  <c r="AD138" i="18"/>
  <c r="AB169" i="16"/>
  <c r="AG126" i="18"/>
  <c r="W138" i="16"/>
  <c r="U114" i="13"/>
  <c r="U187" i="18"/>
  <c r="AA157" i="17"/>
  <c r="AD114" i="16"/>
  <c r="W169" i="15"/>
  <c r="AD175" i="13"/>
  <c r="AF181" i="13"/>
  <c r="AB126" i="13"/>
  <c r="AH169" i="15"/>
  <c r="AC132" i="13"/>
  <c r="AF144" i="13"/>
  <c r="AC108" i="15"/>
  <c r="AE108" i="16"/>
  <c r="AE163" i="18"/>
  <c r="AH132" i="18"/>
  <c r="U114" i="14"/>
  <c r="Y151" i="13"/>
  <c r="V132" i="13"/>
  <c r="Z120" i="17"/>
  <c r="Z144" i="18"/>
  <c r="AE157" i="15"/>
  <c r="AB120" i="17"/>
  <c r="AC151" i="14"/>
  <c r="AC114" i="13"/>
  <c r="AE114" i="14"/>
  <c r="X144" i="15"/>
  <c r="AA151" i="14"/>
  <c r="Y144" i="18"/>
  <c r="AB151" i="14"/>
  <c r="AB108" i="14"/>
  <c r="W157" i="18"/>
  <c r="AH120" i="15"/>
  <c r="AF187" i="16"/>
  <c r="AB120" i="14"/>
  <c r="AG108" i="12"/>
  <c r="V138" i="18"/>
  <c r="U187" i="15"/>
  <c r="X187" i="17"/>
  <c r="AC181" i="13"/>
  <c r="AC187" i="12"/>
  <c r="AH108" i="17"/>
  <c r="AC120" i="16"/>
  <c r="AB114" i="14"/>
  <c r="AH108" i="18"/>
  <c r="AH175" i="14"/>
  <c r="W169" i="18"/>
  <c r="Y138" i="18"/>
  <c r="V120" i="15"/>
  <c r="X120" i="17"/>
  <c r="V163" i="15"/>
  <c r="AG144" i="14"/>
  <c r="AF126" i="16"/>
  <c r="AG151" i="12"/>
  <c r="AE175" i="14"/>
  <c r="AF151" i="14"/>
  <c r="AG120" i="16"/>
  <c r="AH151" i="17"/>
  <c r="AG126" i="15"/>
  <c r="AF114" i="17"/>
  <c r="AB126" i="15"/>
  <c r="O108" i="12"/>
  <c r="Z169" i="14"/>
  <c r="Y120" i="17"/>
  <c r="V126" i="17"/>
  <c r="V187" i="13"/>
  <c r="AB144" i="13"/>
  <c r="AB157" i="18"/>
  <c r="AF144" i="17"/>
  <c r="AF157" i="16"/>
  <c r="AE108" i="15"/>
  <c r="AE151" i="15"/>
  <c r="AA151" i="15"/>
  <c r="W175" i="13"/>
  <c r="U144" i="16"/>
  <c r="U157" i="18"/>
  <c r="X138" i="13"/>
  <c r="AB108" i="15"/>
  <c r="AB175" i="16"/>
  <c r="AB181" i="17"/>
  <c r="AB132" i="14"/>
  <c r="AF181" i="12"/>
  <c r="AF126" i="14"/>
  <c r="AB132" i="18"/>
  <c r="AG114" i="15"/>
  <c r="Y169" i="17"/>
  <c r="W126" i="15"/>
  <c r="V144" i="14"/>
  <c r="U132" i="14"/>
  <c r="W126" i="12"/>
  <c r="U144" i="18"/>
  <c r="AA181" i="15"/>
  <c r="AF138" i="12"/>
  <c r="AE157" i="12"/>
  <c r="AE114" i="15"/>
  <c r="AE151" i="13"/>
  <c r="AG163" i="16"/>
  <c r="AC175" i="18"/>
  <c r="AB181" i="14"/>
  <c r="AB144" i="12"/>
  <c r="AE187" i="15"/>
  <c r="AF138" i="13"/>
  <c r="AA169" i="14"/>
  <c r="Y157" i="18"/>
  <c r="AA169" i="13"/>
  <c r="W114" i="12"/>
  <c r="AC151" i="16"/>
  <c r="Z169" i="16"/>
  <c r="AD181" i="13"/>
  <c r="AH126" i="12"/>
  <c r="AC132" i="15"/>
  <c r="AG181" i="17"/>
  <c r="AB163" i="14"/>
  <c r="AD126" i="18"/>
  <c r="Z151" i="14"/>
  <c r="U120" i="18"/>
  <c r="X169" i="18"/>
  <c r="AG138" i="16"/>
  <c r="AG151" i="18"/>
  <c r="AC144" i="13"/>
  <c r="L157" i="15"/>
  <c r="U151" i="17"/>
  <c r="AA169" i="16"/>
  <c r="Y169" i="12"/>
  <c r="U187" i="17"/>
  <c r="V181" i="14"/>
  <c r="AG120" i="15"/>
  <c r="AH181" i="12"/>
  <c r="AC108" i="13"/>
  <c r="AD151" i="15"/>
  <c r="AD157" i="18"/>
  <c r="AE114" i="18"/>
  <c r="AE120" i="17"/>
  <c r="AE126" i="14"/>
  <c r="AF114" i="15"/>
  <c r="AC187" i="17"/>
  <c r="AB138" i="18"/>
  <c r="AE132" i="14"/>
  <c r="AA175" i="13"/>
  <c r="Y114" i="16"/>
  <c r="AA138" i="12"/>
  <c r="V187" i="12"/>
  <c r="Y120" i="13"/>
  <c r="AG108" i="16"/>
  <c r="AH163" i="14"/>
  <c r="AH108" i="16"/>
  <c r="AG120" i="13"/>
  <c r="AB157" i="13"/>
  <c r="AC175" i="17"/>
  <c r="AH120" i="18"/>
  <c r="AF126" i="13"/>
  <c r="AG151" i="17"/>
  <c r="Z151" i="15"/>
  <c r="Z163" i="18"/>
  <c r="W157" i="12"/>
  <c r="Z157" i="12"/>
  <c r="AC151" i="13"/>
  <c r="X144" i="14"/>
  <c r="AH175" i="12"/>
  <c r="AC108" i="14"/>
  <c r="AB169" i="14"/>
  <c r="AG175" i="14"/>
  <c r="AG151" i="14"/>
  <c r="AB163" i="17"/>
  <c r="AE163" i="17"/>
  <c r="AH187" i="18"/>
  <c r="V138" i="14"/>
  <c r="Y144" i="13"/>
  <c r="U114" i="16"/>
  <c r="W120" i="14"/>
  <c r="AB108" i="13"/>
  <c r="AE120" i="16"/>
  <c r="AG181" i="14"/>
  <c r="AD163" i="13"/>
  <c r="AH187" i="13"/>
  <c r="AG120" i="17"/>
  <c r="AA144" i="18"/>
  <c r="U169" i="14"/>
  <c r="U108" i="16"/>
  <c r="V163" i="12"/>
  <c r="V114" i="17"/>
  <c r="AD187" i="12"/>
  <c r="AC126" i="16"/>
  <c r="AH187" i="12"/>
  <c r="AF114" i="14"/>
  <c r="AH181" i="14"/>
  <c r="AH120" i="14"/>
  <c r="AB175" i="14"/>
  <c r="Z157" i="16"/>
  <c r="Z151" i="18"/>
  <c r="U144" i="12"/>
  <c r="W144" i="14"/>
  <c r="AD151" i="13"/>
  <c r="AE138" i="18"/>
  <c r="AF187" i="17"/>
  <c r="AF157" i="12"/>
  <c r="AE114" i="16"/>
  <c r="AF151" i="18"/>
  <c r="AC169" i="15"/>
  <c r="Z157" i="18"/>
  <c r="W181" i="18"/>
  <c r="W114" i="16"/>
  <c r="AG126" i="12"/>
  <c r="AL132" i="18"/>
  <c r="AI108" i="17"/>
  <c r="AK114" i="12"/>
  <c r="AL144" i="12"/>
  <c r="AJ108" i="15"/>
  <c r="AJ114" i="14"/>
  <c r="AL126" i="15"/>
  <c r="AK151" i="12"/>
  <c r="AK120" i="18"/>
  <c r="AJ126" i="13"/>
  <c r="AL108" i="17"/>
  <c r="AJ108" i="13"/>
  <c r="AL157" i="17"/>
  <c r="AJ151" i="12"/>
  <c r="AK163" i="17"/>
  <c r="AJ181" i="17"/>
  <c r="AI144" i="15"/>
  <c r="AJ181" i="15"/>
  <c r="AJ132" i="12"/>
  <c r="AK157" i="17"/>
  <c r="AK126" i="17"/>
  <c r="AJ144" i="12"/>
  <c r="AI114" i="18"/>
  <c r="AJ151" i="15"/>
  <c r="AJ157" i="14"/>
  <c r="AJ144" i="13"/>
  <c r="AK126" i="15"/>
  <c r="AI144" i="16"/>
  <c r="AL187" i="12"/>
  <c r="AJ126" i="12"/>
  <c r="AI114" i="17"/>
  <c r="AI187" i="18"/>
  <c r="AK120" i="15"/>
  <c r="AK151" i="14"/>
  <c r="AL175" i="18"/>
  <c r="AI120" i="18"/>
  <c r="AK120" i="16"/>
  <c r="AL175" i="16"/>
  <c r="AK157" i="13"/>
  <c r="AJ120" i="16"/>
  <c r="AL144" i="18"/>
  <c r="AJ108" i="18"/>
  <c r="AJ187" i="13"/>
  <c r="AK175" i="13"/>
  <c r="AK181" i="17"/>
  <c r="AK120" i="13"/>
  <c r="AI187" i="14"/>
  <c r="AL126" i="12"/>
  <c r="AK151" i="18"/>
  <c r="AL108" i="16"/>
  <c r="AK138" i="18"/>
  <c r="AJ120" i="14"/>
  <c r="AJ126" i="18"/>
  <c r="AI132" i="15"/>
  <c r="AJ120" i="13"/>
  <c r="AL126" i="18"/>
  <c r="AI163" i="17"/>
  <c r="AL175" i="14"/>
  <c r="AJ169" i="16"/>
  <c r="AJ175" i="15"/>
  <c r="AI157" i="17"/>
  <c r="AK169" i="14"/>
  <c r="AL187" i="18"/>
  <c r="AL120" i="13"/>
  <c r="AK138" i="17"/>
  <c r="AK151" i="13"/>
  <c r="AI163" i="12"/>
  <c r="AI126" i="18"/>
  <c r="AK132" i="18"/>
  <c r="AJ181" i="13"/>
  <c r="AI163" i="15"/>
  <c r="AK114" i="13"/>
  <c r="AI144" i="17"/>
  <c r="AK108" i="15"/>
  <c r="AK126" i="14"/>
  <c r="AK108" i="17"/>
  <c r="AK163" i="16"/>
  <c r="AL163" i="13"/>
  <c r="AL132" i="17"/>
  <c r="AL120" i="16"/>
  <c r="AI108" i="18"/>
  <c r="AK144" i="16"/>
  <c r="AL181" i="15"/>
  <c r="AL163" i="17"/>
  <c r="AJ120" i="17"/>
  <c r="AJ120" i="15"/>
  <c r="AJ163" i="16"/>
  <c r="AL138" i="13"/>
  <c r="AJ138" i="16"/>
  <c r="AJ157" i="12"/>
  <c r="AJ114" i="12"/>
  <c r="AJ108" i="17"/>
  <c r="AL163" i="15"/>
  <c r="AK187" i="12"/>
  <c r="AL157" i="12"/>
  <c r="AK151" i="15"/>
  <c r="AK181" i="16"/>
  <c r="AL138" i="18"/>
  <c r="AK169" i="17"/>
  <c r="AJ138" i="17"/>
  <c r="AL175" i="17"/>
  <c r="AJ132" i="13"/>
  <c r="AL181" i="17"/>
  <c r="AI157" i="12"/>
  <c r="AJ126" i="17"/>
  <c r="AI157" i="16"/>
  <c r="AJ138" i="14"/>
  <c r="AL151" i="16"/>
  <c r="AL126" i="17"/>
  <c r="AL114" i="12"/>
  <c r="AI163" i="18"/>
  <c r="AK187" i="18"/>
  <c r="AK132" i="16"/>
  <c r="AL181" i="12"/>
  <c r="AL175" i="12"/>
  <c r="AL169" i="17"/>
  <c r="AI187" i="13"/>
  <c r="AL120" i="12"/>
  <c r="AL187" i="13"/>
  <c r="AL114" i="13"/>
  <c r="AL151" i="12"/>
  <c r="AL163" i="16"/>
  <c r="AK163" i="18"/>
  <c r="AJ132" i="16"/>
  <c r="AL157" i="13"/>
  <c r="AL169" i="18"/>
  <c r="AL114" i="16"/>
  <c r="AL132" i="16"/>
  <c r="AK132" i="17"/>
  <c r="AL108" i="13"/>
  <c r="AL157" i="16"/>
  <c r="AL181" i="13"/>
  <c r="AL108" i="14"/>
  <c r="AL151" i="18"/>
  <c r="AI144" i="18"/>
  <c r="AI138" i="18"/>
  <c r="T181" i="18"/>
  <c r="AL169" i="12"/>
  <c r="AL108" i="12"/>
  <c r="AL132" i="14"/>
  <c r="AL163" i="14"/>
  <c r="AA157" i="16"/>
  <c r="K114" i="14"/>
  <c r="AF132" i="13"/>
  <c r="T138" i="13"/>
  <c r="AB138" i="16"/>
  <c r="AF157" i="17"/>
  <c r="E120" i="16"/>
  <c r="AA181" i="16"/>
  <c r="AB157" i="17"/>
  <c r="AC157" i="12"/>
  <c r="T144" i="18"/>
  <c r="M114" i="18"/>
  <c r="U120" i="15"/>
  <c r="F144" i="15"/>
  <c r="AC138" i="18"/>
  <c r="F151" i="13"/>
  <c r="L163" i="13"/>
  <c r="G181" i="16"/>
  <c r="N181" i="12"/>
  <c r="P181" i="13"/>
  <c r="L108" i="16"/>
  <c r="K187" i="15"/>
  <c r="AE157" i="13"/>
  <c r="Y114" i="18"/>
  <c r="X138" i="14"/>
  <c r="I126" i="14"/>
  <c r="AF175" i="15"/>
  <c r="K132" i="16"/>
  <c r="AE175" i="15"/>
  <c r="V181" i="12"/>
  <c r="W138" i="17"/>
  <c r="L175" i="13"/>
  <c r="X120" i="14"/>
  <c r="AD120" i="15"/>
  <c r="AE187" i="14"/>
  <c r="AA181" i="13"/>
  <c r="K157" i="15"/>
  <c r="G20" i="22"/>
  <c r="E38" i="17"/>
  <c r="J47" i="17"/>
  <c r="AF47" i="17"/>
  <c r="H47" i="12"/>
  <c r="W47" i="12"/>
  <c r="T47" i="12"/>
  <c r="M47" i="12"/>
  <c r="Y47" i="17"/>
  <c r="S46" i="17"/>
  <c r="Y46" i="17"/>
  <c r="E34" i="17"/>
  <c r="M46" i="17"/>
  <c r="AA47" i="17"/>
  <c r="AI47" i="17"/>
  <c r="Y47" i="12"/>
  <c r="AF47" i="12"/>
  <c r="AK47" i="12"/>
  <c r="L47" i="12"/>
  <c r="W43" i="12"/>
  <c r="O43" i="12"/>
  <c r="AJ43" i="12"/>
  <c r="X43" i="12"/>
  <c r="AH46" i="17"/>
  <c r="AF46" i="17"/>
  <c r="I46" i="17"/>
  <c r="G46" i="17"/>
  <c r="E35" i="17"/>
  <c r="E50" i="17" a="1"/>
  <c r="F47" i="17"/>
  <c r="G47" i="17"/>
  <c r="S47" i="17"/>
  <c r="AJ47" i="17"/>
  <c r="X47" i="17"/>
  <c r="I47" i="17"/>
  <c r="P47" i="17"/>
  <c r="W47" i="17"/>
  <c r="AK47" i="17"/>
  <c r="H47" i="17"/>
  <c r="O47" i="17"/>
  <c r="AE47" i="17"/>
  <c r="R47" i="17"/>
  <c r="Q47" i="17"/>
  <c r="AD46" i="17"/>
  <c r="W46" i="17"/>
  <c r="AE46" i="17"/>
  <c r="H46" i="17"/>
  <c r="K46" i="17"/>
  <c r="N47" i="17"/>
  <c r="Q46" i="17"/>
  <c r="AC47" i="17"/>
  <c r="E32" i="17"/>
  <c r="F46" i="17"/>
  <c r="AG47" i="17"/>
  <c r="Z47" i="12"/>
  <c r="AG47" i="12"/>
  <c r="AH47" i="12"/>
  <c r="G47" i="12"/>
  <c r="G32" i="12" a="1"/>
  <c r="J46" i="17"/>
  <c r="AG43" i="12"/>
  <c r="AD43" i="12"/>
  <c r="Y43" i="12"/>
  <c r="AC43" i="12"/>
  <c r="AL46" i="17"/>
  <c r="AB42" i="12"/>
  <c r="X42" i="12"/>
  <c r="L42" i="12"/>
  <c r="F42" i="12"/>
  <c r="AF42" i="12"/>
  <c r="AC46" i="17"/>
  <c r="E55" i="14" a="1"/>
  <c r="N55" i="14"/>
  <c r="E37" i="17"/>
  <c r="AL47" i="17"/>
  <c r="AH47" i="17"/>
  <c r="K47" i="12"/>
  <c r="V47" i="12"/>
  <c r="AD47" i="12"/>
  <c r="F47" i="12"/>
  <c r="R46" i="17"/>
  <c r="I43" i="12"/>
  <c r="AA43" i="12"/>
  <c r="AB43" i="12"/>
  <c r="K43" i="12"/>
  <c r="V46" i="17"/>
  <c r="AK46" i="17"/>
  <c r="E50" i="18" a="1"/>
  <c r="G50" i="18"/>
  <c r="E33" i="17"/>
  <c r="Z47" i="17"/>
  <c r="V47" i="17"/>
  <c r="N47" i="12"/>
  <c r="S47" i="12"/>
  <c r="I47" i="12"/>
  <c r="R47" i="12"/>
  <c r="AA46" i="17"/>
  <c r="S43" i="12"/>
  <c r="T43" i="12"/>
  <c r="N43" i="12"/>
  <c r="AL43" i="12"/>
  <c r="P46" i="17"/>
  <c r="AD42" i="12"/>
  <c r="V42" i="12"/>
  <c r="Q42" i="12"/>
  <c r="L47" i="17"/>
  <c r="AJ46" i="17"/>
  <c r="E36" i="15"/>
  <c r="E53" i="17" a="1"/>
  <c r="E52" i="12" a="1"/>
  <c r="G52" i="12"/>
  <c r="E53" i="12" a="1"/>
  <c r="AL53" i="12"/>
  <c r="E55" i="17" a="1"/>
  <c r="U55" i="17"/>
  <c r="E50" i="12" a="1"/>
  <c r="AH50" i="12"/>
  <c r="E56" i="16" a="1"/>
  <c r="AL56" i="16"/>
  <c r="E55" i="13" a="1"/>
  <c r="T55" i="13"/>
  <c r="E52" i="18" a="1"/>
  <c r="AD52" i="18"/>
  <c r="E51" i="18" a="1"/>
  <c r="E51" i="14" a="1"/>
  <c r="P51" i="14"/>
  <c r="E51" i="15" a="1"/>
  <c r="AI51" i="15"/>
  <c r="E55" i="16" a="1"/>
  <c r="P55" i="16"/>
  <c r="E51" i="12" a="1"/>
  <c r="AJ51" i="12"/>
  <c r="E54" i="15" a="1"/>
  <c r="V54" i="15"/>
  <c r="E56" i="13" a="1"/>
  <c r="M56" i="13"/>
  <c r="E54" i="14" a="1"/>
  <c r="E56" i="12" a="1"/>
  <c r="I56" i="12"/>
  <c r="E38" i="16"/>
  <c r="E37" i="16"/>
  <c r="E32" i="16"/>
  <c r="E35" i="16"/>
  <c r="E34" i="16"/>
  <c r="E36" i="16"/>
  <c r="E33" i="16"/>
  <c r="G32" i="16" a="1"/>
  <c r="F32" i="15" a="1"/>
  <c r="F37" i="15"/>
  <c r="F32" i="16" a="1"/>
  <c r="E37" i="15"/>
  <c r="E33" i="15"/>
  <c r="E34" i="15"/>
  <c r="E38" i="15"/>
  <c r="E32" i="15"/>
  <c r="AC51" i="14"/>
  <c r="AH51" i="14"/>
  <c r="E51" i="16" a="1"/>
  <c r="E53" i="14" a="1"/>
  <c r="Z53" i="14"/>
  <c r="E53" i="13" a="1"/>
  <c r="AJ53" i="13"/>
  <c r="R51" i="12"/>
  <c r="E55" i="12" a="1"/>
  <c r="AI55" i="12"/>
  <c r="E81" i="13" a="1"/>
  <c r="M81" i="13"/>
  <c r="E56" i="18" a="1"/>
  <c r="Y56" i="18"/>
  <c r="E55" i="18" a="1"/>
  <c r="R55" i="18"/>
  <c r="E50" i="14" a="1"/>
  <c r="AA50" i="14"/>
  <c r="AC53" i="17"/>
  <c r="H56" i="13"/>
  <c r="AK52" i="12"/>
  <c r="X54" i="14"/>
  <c r="L56" i="18"/>
  <c r="U50" i="16"/>
  <c r="E54" i="12" a="1"/>
  <c r="E54" i="16" a="1"/>
  <c r="AJ54" i="16"/>
  <c r="AC54" i="16"/>
  <c r="Z50" i="18"/>
  <c r="AC50" i="12"/>
  <c r="E56" i="14" a="1"/>
  <c r="AG50" i="12"/>
  <c r="AL52" i="18"/>
  <c r="I52" i="18"/>
  <c r="E52" i="18"/>
  <c r="L51" i="14"/>
  <c r="E53" i="18" a="1"/>
  <c r="AL53" i="18"/>
  <c r="E51" i="17" a="1"/>
  <c r="AG56" i="17"/>
  <c r="Y50" i="18"/>
  <c r="K55" i="14"/>
  <c r="M55" i="14"/>
  <c r="AB53" i="17"/>
  <c r="AE54" i="13"/>
  <c r="U52" i="18"/>
  <c r="AJ52" i="18"/>
  <c r="AD54" i="15"/>
  <c r="E54" i="18" a="1"/>
  <c r="AI54" i="18"/>
  <c r="E52" i="14" a="1"/>
  <c r="AB52" i="14"/>
  <c r="H52" i="12"/>
  <c r="R54" i="14"/>
  <c r="AJ52" i="12"/>
  <c r="E53" i="16" a="1"/>
  <c r="F53" i="16"/>
  <c r="E51" i="13" a="1"/>
  <c r="AK51" i="13"/>
  <c r="E50" i="16" a="1"/>
  <c r="I50" i="16"/>
  <c r="AE50" i="16"/>
  <c r="E55" i="15" a="1"/>
  <c r="X55" i="15"/>
  <c r="AI56" i="16"/>
  <c r="E50" i="15" a="1"/>
  <c r="AA50" i="15"/>
  <c r="E52" i="15" a="1"/>
  <c r="R52" i="15"/>
  <c r="J56" i="13"/>
  <c r="AH53" i="17"/>
  <c r="I52" i="12"/>
  <c r="E54" i="13" a="1"/>
  <c r="I54" i="13"/>
  <c r="AI54" i="13"/>
  <c r="O56" i="13"/>
  <c r="R56" i="13"/>
  <c r="AH51" i="18"/>
  <c r="E56" i="17" a="1"/>
  <c r="E52" i="17" a="1"/>
  <c r="G52" i="17"/>
  <c r="I51" i="12"/>
  <c r="U55" i="14"/>
  <c r="E56" i="15" a="1"/>
  <c r="T56" i="15"/>
  <c r="E52" i="13" a="1"/>
  <c r="AB52" i="13"/>
  <c r="S52" i="15"/>
  <c r="AE56" i="15"/>
  <c r="AI56" i="15"/>
  <c r="AD56" i="13"/>
  <c r="K56" i="18"/>
  <c r="T52" i="18"/>
  <c r="AJ56" i="16"/>
  <c r="M56" i="16"/>
  <c r="AF52" i="18"/>
  <c r="AC52" i="18"/>
  <c r="Y52" i="18"/>
  <c r="H51" i="14"/>
  <c r="AB51" i="14"/>
  <c r="Y56" i="12"/>
  <c r="AC53" i="13"/>
  <c r="R55" i="14"/>
  <c r="AB56" i="12"/>
  <c r="AJ51" i="13"/>
  <c r="E53" i="15" a="1"/>
  <c r="AH53" i="15"/>
  <c r="E52" i="16" a="1"/>
  <c r="Y52" i="16"/>
  <c r="E50" i="13" a="1"/>
  <c r="N50" i="13"/>
  <c r="U56" i="15"/>
  <c r="Z54" i="14"/>
  <c r="W56" i="15"/>
  <c r="N56" i="13"/>
  <c r="AB56" i="16"/>
  <c r="U56" i="16"/>
  <c r="K52" i="18"/>
  <c r="P54" i="18"/>
  <c r="V55" i="14"/>
  <c r="L54" i="18"/>
  <c r="V56" i="13"/>
  <c r="V54" i="14"/>
  <c r="V52" i="15"/>
  <c r="K53" i="17"/>
  <c r="I56" i="13"/>
  <c r="O52" i="12"/>
  <c r="AA53" i="17"/>
  <c r="J53" i="17"/>
  <c r="AF50" i="13"/>
  <c r="AA50" i="13"/>
  <c r="G50" i="16"/>
  <c r="Q50" i="18"/>
  <c r="AK56" i="16"/>
  <c r="Z56" i="16"/>
  <c r="G32" i="15" a="1"/>
  <c r="E54" i="17" a="1"/>
  <c r="J54" i="17"/>
  <c r="T53" i="17"/>
  <c r="R52" i="12"/>
  <c r="F56" i="13"/>
  <c r="AB52" i="12"/>
  <c r="AA53" i="15"/>
  <c r="AG53" i="17"/>
  <c r="AK56" i="13"/>
  <c r="H54" i="14"/>
  <c r="AI52" i="12"/>
  <c r="J53" i="15"/>
  <c r="S50" i="13"/>
  <c r="N50" i="17"/>
  <c r="I55" i="15"/>
  <c r="U50" i="13"/>
  <c r="V56" i="14"/>
  <c r="P52" i="18"/>
  <c r="T51" i="14"/>
  <c r="V54" i="18"/>
  <c r="X54" i="18"/>
  <c r="AE56" i="12"/>
  <c r="S55" i="14"/>
  <c r="AA55" i="14"/>
  <c r="N53" i="17"/>
  <c r="AC56" i="13"/>
  <c r="Z53" i="17"/>
  <c r="I53" i="12"/>
  <c r="AL54" i="17"/>
  <c r="AJ55" i="15"/>
  <c r="AB55" i="15"/>
  <c r="AB54" i="13"/>
  <c r="AJ53" i="15"/>
  <c r="O55" i="17"/>
  <c r="AH52" i="18"/>
  <c r="AC56" i="16"/>
  <c r="H56" i="16"/>
  <c r="Y51" i="18"/>
  <c r="Q51" i="13"/>
  <c r="Y55" i="14"/>
  <c r="X53" i="13"/>
  <c r="AD55" i="14"/>
  <c r="L50" i="15"/>
  <c r="AI55" i="14"/>
  <c r="AG52" i="18"/>
  <c r="AE51" i="14"/>
  <c r="V51" i="14"/>
  <c r="Z56" i="12"/>
  <c r="AI51" i="12"/>
  <c r="M51" i="12"/>
  <c r="V52" i="18"/>
  <c r="AB52" i="18"/>
  <c r="E51" i="14"/>
  <c r="S51" i="14"/>
  <c r="AH55" i="16"/>
  <c r="AE54" i="18"/>
  <c r="M56" i="17"/>
  <c r="AL55" i="14"/>
  <c r="AH55" i="14"/>
  <c r="AJ55" i="14"/>
  <c r="F55" i="14"/>
  <c r="W54" i="16"/>
  <c r="AI51" i="14"/>
  <c r="U51" i="14"/>
  <c r="K51" i="17"/>
  <c r="AK51" i="12"/>
  <c r="AC55" i="14"/>
  <c r="AF56" i="12"/>
  <c r="E83" i="17" a="1"/>
  <c r="AK83" i="17"/>
  <c r="AG51" i="17"/>
  <c r="AB56" i="14"/>
  <c r="I54" i="18"/>
  <c r="AE52" i="18"/>
  <c r="X51" i="18"/>
  <c r="P55" i="14"/>
  <c r="AL50" i="12"/>
  <c r="T54" i="14"/>
  <c r="AD53" i="17"/>
  <c r="E78" i="12" a="1"/>
  <c r="AL78" i="12"/>
  <c r="M52" i="12"/>
  <c r="E79" i="17" a="1"/>
  <c r="I79" i="17"/>
  <c r="AB50" i="17"/>
  <c r="W55" i="15"/>
  <c r="E78" i="13" a="1"/>
  <c r="P78" i="13"/>
  <c r="E77" i="17" a="1"/>
  <c r="S77" i="17"/>
  <c r="E77" i="18" a="1"/>
  <c r="N77" i="18"/>
  <c r="E83" i="15" a="1"/>
  <c r="L83" i="15"/>
  <c r="E82" i="14" a="1"/>
  <c r="O82" i="14"/>
  <c r="E77" i="16" a="1"/>
  <c r="AK77" i="16"/>
  <c r="E78" i="18" a="1"/>
  <c r="J78" i="18"/>
  <c r="E80" i="15" a="1"/>
  <c r="E80" i="15"/>
  <c r="E81" i="16" a="1"/>
  <c r="L81" i="16"/>
  <c r="E79" i="12" a="1"/>
  <c r="P79" i="12"/>
  <c r="E82" i="13" a="1"/>
  <c r="U82" i="13"/>
  <c r="E79" i="16" a="1"/>
  <c r="G79" i="16"/>
  <c r="E81" i="15" a="1"/>
  <c r="T81" i="15"/>
  <c r="E80" i="13" a="1"/>
  <c r="O80" i="13"/>
  <c r="E80" i="17" a="1"/>
  <c r="P80" i="17"/>
  <c r="E82" i="17" a="1"/>
  <c r="AD82" i="17"/>
  <c r="E83" i="12" a="1"/>
  <c r="AI83" i="12"/>
  <c r="E81" i="17" a="1"/>
  <c r="AD81" i="17"/>
  <c r="E78" i="15" a="1"/>
  <c r="E78" i="15"/>
  <c r="E83" i="13" a="1"/>
  <c r="AD83" i="13"/>
  <c r="E77" i="12" a="1"/>
  <c r="AG77" i="12"/>
  <c r="E79" i="13" a="1"/>
  <c r="AL79" i="13"/>
  <c r="E77" i="14" a="1"/>
  <c r="AC77" i="14"/>
  <c r="E77" i="13" a="1"/>
  <c r="R77" i="13"/>
  <c r="E79" i="15" a="1"/>
  <c r="T79" i="15"/>
  <c r="E81" i="14" a="1"/>
  <c r="O81" i="14"/>
  <c r="E78" i="14" a="1"/>
  <c r="H78" i="14"/>
  <c r="E78" i="17" a="1"/>
  <c r="I78" i="17"/>
  <c r="E79" i="18" a="1"/>
  <c r="AE79" i="18"/>
  <c r="E83" i="18" a="1"/>
  <c r="AH83" i="18"/>
  <c r="E81" i="12" a="1"/>
  <c r="S81" i="12"/>
  <c r="E78" i="16" a="1"/>
  <c r="F78" i="16"/>
  <c r="E80" i="16" a="1"/>
  <c r="W80" i="16"/>
  <c r="E80" i="18" a="1"/>
  <c r="I80" i="18"/>
  <c r="E80" i="12" a="1"/>
  <c r="W80" i="12"/>
  <c r="E83" i="16" a="1"/>
  <c r="F83" i="16"/>
  <c r="E77" i="15" a="1"/>
  <c r="I77" i="15"/>
  <c r="E82" i="15" a="1"/>
  <c r="S82" i="15"/>
  <c r="E82" i="18" a="1"/>
  <c r="Y82" i="18"/>
  <c r="E82" i="12" a="1"/>
  <c r="S82" i="12"/>
  <c r="E79" i="14" a="1"/>
  <c r="I79" i="14"/>
  <c r="E81" i="18" a="1"/>
  <c r="H81" i="18"/>
  <c r="E80" i="14" a="1"/>
  <c r="I80" i="14"/>
  <c r="E83" i="14" a="1"/>
  <c r="AJ83" i="14"/>
  <c r="E82" i="16" a="1"/>
  <c r="J82" i="16"/>
  <c r="AD43" i="14"/>
  <c r="AC43" i="14"/>
  <c r="AL43" i="14"/>
  <c r="AJ43" i="14"/>
  <c r="U43" i="14"/>
  <c r="X43" i="14"/>
  <c r="G43" i="14"/>
  <c r="G32" i="14" a="1"/>
  <c r="N43" i="14"/>
  <c r="O43" i="14"/>
  <c r="M43" i="14"/>
  <c r="W43" i="14"/>
  <c r="V43" i="14"/>
  <c r="AF43" i="14"/>
  <c r="AA43" i="14"/>
  <c r="T43" i="14"/>
  <c r="P43" i="14"/>
  <c r="AB43" i="14"/>
  <c r="AK43" i="14"/>
  <c r="F43" i="14"/>
  <c r="F32" i="14" a="1"/>
  <c r="AG43" i="14"/>
  <c r="AI43" i="14"/>
  <c r="H43" i="14"/>
  <c r="L43" i="14"/>
  <c r="R43" i="14"/>
  <c r="Q43" i="14"/>
  <c r="J43" i="14"/>
  <c r="Z43" i="14"/>
  <c r="S43" i="14"/>
  <c r="I43" i="14"/>
  <c r="AE43" i="14"/>
  <c r="AH43" i="14"/>
  <c r="Y43" i="14"/>
  <c r="K43" i="14"/>
  <c r="E9" i="7" a="1"/>
  <c r="AD54" i="14"/>
  <c r="O50" i="17"/>
  <c r="AL54" i="15"/>
  <c r="X56" i="14"/>
  <c r="F54" i="14"/>
  <c r="G51" i="18"/>
  <c r="AE54" i="14"/>
  <c r="P51" i="18"/>
  <c r="AJ56" i="14"/>
  <c r="AK54" i="14"/>
  <c r="AJ51" i="18"/>
  <c r="AJ54" i="15"/>
  <c r="W51" i="17"/>
  <c r="AL54" i="12"/>
  <c r="AL56" i="14"/>
  <c r="AI54" i="14"/>
  <c r="AE51" i="18"/>
  <c r="P53" i="17"/>
  <c r="N51" i="17"/>
  <c r="AA50" i="12"/>
  <c r="X52" i="17"/>
  <c r="U51" i="15"/>
  <c r="F50" i="17"/>
  <c r="AF54" i="15"/>
  <c r="Q50" i="15"/>
  <c r="I56" i="14"/>
  <c r="E36" i="18"/>
  <c r="E35" i="18"/>
  <c r="E37" i="18"/>
  <c r="E33" i="18"/>
  <c r="E34" i="18"/>
  <c r="E38" i="18"/>
  <c r="E32" i="18"/>
  <c r="AC50" i="17"/>
  <c r="W55" i="14"/>
  <c r="S53" i="17"/>
  <c r="AI53" i="13"/>
  <c r="AK50" i="12"/>
  <c r="N52" i="17"/>
  <c r="G54" i="14"/>
  <c r="G53" i="15"/>
  <c r="F51" i="18"/>
  <c r="AH56" i="12"/>
  <c r="W53" i="17"/>
  <c r="AC54" i="15"/>
  <c r="AJ54" i="14"/>
  <c r="U54" i="14"/>
  <c r="AA51" i="16"/>
  <c r="E51" i="18"/>
  <c r="O55" i="14"/>
  <c r="AG54" i="15"/>
  <c r="J53" i="13"/>
  <c r="M52" i="18"/>
  <c r="AE52" i="17"/>
  <c r="J52" i="14"/>
  <c r="AC54" i="14"/>
  <c r="AC51" i="18"/>
  <c r="O56" i="12"/>
  <c r="Y53" i="17"/>
  <c r="R53" i="13"/>
  <c r="U50" i="15"/>
  <c r="R56" i="14"/>
  <c r="P54" i="14"/>
  <c r="N51" i="18"/>
  <c r="T56" i="12"/>
  <c r="X53" i="17"/>
  <c r="J56" i="15"/>
  <c r="J51" i="17"/>
  <c r="Z52" i="12"/>
  <c r="AF55" i="12"/>
  <c r="W56" i="14"/>
  <c r="L54" i="14"/>
  <c r="U51" i="18"/>
  <c r="U56" i="13"/>
  <c r="O52" i="18"/>
  <c r="J50" i="12"/>
  <c r="M56" i="14"/>
  <c r="L55" i="15"/>
  <c r="P50" i="17"/>
  <c r="L54" i="13"/>
  <c r="AJ56" i="12"/>
  <c r="L53" i="17"/>
  <c r="AG56" i="15"/>
  <c r="Q52" i="18"/>
  <c r="AH52" i="12"/>
  <c r="Y52" i="17"/>
  <c r="Z55" i="15"/>
  <c r="P50" i="12"/>
  <c r="T53" i="13"/>
  <c r="F50" i="15"/>
  <c r="E52" i="14"/>
  <c r="G51" i="12"/>
  <c r="K51" i="18"/>
  <c r="X55" i="14"/>
  <c r="F54" i="15"/>
  <c r="AB50" i="13"/>
  <c r="AD50" i="12"/>
  <c r="AE50" i="18"/>
  <c r="T45" i="18"/>
  <c r="AD45" i="18"/>
  <c r="AE45" i="18"/>
  <c r="Y45" i="18"/>
  <c r="J45" i="18"/>
  <c r="R45" i="18"/>
  <c r="U45" i="18"/>
  <c r="F45" i="18"/>
  <c r="F32" i="18" a="1"/>
  <c r="V45" i="18"/>
  <c r="AA45" i="18"/>
  <c r="AI45" i="18"/>
  <c r="P45" i="18"/>
  <c r="AB45" i="18"/>
  <c r="S45" i="18"/>
  <c r="L45" i="18"/>
  <c r="AH45" i="18"/>
  <c r="K45" i="18"/>
  <c r="AF45" i="18"/>
  <c r="G45" i="18"/>
  <c r="G32" i="18" a="1"/>
  <c r="H45" i="18"/>
  <c r="Z45" i="18"/>
  <c r="O45" i="18"/>
  <c r="M45" i="18"/>
  <c r="AL45" i="18"/>
  <c r="X45" i="18"/>
  <c r="AG45" i="18"/>
  <c r="AJ45" i="18"/>
  <c r="I45" i="18"/>
  <c r="W45" i="18"/>
  <c r="AC45" i="18"/>
  <c r="AK45" i="18"/>
  <c r="N45" i="18"/>
  <c r="Q45" i="18"/>
  <c r="H51" i="18"/>
  <c r="I55" i="14"/>
  <c r="AJ53" i="17"/>
  <c r="AA56" i="15"/>
  <c r="AD53" i="13"/>
  <c r="U56" i="18"/>
  <c r="J52" i="17"/>
  <c r="S50" i="18"/>
  <c r="Y54" i="14"/>
  <c r="L51" i="18"/>
  <c r="L50" i="12"/>
  <c r="AG54" i="14"/>
  <c r="AI50" i="17"/>
  <c r="O56" i="14"/>
  <c r="I54" i="14"/>
  <c r="V50" i="17"/>
  <c r="F56" i="14"/>
  <c r="M51" i="18"/>
  <c r="K54" i="15"/>
  <c r="AD51" i="17"/>
  <c r="AD56" i="14"/>
  <c r="R50" i="17"/>
  <c r="AI53" i="17"/>
  <c r="S51" i="17"/>
  <c r="Q54" i="12"/>
  <c r="Z56" i="14"/>
  <c r="AG56" i="14"/>
  <c r="N54" i="14"/>
  <c r="AB51" i="18"/>
  <c r="V51" i="17"/>
  <c r="AE55" i="13"/>
  <c r="AE50" i="12"/>
  <c r="R51" i="18"/>
  <c r="AD56" i="12"/>
  <c r="AE53" i="17"/>
  <c r="L52" i="12"/>
  <c r="K56" i="14"/>
  <c r="I52" i="14"/>
  <c r="AL50" i="17"/>
  <c r="F53" i="17"/>
  <c r="E53" i="16"/>
  <c r="P56" i="15"/>
  <c r="AL54" i="14"/>
  <c r="AK51" i="18"/>
  <c r="V56" i="12"/>
  <c r="M53" i="17"/>
  <c r="AL50" i="15"/>
  <c r="K54" i="14"/>
  <c r="AK50" i="17"/>
  <c r="T55" i="14"/>
  <c r="AA54" i="15"/>
  <c r="M53" i="16"/>
  <c r="I51" i="17"/>
  <c r="Y56" i="13"/>
  <c r="V53" i="14"/>
  <c r="AE52" i="12"/>
  <c r="G56" i="14"/>
  <c r="M50" i="18"/>
  <c r="J50" i="17"/>
  <c r="Z55" i="14"/>
  <c r="R54" i="15"/>
  <c r="E51" i="17"/>
  <c r="P56" i="13"/>
  <c r="V50" i="12"/>
  <c r="S56" i="14"/>
  <c r="U52" i="14"/>
  <c r="H50" i="17"/>
  <c r="E53" i="17"/>
  <c r="AL56" i="13"/>
  <c r="AF56" i="14"/>
  <c r="AJ50" i="18"/>
  <c r="N56" i="16"/>
  <c r="T50" i="17"/>
  <c r="H55" i="14"/>
  <c r="P54" i="15"/>
  <c r="AJ51" i="14"/>
  <c r="X56" i="15"/>
  <c r="R51" i="17"/>
  <c r="AB56" i="13"/>
  <c r="H50" i="15"/>
  <c r="AH56" i="14"/>
  <c r="AH54" i="16"/>
  <c r="AK51" i="17"/>
  <c r="H52" i="18"/>
  <c r="AE56" i="14"/>
  <c r="AH54" i="14"/>
  <c r="AD54" i="18"/>
  <c r="E51" i="12"/>
  <c r="W51" i="18"/>
  <c r="S54" i="13"/>
  <c r="AL53" i="17"/>
  <c r="T51" i="17"/>
  <c r="W56" i="13"/>
  <c r="AK52" i="18"/>
  <c r="AB52" i="17"/>
  <c r="J52" i="12"/>
  <c r="AL51" i="18"/>
  <c r="M56" i="12"/>
  <c r="AL54" i="18"/>
  <c r="AG51" i="18"/>
  <c r="H53" i="17"/>
  <c r="Z56" i="13"/>
  <c r="AC50" i="13"/>
  <c r="Z52" i="18"/>
  <c r="V52" i="12"/>
  <c r="AC56" i="14"/>
  <c r="T50" i="18"/>
  <c r="I50" i="17"/>
  <c r="AG50" i="17"/>
  <c r="AH50" i="17"/>
  <c r="AH54" i="15"/>
  <c r="T56" i="14"/>
  <c r="M54" i="14"/>
  <c r="AE50" i="17"/>
  <c r="R52" i="14"/>
  <c r="E50" i="17"/>
  <c r="S56" i="12"/>
  <c r="Q53" i="17"/>
  <c r="AJ51" i="17"/>
  <c r="AI56" i="14"/>
  <c r="AE51" i="15"/>
  <c r="U50" i="17"/>
  <c r="AD52" i="17"/>
  <c r="H51" i="12"/>
  <c r="S51" i="18"/>
  <c r="Q50" i="17"/>
  <c r="E54" i="15"/>
  <c r="M51" i="17"/>
  <c r="AA52" i="17"/>
  <c r="Y52" i="14"/>
  <c r="U56" i="12"/>
  <c r="H51" i="15"/>
  <c r="Y51" i="17"/>
  <c r="F50" i="12"/>
  <c r="AA56" i="14"/>
  <c r="Q54" i="14"/>
  <c r="Z50" i="17"/>
  <c r="AF53" i="17"/>
  <c r="L51" i="17"/>
  <c r="X54" i="12"/>
  <c r="S52" i="12"/>
  <c r="AK52" i="17"/>
  <c r="H51" i="17"/>
  <c r="T56" i="13"/>
  <c r="W52" i="12"/>
  <c r="E11" i="7" a="1"/>
  <c r="AA51" i="12"/>
  <c r="AD50" i="17"/>
  <c r="AK55" i="14"/>
  <c r="E10" i="7" a="1"/>
  <c r="AI53" i="15"/>
  <c r="AF50" i="17"/>
  <c r="AF55" i="14"/>
  <c r="H56" i="15"/>
  <c r="Z51" i="17"/>
  <c r="AJ56" i="13"/>
  <c r="AH55" i="17"/>
  <c r="AC52" i="12"/>
  <c r="U56" i="14"/>
  <c r="V51" i="18"/>
  <c r="Q55" i="14"/>
  <c r="E53" i="13"/>
  <c r="AA56" i="13"/>
  <c r="I50" i="12"/>
  <c r="AB51" i="15"/>
  <c r="AI51" i="18"/>
  <c r="K56" i="12"/>
  <c r="Q51" i="17"/>
  <c r="AE56" i="13"/>
  <c r="I52" i="17"/>
  <c r="AD51" i="15"/>
  <c r="O54" i="14"/>
  <c r="Z53" i="15"/>
  <c r="AA51" i="18"/>
  <c r="L50" i="17"/>
  <c r="G55" i="14"/>
  <c r="O53" i="17"/>
  <c r="AF51" i="17"/>
  <c r="AL55" i="17"/>
  <c r="O52" i="17"/>
  <c r="AF54" i="14"/>
  <c r="O51" i="12"/>
  <c r="N53" i="15"/>
  <c r="J51" i="18"/>
  <c r="S50" i="14"/>
  <c r="P53" i="13"/>
  <c r="AJ56" i="18"/>
  <c r="AI52" i="18"/>
  <c r="AH54" i="12"/>
  <c r="S50" i="12"/>
  <c r="H56" i="14"/>
  <c r="E8" i="7" a="1"/>
  <c r="W54" i="12"/>
  <c r="O51" i="17"/>
  <c r="E56" i="13"/>
  <c r="AE50" i="13"/>
  <c r="X52" i="18"/>
  <c r="Y54" i="12"/>
  <c r="K56" i="16"/>
  <c r="AF51" i="13"/>
  <c r="J55" i="15"/>
  <c r="AA50" i="17"/>
  <c r="E55" i="14"/>
  <c r="R53" i="17"/>
  <c r="J56" i="14"/>
  <c r="U52" i="17"/>
  <c r="Q56" i="14"/>
  <c r="P55" i="15"/>
  <c r="G50" i="17"/>
  <c r="J55" i="14"/>
  <c r="L54" i="15"/>
  <c r="I51" i="14"/>
  <c r="AJ56" i="15"/>
  <c r="AA51" i="17"/>
  <c r="AA55" i="18"/>
  <c r="Q56" i="13"/>
  <c r="J52" i="18"/>
  <c r="AK54" i="12"/>
  <c r="AK56" i="14"/>
  <c r="E38" i="13"/>
  <c r="E35" i="13"/>
  <c r="E36" i="13"/>
  <c r="E33" i="13"/>
  <c r="E32" i="13"/>
  <c r="E34" i="13"/>
  <c r="E37" i="13"/>
  <c r="E7" i="7" a="1"/>
  <c r="S50" i="17"/>
  <c r="I51" i="18"/>
  <c r="I53" i="17"/>
  <c r="X51" i="17"/>
  <c r="L56" i="14"/>
  <c r="S51" i="12"/>
  <c r="Y50" i="17"/>
  <c r="V53" i="17"/>
  <c r="W53" i="16"/>
  <c r="M54" i="12"/>
  <c r="X50" i="17"/>
  <c r="AK53" i="17"/>
  <c r="R50" i="15"/>
  <c r="E54" i="14"/>
  <c r="Y51" i="12"/>
  <c r="T51" i="18"/>
  <c r="AJ50" i="17"/>
  <c r="O53" i="13"/>
  <c r="E56" i="14"/>
  <c r="J50" i="18"/>
  <c r="E12" i="7" a="1"/>
  <c r="R52" i="17"/>
  <c r="L56" i="13"/>
  <c r="V52" i="17"/>
  <c r="M50" i="17"/>
  <c r="P56" i="14"/>
  <c r="E13" i="7" a="1"/>
  <c r="S54" i="14"/>
  <c r="Z51" i="18"/>
  <c r="AB55" i="14"/>
  <c r="AB54" i="14"/>
  <c r="E36" i="14"/>
  <c r="E33" i="14"/>
  <c r="E34" i="14"/>
  <c r="E38" i="14"/>
  <c r="E35" i="14"/>
  <c r="E32" i="14"/>
  <c r="E37" i="14"/>
  <c r="F51" i="12"/>
  <c r="U53" i="15"/>
  <c r="AD51" i="18"/>
  <c r="W50" i="17"/>
  <c r="AE55" i="14"/>
  <c r="S56" i="13"/>
  <c r="T54" i="12"/>
  <c r="AB53" i="14"/>
  <c r="K52" i="12"/>
  <c r="N56" i="14"/>
  <c r="AC50" i="18"/>
  <c r="J54" i="14"/>
  <c r="AF51" i="12"/>
  <c r="AF51" i="18"/>
  <c r="R56" i="12"/>
  <c r="U53" i="17"/>
  <c r="AB54" i="15"/>
  <c r="AB53" i="13"/>
  <c r="K50" i="12"/>
  <c r="AC52" i="17"/>
  <c r="W54" i="14"/>
  <c r="AG51" i="12"/>
  <c r="Q51" i="18"/>
  <c r="G53" i="17"/>
  <c r="N54" i="15"/>
  <c r="U53" i="13"/>
  <c r="G56" i="13"/>
  <c r="N52" i="12"/>
  <c r="AA54" i="14"/>
  <c r="V53" i="15"/>
  <c r="O51" i="18"/>
  <c r="AG55" i="14"/>
  <c r="AF56" i="13"/>
  <c r="AG53" i="18"/>
  <c r="H54" i="12"/>
  <c r="U52" i="12"/>
  <c r="H52" i="17"/>
  <c r="AD51" i="14"/>
  <c r="L53" i="13"/>
  <c r="W52" i="17"/>
  <c r="R51" i="15"/>
  <c r="S54" i="12"/>
  <c r="X51" i="15"/>
  <c r="Y55" i="15"/>
  <c r="K50" i="17"/>
  <c r="L55" i="14"/>
  <c r="N54" i="12"/>
  <c r="Y56" i="14"/>
  <c r="L41" i="13"/>
  <c r="H41" i="13"/>
  <c r="AE41" i="13"/>
  <c r="AC41" i="13"/>
  <c r="R41" i="13"/>
  <c r="N41" i="13"/>
  <c r="G41" i="13"/>
  <c r="P41" i="13"/>
  <c r="AL41" i="13"/>
  <c r="AB41" i="13"/>
  <c r="X41" i="13"/>
  <c r="Y41" i="13"/>
  <c r="AD41" i="13"/>
  <c r="T41" i="13"/>
  <c r="O41" i="13"/>
  <c r="I41" i="13"/>
  <c r="S41" i="13"/>
  <c r="W41" i="13"/>
  <c r="AF41" i="13"/>
  <c r="AJ41" i="13"/>
  <c r="AI41" i="13"/>
  <c r="AK41" i="13"/>
  <c r="U41" i="13"/>
  <c r="AG41" i="13"/>
  <c r="J41" i="13"/>
  <c r="V41" i="13"/>
  <c r="M41" i="13"/>
  <c r="Q41" i="13"/>
  <c r="K41" i="13"/>
  <c r="AH41" i="13"/>
  <c r="AA41" i="13"/>
  <c r="Z41" i="13"/>
  <c r="F41" i="13"/>
  <c r="CR48" i="10"/>
  <c r="CR49" i="10"/>
  <c r="CN50" i="10"/>
  <c r="CO49" i="10"/>
  <c r="CA47" i="10"/>
  <c r="CC47" i="10"/>
  <c r="BS46" i="10"/>
  <c r="CL46" i="10"/>
  <c r="CP49" i="10"/>
  <c r="CD47" i="10"/>
  <c r="BV49" i="10"/>
  <c r="CA49" i="10"/>
  <c r="CB49" i="10"/>
  <c r="BT50" i="10"/>
  <c r="CL50" i="10"/>
  <c r="CQ51" i="10"/>
  <c r="BS47" i="10"/>
  <c r="BT51" i="10"/>
  <c r="CG51" i="10"/>
  <c r="CO51" i="10"/>
  <c r="CE52" i="10"/>
  <c r="BP52" i="10"/>
  <c r="CR52" i="10"/>
  <c r="BS48" i="10"/>
  <c r="CQ48" i="10"/>
  <c r="E24" i="10" a="1"/>
  <c r="J49" i="10"/>
  <c r="BK49" i="10"/>
  <c r="AW49" i="10"/>
  <c r="AQ49" i="10"/>
  <c r="AC49" i="10"/>
  <c r="W49" i="10"/>
  <c r="G49" i="10"/>
  <c r="AI49" i="10"/>
  <c r="BA49" i="10"/>
  <c r="AE49" i="10"/>
  <c r="BL49" i="10"/>
  <c r="AH49" i="10"/>
  <c r="L49" i="10"/>
  <c r="I49" i="10"/>
  <c r="AN49" i="10"/>
  <c r="E49" i="10"/>
  <c r="AL49" i="10"/>
  <c r="P49" i="10"/>
  <c r="AS49" i="10"/>
  <c r="AD49" i="10"/>
  <c r="BE49" i="10"/>
  <c r="AP49" i="10"/>
  <c r="O49" i="10"/>
  <c r="BG49" i="10"/>
  <c r="AR49" i="10"/>
  <c r="H49" i="10"/>
  <c r="AK49" i="10"/>
  <c r="V49" i="10"/>
  <c r="K49" i="10"/>
  <c r="BC49" i="10"/>
  <c r="BD49" i="10"/>
  <c r="AJ49" i="10"/>
  <c r="Q49" i="10"/>
  <c r="BI49" i="10"/>
  <c r="X49" i="10"/>
  <c r="AO49" i="10"/>
  <c r="Z49" i="10"/>
  <c r="AV49" i="10"/>
  <c r="AM49" i="10"/>
  <c r="AZ49" i="10"/>
  <c r="AA49" i="10"/>
  <c r="S49" i="10"/>
  <c r="T49" i="10"/>
  <c r="M49" i="10"/>
  <c r="BB49" i="10"/>
  <c r="AB49" i="10"/>
  <c r="R49" i="10"/>
  <c r="BF49" i="10"/>
  <c r="BH49" i="10"/>
  <c r="AU49" i="10"/>
  <c r="N49" i="10"/>
  <c r="AF49" i="10"/>
  <c r="Y49" i="10"/>
  <c r="U49" i="10"/>
  <c r="AT49" i="10"/>
  <c r="AX49" i="10"/>
  <c r="AY49" i="10"/>
  <c r="F49" i="10"/>
  <c r="AG49" i="10"/>
  <c r="BJ49" i="10"/>
  <c r="BP50" i="10"/>
  <c r="CK52" i="10"/>
  <c r="CF51" i="10"/>
  <c r="CM51" i="10"/>
  <c r="CF49" i="10"/>
  <c r="BR46" i="10"/>
  <c r="BO48" i="10"/>
  <c r="CG50" i="10"/>
  <c r="CF47" i="10"/>
  <c r="BY52" i="10"/>
  <c r="BS51" i="10"/>
  <c r="CJ51" i="10"/>
  <c r="CJ49" i="10"/>
  <c r="CM49" i="10"/>
  <c r="BS49" i="10"/>
  <c r="CI49" i="10"/>
  <c r="BN46" i="10"/>
  <c r="CO46" i="10"/>
  <c r="CQ46" i="10"/>
  <c r="CF46" i="10"/>
  <c r="AH46" i="10"/>
  <c r="AU46" i="10"/>
  <c r="AG46" i="10"/>
  <c r="AN46" i="10"/>
  <c r="AW46" i="10"/>
  <c r="T46" i="10"/>
  <c r="W46" i="10"/>
  <c r="BA46" i="10"/>
  <c r="BK46" i="10"/>
  <c r="AS46" i="10"/>
  <c r="AQ46" i="10"/>
  <c r="I46" i="10"/>
  <c r="Z46" i="10"/>
  <c r="Q46" i="10"/>
  <c r="BD46" i="10"/>
  <c r="E46" i="10"/>
  <c r="X46" i="10"/>
  <c r="AA46" i="10"/>
  <c r="AX46" i="10"/>
  <c r="Y46" i="10"/>
  <c r="AV46" i="10"/>
  <c r="R46" i="10"/>
  <c r="AD46" i="10"/>
  <c r="AY46" i="10"/>
  <c r="AK46" i="10"/>
  <c r="N46" i="10"/>
  <c r="F46" i="10"/>
  <c r="S46" i="10"/>
  <c r="AB46" i="10"/>
  <c r="AE46" i="10"/>
  <c r="BB46" i="10"/>
  <c r="AR46" i="10"/>
  <c r="BG46" i="10"/>
  <c r="AZ46" i="10"/>
  <c r="K46" i="10"/>
  <c r="AC46" i="10"/>
  <c r="AI46" i="10"/>
  <c r="AJ46" i="10"/>
  <c r="U46" i="10"/>
  <c r="J46" i="10"/>
  <c r="V46" i="10"/>
  <c r="AL46" i="10"/>
  <c r="G46" i="10"/>
  <c r="AT46" i="10"/>
  <c r="P46" i="10"/>
  <c r="L46" i="10"/>
  <c r="H46" i="10"/>
  <c r="BC46" i="10"/>
  <c r="BE46" i="10"/>
  <c r="BF46" i="10"/>
  <c r="AM46" i="10"/>
  <c r="AP46" i="10"/>
  <c r="AF46" i="10"/>
  <c r="AO46" i="10"/>
  <c r="O46" i="10"/>
  <c r="BL46" i="10"/>
  <c r="BI46" i="10"/>
  <c r="BJ46" i="10"/>
  <c r="BH46" i="10"/>
  <c r="M46" i="10"/>
  <c r="CH48" i="10"/>
  <c r="BT48" i="10"/>
  <c r="CN48" i="10"/>
  <c r="BW48" i="10"/>
  <c r="CK50" i="10"/>
  <c r="CP50" i="10"/>
  <c r="CO50" i="10"/>
  <c r="CA50" i="10"/>
  <c r="BM47" i="10"/>
  <c r="CO47" i="10"/>
  <c r="BV47" i="10"/>
  <c r="CB47" i="10"/>
  <c r="CK47" i="10"/>
  <c r="CE46" i="10"/>
  <c r="BQ48" i="10"/>
  <c r="CA52" i="10"/>
  <c r="BV51" i="10"/>
  <c r="CH51" i="10"/>
  <c r="BW49" i="10"/>
  <c r="BW46" i="10"/>
  <c r="BV46" i="10"/>
  <c r="CG48" i="10"/>
  <c r="CD48" i="10"/>
  <c r="BV50" i="10"/>
  <c r="BW47" i="10"/>
  <c r="BY47" i="10"/>
  <c r="BM52" i="10"/>
  <c r="CD51" i="10"/>
  <c r="BQ52" i="10"/>
  <c r="CA51" i="10"/>
  <c r="CB51" i="10"/>
  <c r="BQ51" i="10"/>
  <c r="CK51" i="10"/>
  <c r="CK49" i="10"/>
  <c r="CQ49" i="10"/>
  <c r="CC49" i="10"/>
  <c r="BQ46" i="10"/>
  <c r="CG46" i="10"/>
  <c r="CA46" i="10"/>
  <c r="CI46" i="10"/>
  <c r="BX48" i="10"/>
  <c r="CI48" i="10"/>
  <c r="BY48" i="10"/>
  <c r="CE48" i="10"/>
  <c r="BM48" i="10"/>
  <c r="BS50" i="10"/>
  <c r="BN50" i="10"/>
  <c r="BX50" i="10"/>
  <c r="CH50" i="10"/>
  <c r="BM50" i="10"/>
  <c r="BT47" i="10"/>
  <c r="L47" i="10"/>
  <c r="AK47" i="10"/>
  <c r="H47" i="10"/>
  <c r="AG47" i="10"/>
  <c r="AM47" i="10"/>
  <c r="M47" i="10"/>
  <c r="S47" i="10"/>
  <c r="O47" i="10"/>
  <c r="BL47" i="10"/>
  <c r="K47" i="10"/>
  <c r="BF47" i="10"/>
  <c r="AP47" i="10"/>
  <c r="AV47" i="10"/>
  <c r="V47" i="10"/>
  <c r="AR47" i="10"/>
  <c r="U47" i="10"/>
  <c r="AT47" i="10"/>
  <c r="T47" i="10"/>
  <c r="BK47" i="10"/>
  <c r="F47" i="10"/>
  <c r="AU47" i="10"/>
  <c r="BJ47" i="10"/>
  <c r="N47" i="10"/>
  <c r="W47" i="10"/>
  <c r="AF47" i="10"/>
  <c r="Y47" i="10"/>
  <c r="AH47" i="10"/>
  <c r="X47" i="10"/>
  <c r="BH47" i="10"/>
  <c r="J47" i="10"/>
  <c r="AI47" i="10"/>
  <c r="BE47" i="10"/>
  <c r="AN47" i="10"/>
  <c r="BD47" i="10"/>
  <c r="BC47" i="10"/>
  <c r="AE47" i="10"/>
  <c r="AA47" i="10"/>
  <c r="Z47" i="10"/>
  <c r="AO47" i="10"/>
  <c r="BB47" i="10"/>
  <c r="AJ47" i="10"/>
  <c r="I47" i="10"/>
  <c r="BA47" i="10"/>
  <c r="AS47" i="10"/>
  <c r="AQ47" i="10"/>
  <c r="P47" i="10"/>
  <c r="AD47" i="10"/>
  <c r="AY47" i="10"/>
  <c r="BG47" i="10"/>
  <c r="Q47" i="10"/>
  <c r="AC47" i="10"/>
  <c r="AX47" i="10"/>
  <c r="AL47" i="10"/>
  <c r="AW47" i="10"/>
  <c r="G47" i="10"/>
  <c r="R47" i="10"/>
  <c r="E47" i="10"/>
  <c r="AZ47" i="10"/>
  <c r="AB47" i="10"/>
  <c r="BI47" i="10"/>
  <c r="CG47" i="10"/>
  <c r="CR47" i="10"/>
  <c r="CM52" i="10"/>
  <c r="BY46" i="10"/>
  <c r="CO48" i="10"/>
  <c r="BO50" i="10"/>
  <c r="CB52" i="10"/>
  <c r="BY51" i="10"/>
  <c r="BO49" i="10"/>
  <c r="CE49" i="10"/>
  <c r="CN46" i="10"/>
  <c r="CD46" i="10"/>
  <c r="BU48" i="10"/>
  <c r="BR50" i="10"/>
  <c r="BU47" i="10"/>
  <c r="CQ47" i="10"/>
  <c r="BK52" i="10"/>
  <c r="AS52" i="10"/>
  <c r="BG52" i="10"/>
  <c r="AK52" i="10"/>
  <c r="AZ52" i="10"/>
  <c r="AV52" i="10"/>
  <c r="AO52" i="10"/>
  <c r="BA52" i="10"/>
  <c r="O52" i="10"/>
  <c r="BH52" i="10"/>
  <c r="AY52" i="10"/>
  <c r="AJ52" i="10"/>
  <c r="AL52" i="10"/>
  <c r="BC52" i="10"/>
  <c r="AN52" i="10"/>
  <c r="H52" i="10"/>
  <c r="AC52" i="10"/>
  <c r="S52" i="10"/>
  <c r="AT52" i="10"/>
  <c r="X52" i="10"/>
  <c r="T52" i="10"/>
  <c r="AU52" i="10"/>
  <c r="AR52" i="10"/>
  <c r="AD52" i="10"/>
  <c r="AI52" i="10"/>
  <c r="W52" i="10"/>
  <c r="G52" i="10"/>
  <c r="AP52" i="10"/>
  <c r="AA52" i="10"/>
  <c r="BD52" i="10"/>
  <c r="AW52" i="10"/>
  <c r="N52" i="10"/>
  <c r="AF52" i="10"/>
  <c r="M52" i="10"/>
  <c r="P52" i="10"/>
  <c r="BB52" i="10"/>
  <c r="L52" i="10"/>
  <c r="AG52" i="10"/>
  <c r="U52" i="10"/>
  <c r="BF52" i="10"/>
  <c r="Q52" i="10"/>
  <c r="BL52" i="10"/>
  <c r="BI52" i="10"/>
  <c r="BJ52" i="10"/>
  <c r="V52" i="10"/>
  <c r="K52" i="10"/>
  <c r="AH52" i="10"/>
  <c r="AX52" i="10"/>
  <c r="J52" i="10"/>
  <c r="AM52" i="10"/>
  <c r="Z52" i="10"/>
  <c r="I52" i="10"/>
  <c r="AQ52" i="10"/>
  <c r="Y52" i="10"/>
  <c r="BE52" i="10"/>
  <c r="E52" i="10"/>
  <c r="F52" i="10"/>
  <c r="AE52" i="10"/>
  <c r="AB52" i="10"/>
  <c r="R52" i="10"/>
  <c r="BT52" i="10"/>
  <c r="CP51" i="10"/>
  <c r="BW52" i="10"/>
  <c r="CI52" i="10"/>
  <c r="CO52" i="10"/>
  <c r="CD52" i="10"/>
  <c r="BN52" i="10"/>
  <c r="BZ52" i="10"/>
  <c r="CE51" i="10"/>
  <c r="CI51" i="10"/>
  <c r="CL51" i="10"/>
  <c r="CR51" i="10"/>
  <c r="BU49" i="10"/>
  <c r="CD49" i="10"/>
  <c r="BN49" i="10"/>
  <c r="CH49" i="10"/>
  <c r="BO46" i="10"/>
  <c r="CB46" i="10"/>
  <c r="BX46" i="10"/>
  <c r="BZ46" i="10"/>
  <c r="BP48" i="10"/>
  <c r="BE48" i="10"/>
  <c r="AY48" i="10"/>
  <c r="AK48" i="10"/>
  <c r="AE48" i="10"/>
  <c r="Q48" i="10"/>
  <c r="I48" i="10"/>
  <c r="BJ48" i="10"/>
  <c r="AZ48" i="10"/>
  <c r="AP48" i="10"/>
  <c r="AF48" i="10"/>
  <c r="V48" i="10"/>
  <c r="AB48" i="10"/>
  <c r="X48" i="10"/>
  <c r="U48" i="10"/>
  <c r="Z48" i="10"/>
  <c r="AQ48" i="10"/>
  <c r="AR48" i="10"/>
  <c r="G48" i="10"/>
  <c r="AI48" i="10"/>
  <c r="AJ48" i="10"/>
  <c r="AW48" i="10"/>
  <c r="K48" i="10"/>
  <c r="AH48" i="10"/>
  <c r="BC48" i="10"/>
  <c r="Y48" i="10"/>
  <c r="AD48" i="10"/>
  <c r="AU48" i="10"/>
  <c r="AV48" i="10"/>
  <c r="F48" i="10"/>
  <c r="R48" i="10"/>
  <c r="S48" i="10"/>
  <c r="BF48" i="10"/>
  <c r="AL48" i="10"/>
  <c r="BH48" i="10"/>
  <c r="N48" i="10"/>
  <c r="AG48" i="10"/>
  <c r="AS48" i="10"/>
  <c r="T48" i="10"/>
  <c r="BB48" i="10"/>
  <c r="BD48" i="10"/>
  <c r="O48" i="10"/>
  <c r="AM48" i="10"/>
  <c r="E23" i="10" a="1"/>
  <c r="E48" i="10"/>
  <c r="AC48" i="10"/>
  <c r="BK48" i="10"/>
  <c r="W48" i="10"/>
  <c r="AO48" i="10"/>
  <c r="BL48" i="10"/>
  <c r="L48" i="10"/>
  <c r="P48" i="10"/>
  <c r="AA48" i="10"/>
  <c r="AT48" i="10"/>
  <c r="AX48" i="10"/>
  <c r="M48" i="10"/>
  <c r="AN48" i="10"/>
  <c r="H48" i="10"/>
  <c r="J48" i="10"/>
  <c r="BG48" i="10"/>
  <c r="BA48" i="10"/>
  <c r="BI48" i="10"/>
  <c r="CP48" i="10"/>
  <c r="BY50" i="10"/>
  <c r="CR50" i="10"/>
  <c r="BW50" i="10"/>
  <c r="CQ50" i="10"/>
  <c r="BZ50" i="10"/>
  <c r="BX47" i="10"/>
  <c r="CM47" i="10"/>
  <c r="CH47" i="10"/>
  <c r="CN47" i="10"/>
  <c r="N51" i="10"/>
  <c r="L51" i="10"/>
  <c r="AD51" i="10"/>
  <c r="Q51" i="10"/>
  <c r="AN51" i="10"/>
  <c r="P51" i="10"/>
  <c r="BG51" i="10"/>
  <c r="M51" i="10"/>
  <c r="AM51" i="10"/>
  <c r="AB51" i="10"/>
  <c r="BF51" i="10"/>
  <c r="AE51" i="10"/>
  <c r="AL51" i="10"/>
  <c r="K51" i="10"/>
  <c r="R51" i="10"/>
  <c r="T51" i="10"/>
  <c r="BH51" i="10"/>
  <c r="AP51" i="10"/>
  <c r="BE51" i="10"/>
  <c r="AQ51" i="10"/>
  <c r="BL51" i="10"/>
  <c r="AW51" i="10"/>
  <c r="AY51" i="10"/>
  <c r="J51" i="10"/>
  <c r="U51" i="10"/>
  <c r="AC51" i="10"/>
  <c r="AF51" i="10"/>
  <c r="BI51" i="10"/>
  <c r="AU51" i="10"/>
  <c r="F51" i="10"/>
  <c r="H51" i="10"/>
  <c r="G51" i="10"/>
  <c r="BJ51" i="10"/>
  <c r="BD51" i="10"/>
  <c r="AJ51" i="10"/>
  <c r="W51" i="10"/>
  <c r="AR51" i="10"/>
  <c r="O51" i="10"/>
  <c r="AO51" i="10"/>
  <c r="AK51" i="10"/>
  <c r="Z51" i="10"/>
  <c r="BA51" i="10"/>
  <c r="AS51" i="10"/>
  <c r="AH51" i="10"/>
  <c r="AG51" i="10"/>
  <c r="AV51" i="10"/>
  <c r="BK51" i="10"/>
  <c r="BC51" i="10"/>
  <c r="BB51" i="10"/>
  <c r="E51" i="10"/>
  <c r="X51" i="10"/>
  <c r="V51" i="10"/>
  <c r="AT51" i="10"/>
  <c r="AX51" i="10"/>
  <c r="AI51" i="10"/>
  <c r="I51" i="10"/>
  <c r="AZ51" i="10"/>
  <c r="Y51" i="10"/>
  <c r="AA51" i="10"/>
  <c r="S51" i="10"/>
  <c r="CN52" i="10"/>
  <c r="BV52" i="10"/>
  <c r="CF52" i="10"/>
  <c r="BR52" i="10"/>
  <c r="BO52" i="10"/>
  <c r="BN51" i="10"/>
  <c r="CC51" i="10"/>
  <c r="BO51" i="10"/>
  <c r="CL49" i="10"/>
  <c r="BY49" i="10"/>
  <c r="BZ49" i="10"/>
  <c r="BM46" i="10"/>
  <c r="CH46" i="10"/>
  <c r="BP46" i="10"/>
  <c r="CM46" i="10"/>
  <c r="BZ48" i="10"/>
  <c r="CK48" i="10"/>
  <c r="CM48" i="10"/>
  <c r="BR48" i="10"/>
  <c r="CJ50" i="10"/>
  <c r="F50" i="10"/>
  <c r="BC50" i="10"/>
  <c r="AS50" i="10"/>
  <c r="AY50" i="10"/>
  <c r="AO50" i="10"/>
  <c r="AE50" i="10"/>
  <c r="U50" i="10"/>
  <c r="AW50" i="10"/>
  <c r="W50" i="10"/>
  <c r="BD50" i="10"/>
  <c r="AT50" i="10"/>
  <c r="T50" i="10"/>
  <c r="BA50" i="10"/>
  <c r="AA50" i="10"/>
  <c r="BI50" i="10"/>
  <c r="AH50" i="10"/>
  <c r="H50" i="10"/>
  <c r="BE50" i="10"/>
  <c r="O50" i="10"/>
  <c r="AV50" i="10"/>
  <c r="K50" i="10"/>
  <c r="L50" i="10"/>
  <c r="AN50" i="10"/>
  <c r="Y50" i="10"/>
  <c r="Z50" i="10"/>
  <c r="AL50" i="10"/>
  <c r="G50" i="10"/>
  <c r="BJ50" i="10"/>
  <c r="AZ50" i="10"/>
  <c r="AK50" i="10"/>
  <c r="Q50" i="10"/>
  <c r="BK50" i="10"/>
  <c r="BL50" i="10"/>
  <c r="AU50" i="10"/>
  <c r="P50" i="10"/>
  <c r="AQ50" i="10"/>
  <c r="R50" i="10"/>
  <c r="I50" i="10"/>
  <c r="V50" i="10"/>
  <c r="M50" i="10"/>
  <c r="BF50" i="10"/>
  <c r="BH50" i="10"/>
  <c r="X50" i="10"/>
  <c r="J50" i="10"/>
  <c r="AG50" i="10"/>
  <c r="S50" i="10"/>
  <c r="AF50" i="10"/>
  <c r="AR50" i="10"/>
  <c r="AJ50" i="10"/>
  <c r="AB50" i="10"/>
  <c r="BG50" i="10"/>
  <c r="AX50" i="10"/>
  <c r="E50" i="10"/>
  <c r="AC50" i="10"/>
  <c r="AD50" i="10"/>
  <c r="BB50" i="10"/>
  <c r="AI50" i="10"/>
  <c r="N50" i="10"/>
  <c r="AP50" i="10"/>
  <c r="AM50" i="10"/>
  <c r="BQ50" i="10"/>
  <c r="CE50" i="10"/>
  <c r="BP47" i="10"/>
  <c r="BO47" i="10"/>
  <c r="CI47" i="10"/>
  <c r="BN47" i="10"/>
  <c r="BS52" i="10"/>
  <c r="CQ52" i="10"/>
  <c r="CL52" i="10"/>
  <c r="CG52" i="10"/>
  <c r="BX52" i="10"/>
  <c r="BU51" i="10"/>
  <c r="BR51" i="10"/>
  <c r="CN51" i="10"/>
  <c r="BW51" i="10"/>
  <c r="BT49" i="10"/>
  <c r="CN49" i="10"/>
  <c r="BQ49" i="10"/>
  <c r="BT46" i="10"/>
  <c r="CR46" i="10"/>
  <c r="CJ46" i="10"/>
  <c r="BV48" i="10"/>
  <c r="CB48" i="10"/>
  <c r="CJ48" i="10"/>
  <c r="CC48" i="10"/>
  <c r="CB50" i="10"/>
  <c r="CI50" i="10"/>
  <c r="CM50" i="10"/>
  <c r="CP47" i="10"/>
  <c r="BQ47" i="10"/>
  <c r="BR47" i="10"/>
  <c r="CH52" i="10"/>
  <c r="CJ52" i="10"/>
  <c r="BU52" i="10"/>
  <c r="CC52" i="10"/>
  <c r="CP52" i="10"/>
  <c r="BZ51" i="10"/>
  <c r="BP51" i="10"/>
  <c r="BX51" i="10"/>
  <c r="BM51" i="10"/>
  <c r="BR49" i="10"/>
  <c r="BP49" i="10"/>
  <c r="CG49" i="10"/>
  <c r="BM49" i="10"/>
  <c r="BX49" i="10"/>
  <c r="CC46" i="10"/>
  <c r="CP46" i="10"/>
  <c r="CK46" i="10"/>
  <c r="BU46" i="10"/>
  <c r="CL48" i="10"/>
  <c r="CF48" i="10"/>
  <c r="BN48" i="10"/>
  <c r="CA48" i="10"/>
  <c r="CD50" i="10"/>
  <c r="CC50" i="10"/>
  <c r="BU50" i="10"/>
  <c r="CF50" i="10"/>
  <c r="BZ47" i="10"/>
  <c r="CJ47" i="10"/>
  <c r="CE47" i="10"/>
  <c r="CL47" i="10"/>
  <c r="G32" i="17" a="1"/>
  <c r="G32" i="17"/>
  <c r="F32" i="17" a="1"/>
  <c r="F34" i="17"/>
  <c r="F32" i="12" a="1"/>
  <c r="F34" i="12"/>
  <c r="E27" i="10" a="1"/>
  <c r="AH27" i="10"/>
  <c r="E22" i="10" a="1"/>
  <c r="AD22" i="10"/>
  <c r="E156" i="14" a="1"/>
  <c r="S156" i="14"/>
  <c r="E137" i="12" a="1"/>
  <c r="AL137" i="12"/>
  <c r="E174" i="16" a="1"/>
  <c r="N174" i="16"/>
  <c r="E137" i="15" a="1"/>
  <c r="K137" i="15"/>
  <c r="E113" i="14" a="1"/>
  <c r="AC113" i="14"/>
  <c r="E162" i="12" a="1"/>
  <c r="J162" i="12"/>
  <c r="E131" i="15" a="1"/>
  <c r="K131" i="15"/>
  <c r="E131" i="18" a="1"/>
  <c r="M131" i="18"/>
  <c r="E150" i="18" a="1"/>
  <c r="W150" i="18"/>
  <c r="E162" i="13" a="1"/>
  <c r="I162" i="13"/>
  <c r="E119" i="18" a="1"/>
  <c r="Q119" i="18"/>
  <c r="E131" i="12" a="1"/>
  <c r="H131" i="12"/>
  <c r="E156" i="15" a="1"/>
  <c r="Y156" i="15"/>
  <c r="E137" i="16" a="1"/>
  <c r="AE137" i="16"/>
  <c r="E143" i="14" a="1"/>
  <c r="K143" i="14"/>
  <c r="E186" i="12" a="1"/>
  <c r="T186" i="12"/>
  <c r="E107" i="15" a="1"/>
  <c r="M107" i="15"/>
  <c r="E150" i="17" a="1"/>
  <c r="AH150" i="17"/>
  <c r="E186" i="13" a="1"/>
  <c r="J186" i="13"/>
  <c r="E119" i="12" a="1"/>
  <c r="E119" i="12"/>
  <c r="E143" i="12" a="1"/>
  <c r="AD143" i="12"/>
  <c r="E174" i="12" a="1"/>
  <c r="O174" i="12"/>
  <c r="E162" i="16" a="1"/>
  <c r="G162" i="16"/>
  <c r="E125" i="13" a="1"/>
  <c r="I125" i="13"/>
  <c r="E180" i="18" a="1"/>
  <c r="N180" i="18"/>
  <c r="E186" i="14" a="1"/>
  <c r="Q186" i="14"/>
  <c r="E156" i="13" a="1"/>
  <c r="AE156" i="13"/>
  <c r="E168" i="17" a="1"/>
  <c r="M168" i="17"/>
  <c r="E125" i="17" a="1"/>
  <c r="N125" i="17"/>
  <c r="E137" i="14" a="1"/>
  <c r="X137" i="14"/>
  <c r="E113" i="12" a="1"/>
  <c r="K113" i="12"/>
  <c r="E107" i="18" a="1"/>
  <c r="W107" i="18"/>
  <c r="E113" i="17" a="1"/>
  <c r="N113" i="17"/>
  <c r="E113" i="16" a="1"/>
  <c r="AA113" i="16"/>
  <c r="E162" i="17" a="1"/>
  <c r="AE162" i="17"/>
  <c r="E174" i="17" a="1"/>
  <c r="K174" i="17"/>
  <c r="E119" i="17" a="1"/>
  <c r="W119" i="17"/>
  <c r="E168" i="18" a="1"/>
  <c r="N168" i="18"/>
  <c r="E186" i="15" a="1"/>
  <c r="J186" i="15"/>
  <c r="E125" i="16" a="1"/>
  <c r="U125" i="16"/>
  <c r="E162" i="14" a="1"/>
  <c r="H162" i="14"/>
  <c r="E168" i="14" a="1"/>
  <c r="AH168" i="14"/>
  <c r="E186" i="16" a="1"/>
  <c r="AK186" i="16"/>
  <c r="E174" i="18" a="1"/>
  <c r="Y174" i="18"/>
  <c r="E131" i="14" a="1"/>
  <c r="J131" i="14"/>
  <c r="E143" i="17" a="1"/>
  <c r="R143" i="17"/>
  <c r="E131" i="16" a="1"/>
  <c r="L131" i="16"/>
  <c r="E125" i="18" a="1"/>
  <c r="V125" i="18"/>
  <c r="E180" i="17" a="1"/>
  <c r="AK180" i="17"/>
  <c r="E143" i="18" a="1"/>
  <c r="Z143" i="18"/>
  <c r="E150" i="12" a="1"/>
  <c r="AK150" i="12"/>
  <c r="E186" i="17" a="1"/>
  <c r="AB186" i="17"/>
  <c r="E107" i="13" a="1"/>
  <c r="R107" i="13"/>
  <c r="E156" i="18" a="1"/>
  <c r="G156" i="18"/>
  <c r="E168" i="16" a="1"/>
  <c r="AA168" i="16"/>
  <c r="E150" i="16" a="1"/>
  <c r="H150" i="16"/>
  <c r="E180" i="14" a="1"/>
  <c r="P180" i="14"/>
  <c r="E143" i="16" a="1"/>
  <c r="AH143" i="16"/>
  <c r="E143" i="13" a="1"/>
  <c r="AA143" i="13"/>
  <c r="E162" i="15" a="1"/>
  <c r="AL162" i="15"/>
  <c r="E143" i="15" a="1"/>
  <c r="J143" i="15"/>
  <c r="E168" i="13" a="1"/>
  <c r="H168" i="13"/>
  <c r="E137" i="17" a="1"/>
  <c r="E137" i="17"/>
  <c r="E125" i="12" a="1"/>
  <c r="L125" i="12"/>
  <c r="E180" i="13" a="1"/>
  <c r="AL180" i="13"/>
  <c r="E186" i="18" a="1"/>
  <c r="H186" i="18"/>
  <c r="E113" i="15" a="1"/>
  <c r="AE113" i="15"/>
  <c r="E131" i="17" a="1"/>
  <c r="L131" i="17"/>
  <c r="E168" i="15" a="1"/>
  <c r="Y168" i="15"/>
  <c r="E107" i="14" a="1"/>
  <c r="Z107" i="14"/>
  <c r="E168" i="12" a="1"/>
  <c r="Z168" i="12"/>
  <c r="E156" i="16" a="1"/>
  <c r="AE156" i="16"/>
  <c r="E107" i="17" a="1"/>
  <c r="U107" i="17"/>
  <c r="E180" i="15" a="1"/>
  <c r="Q180" i="15"/>
  <c r="E174" i="14" a="1"/>
  <c r="H174" i="14"/>
  <c r="E125" i="15" a="1"/>
  <c r="K125" i="15"/>
  <c r="E107" i="12" a="1"/>
  <c r="J107" i="12"/>
  <c r="E162" i="18" a="1"/>
  <c r="X162" i="18"/>
  <c r="E119" i="14" a="1"/>
  <c r="X119" i="14"/>
  <c r="E131" i="13" a="1"/>
  <c r="AH131" i="13"/>
  <c r="E150" i="14" a="1"/>
  <c r="W150" i="14"/>
  <c r="E150" i="15" a="1"/>
  <c r="V150" i="15"/>
  <c r="E119" i="13" a="1"/>
  <c r="P119" i="13"/>
  <c r="E150" i="13" a="1"/>
  <c r="J150" i="13"/>
  <c r="E113" i="13" a="1"/>
  <c r="AC113" i="13"/>
  <c r="E156" i="12" a="1"/>
  <c r="AJ156" i="12"/>
  <c r="E107" i="16" a="1"/>
  <c r="Z107" i="16"/>
  <c r="E137" i="13" a="1"/>
  <c r="G137" i="13"/>
  <c r="E125" i="14" a="1"/>
  <c r="M125" i="14"/>
  <c r="E174" i="13" a="1"/>
  <c r="S174" i="13"/>
  <c r="E137" i="18" a="1"/>
  <c r="Y137" i="18"/>
  <c r="E119" i="16" a="1"/>
  <c r="M119" i="16"/>
  <c r="E156" i="17" a="1"/>
  <c r="AH156" i="17"/>
  <c r="E180" i="12" a="1"/>
  <c r="X180" i="12"/>
  <c r="E174" i="15" a="1"/>
  <c r="K174" i="15"/>
  <c r="E113" i="18" a="1"/>
  <c r="AH113" i="18"/>
  <c r="E180" i="16" a="1"/>
  <c r="I180" i="16"/>
  <c r="E119" i="15" a="1"/>
  <c r="AH119" i="15"/>
  <c r="G37" i="12"/>
  <c r="G35" i="12"/>
  <c r="G34" i="12"/>
  <c r="G38" i="12"/>
  <c r="G33" i="12"/>
  <c r="G32" i="12"/>
  <c r="G36" i="12"/>
  <c r="W53" i="12"/>
  <c r="AD51" i="13"/>
  <c r="P51" i="15"/>
  <c r="V53" i="12"/>
  <c r="H51" i="13"/>
  <c r="I51" i="13"/>
  <c r="P53" i="12"/>
  <c r="AH55" i="13"/>
  <c r="N50" i="18"/>
  <c r="V50" i="15"/>
  <c r="AB50" i="18"/>
  <c r="L50" i="18"/>
  <c r="M51" i="15"/>
  <c r="AF50" i="15"/>
  <c r="R55" i="12"/>
  <c r="N51" i="15"/>
  <c r="U53" i="14"/>
  <c r="AF50" i="16"/>
  <c r="T50" i="16"/>
  <c r="K55" i="13"/>
  <c r="V56" i="15"/>
  <c r="K51" i="14"/>
  <c r="V52" i="14"/>
  <c r="N52" i="16"/>
  <c r="O51" i="15"/>
  <c r="K51" i="15"/>
  <c r="H50" i="12"/>
  <c r="F56" i="15"/>
  <c r="AK52" i="14"/>
  <c r="AI50" i="14"/>
  <c r="W51" i="15"/>
  <c r="AL51" i="12"/>
  <c r="AH51" i="12"/>
  <c r="AH50" i="15"/>
  <c r="AC51" i="12"/>
  <c r="Y50" i="12"/>
  <c r="G56" i="12"/>
  <c r="Y56" i="15"/>
  <c r="E50" i="15"/>
  <c r="K56" i="15"/>
  <c r="AI56" i="12"/>
  <c r="F53" i="12"/>
  <c r="AI50" i="12"/>
  <c r="AD53" i="18"/>
  <c r="R50" i="12"/>
  <c r="Q52" i="14"/>
  <c r="AK50" i="15"/>
  <c r="AI51" i="13"/>
  <c r="AD56" i="15"/>
  <c r="E50" i="12"/>
  <c r="AG50" i="15"/>
  <c r="W56" i="12"/>
  <c r="Z51" i="14"/>
  <c r="T56" i="16"/>
  <c r="G51" i="14"/>
  <c r="R56" i="16"/>
  <c r="X50" i="16"/>
  <c r="Z50" i="16"/>
  <c r="M55" i="18"/>
  <c r="AA52" i="12"/>
  <c r="Y52" i="12"/>
  <c r="P56" i="16"/>
  <c r="AL56" i="15"/>
  <c r="AK50" i="16"/>
  <c r="AG52" i="17"/>
  <c r="F56" i="16"/>
  <c r="R50" i="18"/>
  <c r="V51" i="12"/>
  <c r="O51" i="14"/>
  <c r="AL55" i="15"/>
  <c r="I52" i="15"/>
  <c r="F51" i="14"/>
  <c r="AE51" i="13"/>
  <c r="T51" i="13"/>
  <c r="Q53" i="12"/>
  <c r="F32" i="15"/>
  <c r="AB55" i="13"/>
  <c r="E51" i="15"/>
  <c r="P50" i="15"/>
  <c r="AG53" i="12"/>
  <c r="AA51" i="15"/>
  <c r="M50" i="15"/>
  <c r="AB50" i="15"/>
  <c r="W50" i="18"/>
  <c r="U50" i="18"/>
  <c r="AD50" i="18"/>
  <c r="H50" i="16"/>
  <c r="L51" i="15"/>
  <c r="AF50" i="12"/>
  <c r="AD50" i="15"/>
  <c r="AL56" i="12"/>
  <c r="T50" i="15"/>
  <c r="G56" i="15"/>
  <c r="Q50" i="12"/>
  <c r="AJ50" i="12"/>
  <c r="W50" i="12"/>
  <c r="Q52" i="12"/>
  <c r="AD52" i="12"/>
  <c r="E52" i="12"/>
  <c r="N50" i="12"/>
  <c r="AB51" i="12"/>
  <c r="Q50" i="14"/>
  <c r="Y50" i="15"/>
  <c r="W51" i="12"/>
  <c r="F33" i="15"/>
  <c r="G50" i="12"/>
  <c r="V50" i="18"/>
  <c r="I50" i="15"/>
  <c r="X51" i="12"/>
  <c r="AD52" i="14"/>
  <c r="S52" i="17"/>
  <c r="P50" i="18"/>
  <c r="F52" i="17"/>
  <c r="K50" i="18"/>
  <c r="L56" i="12"/>
  <c r="X56" i="12"/>
  <c r="F52" i="12"/>
  <c r="L51" i="12"/>
  <c r="J51" i="14"/>
  <c r="T52" i="17"/>
  <c r="K50" i="15"/>
  <c r="K51" i="13"/>
  <c r="E56" i="12"/>
  <c r="W50" i="15"/>
  <c r="S50" i="15"/>
  <c r="Q52" i="17"/>
  <c r="N51" i="12"/>
  <c r="X50" i="18"/>
  <c r="AK56" i="12"/>
  <c r="AF51" i="14"/>
  <c r="Y51" i="14"/>
  <c r="J56" i="12"/>
  <c r="AA56" i="12"/>
  <c r="M50" i="12"/>
  <c r="AF53" i="14"/>
  <c r="AA50" i="18"/>
  <c r="AE53" i="15"/>
  <c r="AH51" i="13"/>
  <c r="Q51" i="14"/>
  <c r="AK50" i="18"/>
  <c r="T53" i="15"/>
  <c r="AL50" i="13"/>
  <c r="AC56" i="12"/>
  <c r="O50" i="18"/>
  <c r="K53" i="12"/>
  <c r="AI50" i="18"/>
  <c r="AH50" i="18"/>
  <c r="Z53" i="12"/>
  <c r="I51" i="15"/>
  <c r="R53" i="14"/>
  <c r="AL52" i="17"/>
  <c r="AC52" i="14"/>
  <c r="AI53" i="12"/>
  <c r="Z50" i="15"/>
  <c r="L53" i="12"/>
  <c r="K53" i="14"/>
  <c r="F50" i="18"/>
  <c r="W51" i="14"/>
  <c r="AE50" i="15"/>
  <c r="G50" i="15"/>
  <c r="J51" i="13"/>
  <c r="AB51" i="13"/>
  <c r="P52" i="17"/>
  <c r="M53" i="14"/>
  <c r="AH51" i="15"/>
  <c r="AI53" i="18"/>
  <c r="AH52" i="17"/>
  <c r="F52" i="14"/>
  <c r="E56" i="15"/>
  <c r="O56" i="15"/>
  <c r="E50" i="18"/>
  <c r="P52" i="12"/>
  <c r="Z50" i="12"/>
  <c r="O51" i="13"/>
  <c r="N56" i="15"/>
  <c r="U50" i="12"/>
  <c r="Z51" i="12"/>
  <c r="L52" i="17"/>
  <c r="X50" i="15"/>
  <c r="AL52" i="12"/>
  <c r="AF50" i="18"/>
  <c r="AF52" i="12"/>
  <c r="T53" i="12"/>
  <c r="Q51" i="12"/>
  <c r="AI50" i="15"/>
  <c r="AE56" i="16"/>
  <c r="AG51" i="14"/>
  <c r="T51" i="12"/>
  <c r="AG56" i="12"/>
  <c r="R51" i="14"/>
  <c r="Z52" i="13"/>
  <c r="AB50" i="12"/>
  <c r="AD56" i="16"/>
  <c r="M50" i="16"/>
  <c r="S56" i="16"/>
  <c r="H50" i="18"/>
  <c r="AH56" i="15"/>
  <c r="N50" i="16"/>
  <c r="AE51" i="12"/>
  <c r="X52" i="12"/>
  <c r="F55" i="15"/>
  <c r="AG50" i="18"/>
  <c r="AI52" i="17"/>
  <c r="AB53" i="12"/>
  <c r="AL56" i="18"/>
  <c r="J50" i="15"/>
  <c r="M51" i="13"/>
  <c r="AD51" i="12"/>
  <c r="AJ52" i="17"/>
  <c r="Q56" i="12"/>
  <c r="X56" i="18"/>
  <c r="J51" i="12"/>
  <c r="Z52" i="17"/>
  <c r="K51" i="12"/>
  <c r="AB56" i="15"/>
  <c r="H55" i="13"/>
  <c r="P56" i="12"/>
  <c r="E52" i="17"/>
  <c r="M53" i="12"/>
  <c r="T50" i="12"/>
  <c r="F56" i="12"/>
  <c r="I50" i="18"/>
  <c r="H56" i="12"/>
  <c r="X50" i="12"/>
  <c r="P55" i="13"/>
  <c r="U51" i="12"/>
  <c r="E53" i="12"/>
  <c r="AC50" i="15"/>
  <c r="O50" i="12"/>
  <c r="N50" i="15"/>
  <c r="AG52" i="12"/>
  <c r="AL50" i="18"/>
  <c r="P51" i="12"/>
  <c r="N56" i="12"/>
  <c r="X51" i="14"/>
  <c r="AL51" i="15"/>
  <c r="M51" i="14"/>
  <c r="AK51" i="14"/>
  <c r="AA50" i="16"/>
  <c r="Y50" i="13"/>
  <c r="N51" i="14"/>
  <c r="R51" i="13"/>
  <c r="AL51" i="14"/>
  <c r="P50" i="13"/>
  <c r="F35" i="15"/>
  <c r="AE55" i="16"/>
  <c r="I52" i="16"/>
  <c r="AD55" i="16"/>
  <c r="X52" i="16"/>
  <c r="F53" i="18"/>
  <c r="AA53" i="18"/>
  <c r="X53" i="18"/>
  <c r="R53" i="18"/>
  <c r="W53" i="18"/>
  <c r="J53" i="18"/>
  <c r="G53" i="18"/>
  <c r="AC53" i="18"/>
  <c r="O53" i="18"/>
  <c r="M53" i="18"/>
  <c r="Q53" i="18"/>
  <c r="V53" i="18"/>
  <c r="L53" i="18"/>
  <c r="I53" i="18"/>
  <c r="K53" i="18"/>
  <c r="Z53" i="18"/>
  <c r="S53" i="18"/>
  <c r="U53" i="18"/>
  <c r="Y53" i="18"/>
  <c r="AJ53" i="18"/>
  <c r="AH53" i="18"/>
  <c r="T53" i="18"/>
  <c r="N53" i="18"/>
  <c r="AF53" i="18"/>
  <c r="AK53" i="18"/>
  <c r="H53" i="18"/>
  <c r="AE53" i="18"/>
  <c r="AE53" i="14"/>
  <c r="L53" i="14"/>
  <c r="AH53" i="14"/>
  <c r="P53" i="14"/>
  <c r="J53" i="14"/>
  <c r="AC53" i="14"/>
  <c r="AG53" i="14"/>
  <c r="Q53" i="14"/>
  <c r="E53" i="14"/>
  <c r="AL53" i="14"/>
  <c r="N53" i="14"/>
  <c r="G53" i="14"/>
  <c r="AD53" i="14"/>
  <c r="AK53" i="14"/>
  <c r="Y53" i="14"/>
  <c r="O53" i="14"/>
  <c r="T53" i="14"/>
  <c r="F53" i="14"/>
  <c r="AI53" i="14"/>
  <c r="W52" i="16"/>
  <c r="AE51" i="16"/>
  <c r="P51" i="16"/>
  <c r="H51" i="16"/>
  <c r="AL51" i="16"/>
  <c r="Q51" i="16"/>
  <c r="W51" i="16"/>
  <c r="S51" i="16"/>
  <c r="U51" i="16"/>
  <c r="X51" i="16"/>
  <c r="AB51" i="16"/>
  <c r="R51" i="16"/>
  <c r="L55" i="13"/>
  <c r="X55" i="13"/>
  <c r="AD55" i="13"/>
  <c r="V55" i="13"/>
  <c r="M55" i="13"/>
  <c r="AA55" i="13"/>
  <c r="AK55" i="13"/>
  <c r="AI55" i="13"/>
  <c r="AJ55" i="13"/>
  <c r="R55" i="13"/>
  <c r="Z55" i="13"/>
  <c r="O55" i="13"/>
  <c r="N55" i="13"/>
  <c r="AG55" i="13"/>
  <c r="I55" i="13"/>
  <c r="AL55" i="13"/>
  <c r="Y55" i="13"/>
  <c r="U55" i="13"/>
  <c r="J55" i="13"/>
  <c r="W55" i="13"/>
  <c r="Q55" i="13"/>
  <c r="F55" i="13"/>
  <c r="H53" i="14"/>
  <c r="I53" i="14"/>
  <c r="X53" i="14"/>
  <c r="E55" i="13"/>
  <c r="AG55" i="16"/>
  <c r="AF55" i="13"/>
  <c r="K55" i="17"/>
  <c r="E55" i="17"/>
  <c r="O56" i="17"/>
  <c r="AC56" i="17"/>
  <c r="AH56" i="17"/>
  <c r="AK56" i="17"/>
  <c r="AD56" i="17"/>
  <c r="AI56" i="17"/>
  <c r="AE56" i="17"/>
  <c r="AL56" i="17"/>
  <c r="AB56" i="17"/>
  <c r="P56" i="17"/>
  <c r="W56" i="17"/>
  <c r="K56" i="17"/>
  <c r="J56" i="17"/>
  <c r="Z56" i="17"/>
  <c r="Q56" i="17"/>
  <c r="P56" i="18"/>
  <c r="J56" i="18"/>
  <c r="AA56" i="18"/>
  <c r="V56" i="18"/>
  <c r="AF56" i="18"/>
  <c r="N56" i="18"/>
  <c r="AB56" i="18"/>
  <c r="Q56" i="18"/>
  <c r="Z56" i="18"/>
  <c r="AD56" i="18"/>
  <c r="AC56" i="18"/>
  <c r="AK56" i="18"/>
  <c r="W56" i="18"/>
  <c r="S56" i="18"/>
  <c r="AG56" i="18"/>
  <c r="AE56" i="18"/>
  <c r="T56" i="18"/>
  <c r="R56" i="18"/>
  <c r="E53" i="18"/>
  <c r="S55" i="13"/>
  <c r="AA53" i="14"/>
  <c r="X55" i="16"/>
  <c r="O52" i="16"/>
  <c r="O55" i="16"/>
  <c r="G55" i="13"/>
  <c r="S53" i="14"/>
  <c r="K52" i="14"/>
  <c r="AH52" i="14"/>
  <c r="AJ52" i="14"/>
  <c r="AG52" i="14"/>
  <c r="G52" i="14"/>
  <c r="L52" i="14"/>
  <c r="N52" i="14"/>
  <c r="S52" i="14"/>
  <c r="AE52" i="14"/>
  <c r="AA52" i="14"/>
  <c r="X52" i="14"/>
  <c r="H52" i="14"/>
  <c r="AI52" i="14"/>
  <c r="AL52" i="14"/>
  <c r="AF52" i="14"/>
  <c r="AG52" i="16"/>
  <c r="AF55" i="16"/>
  <c r="AA52" i="16"/>
  <c r="F34" i="16"/>
  <c r="F37" i="16"/>
  <c r="F32" i="16"/>
  <c r="F38" i="16"/>
  <c r="F33" i="16"/>
  <c r="F35" i="16"/>
  <c r="F36" i="16"/>
  <c r="AA55" i="17"/>
  <c r="Z55" i="17"/>
  <c r="X55" i="17"/>
  <c r="R55" i="17"/>
  <c r="S55" i="17"/>
  <c r="AG55" i="17"/>
  <c r="AI55" i="17"/>
  <c r="M55" i="17"/>
  <c r="I55" i="17"/>
  <c r="P55" i="17"/>
  <c r="T55" i="17"/>
  <c r="AD55" i="17"/>
  <c r="W55" i="17"/>
  <c r="AC55" i="17"/>
  <c r="G55" i="17"/>
  <c r="N55" i="17"/>
  <c r="AK55" i="17"/>
  <c r="F55" i="17"/>
  <c r="Y55" i="17"/>
  <c r="AJ55" i="17"/>
  <c r="AF55" i="17"/>
  <c r="L55" i="17"/>
  <c r="Q55" i="17"/>
  <c r="V55" i="17"/>
  <c r="T52" i="16"/>
  <c r="AJ55" i="16"/>
  <c r="W55" i="16"/>
  <c r="H55" i="17"/>
  <c r="AE55" i="17"/>
  <c r="S56" i="17"/>
  <c r="G34" i="15"/>
  <c r="G33" i="15"/>
  <c r="G32" i="15"/>
  <c r="AB55" i="17"/>
  <c r="R55" i="16"/>
  <c r="O56" i="18"/>
  <c r="AE52" i="16"/>
  <c r="R52" i="16"/>
  <c r="P52" i="16"/>
  <c r="AJ52" i="16"/>
  <c r="AB52" i="16"/>
  <c r="H52" i="16"/>
  <c r="K52" i="16"/>
  <c r="V52" i="16"/>
  <c r="AD52" i="16"/>
  <c r="AC52" i="16"/>
  <c r="AI52" i="16"/>
  <c r="M52" i="16"/>
  <c r="AH52" i="16"/>
  <c r="E52" i="16"/>
  <c r="J52" i="16"/>
  <c r="Z52" i="16"/>
  <c r="U52" i="16"/>
  <c r="AF52" i="16"/>
  <c r="AL52" i="16"/>
  <c r="S52" i="16"/>
  <c r="G52" i="16"/>
  <c r="Q52" i="16"/>
  <c r="AK52" i="16"/>
  <c r="F52" i="16"/>
  <c r="F55" i="16"/>
  <c r="L55" i="16"/>
  <c r="Z55" i="16"/>
  <c r="G55" i="16"/>
  <c r="M55" i="16"/>
  <c r="Q55" i="16"/>
  <c r="AL55" i="16"/>
  <c r="AC55" i="16"/>
  <c r="AK55" i="16"/>
  <c r="N55" i="16"/>
  <c r="AI55" i="16"/>
  <c r="AB55" i="16"/>
  <c r="H55" i="16"/>
  <c r="K55" i="16"/>
  <c r="E55" i="16"/>
  <c r="AA55" i="16"/>
  <c r="V55" i="16"/>
  <c r="S55" i="16"/>
  <c r="J55" i="16"/>
  <c r="U55" i="16"/>
  <c r="T55" i="16"/>
  <c r="Y55" i="16"/>
  <c r="I55" i="16"/>
  <c r="I56" i="18"/>
  <c r="W53" i="14"/>
  <c r="P53" i="18"/>
  <c r="AC55" i="13"/>
  <c r="L52" i="16"/>
  <c r="AI56" i="18"/>
  <c r="AB53" i="18"/>
  <c r="J55" i="17"/>
  <c r="G56" i="18"/>
  <c r="M56" i="18"/>
  <c r="F54" i="12"/>
  <c r="P54" i="12"/>
  <c r="J54" i="12"/>
  <c r="AE54" i="12"/>
  <c r="AA54" i="12"/>
  <c r="AG54" i="12"/>
  <c r="R54" i="12"/>
  <c r="AD54" i="12"/>
  <c r="AC54" i="12"/>
  <c r="AI54" i="12"/>
  <c r="E54" i="12"/>
  <c r="I54" i="12"/>
  <c r="K54" i="12"/>
  <c r="AB54" i="12"/>
  <c r="V54" i="12"/>
  <c r="Z53" i="13"/>
  <c r="L53" i="15"/>
  <c r="AF53" i="15"/>
  <c r="G53" i="13"/>
  <c r="J51" i="15"/>
  <c r="AK54" i="15"/>
  <c r="F34" i="15"/>
  <c r="W54" i="15"/>
  <c r="Y53" i="15"/>
  <c r="AF53" i="13"/>
  <c r="F51" i="15"/>
  <c r="K53" i="15"/>
  <c r="AC51" i="15"/>
  <c r="O56" i="16"/>
  <c r="AD53" i="12"/>
  <c r="K50" i="16"/>
  <c r="J54" i="15"/>
  <c r="Q56" i="16"/>
  <c r="AE53" i="13"/>
  <c r="AG56" i="16"/>
  <c r="AD50" i="16"/>
  <c r="O53" i="12"/>
  <c r="AG53" i="15"/>
  <c r="R53" i="12"/>
  <c r="AG50" i="16"/>
  <c r="AJ50" i="13"/>
  <c r="G54" i="16"/>
  <c r="J50" i="13"/>
  <c r="M53" i="15"/>
  <c r="AC56" i="15"/>
  <c r="R54" i="18"/>
  <c r="J54" i="18"/>
  <c r="T50" i="14"/>
  <c r="U53" i="12"/>
  <c r="S53" i="12"/>
  <c r="Z54" i="18"/>
  <c r="F53" i="13"/>
  <c r="AH53" i="12"/>
  <c r="H54" i="15"/>
  <c r="Q51" i="15"/>
  <c r="AA53" i="12"/>
  <c r="H53" i="12"/>
  <c r="AA53" i="13"/>
  <c r="T54" i="15"/>
  <c r="Z54" i="15"/>
  <c r="F36" i="15"/>
  <c r="AL53" i="13"/>
  <c r="N53" i="12"/>
  <c r="Q54" i="15"/>
  <c r="AG53" i="13"/>
  <c r="Z51" i="15"/>
  <c r="J53" i="12"/>
  <c r="V51" i="15"/>
  <c r="M54" i="15"/>
  <c r="Y51" i="15"/>
  <c r="S53" i="15"/>
  <c r="AG56" i="13"/>
  <c r="X53" i="12"/>
  <c r="W53" i="13"/>
  <c r="T51" i="15"/>
  <c r="N52" i="18"/>
  <c r="Y53" i="13"/>
  <c r="AK54" i="18"/>
  <c r="AA52" i="18"/>
  <c r="L50" i="16"/>
  <c r="AD54" i="16"/>
  <c r="AH50" i="16"/>
  <c r="AH56" i="16"/>
  <c r="AI56" i="13"/>
  <c r="X56" i="16"/>
  <c r="AH56" i="13"/>
  <c r="AK53" i="13"/>
  <c r="W56" i="16"/>
  <c r="R56" i="15"/>
  <c r="AA56" i="16"/>
  <c r="S50" i="16"/>
  <c r="H53" i="15"/>
  <c r="T54" i="13"/>
  <c r="H53" i="13"/>
  <c r="E50" i="16"/>
  <c r="R52" i="18"/>
  <c r="M53" i="13"/>
  <c r="AG51" i="15"/>
  <c r="L52" i="18"/>
  <c r="AI55" i="18"/>
  <c r="AI50" i="13"/>
  <c r="V50" i="16"/>
  <c r="T52" i="12"/>
  <c r="W50" i="16"/>
  <c r="I54" i="15"/>
  <c r="U54" i="15"/>
  <c r="O54" i="15"/>
  <c r="Y53" i="12"/>
  <c r="K50" i="14"/>
  <c r="AF53" i="12"/>
  <c r="G51" i="15"/>
  <c r="S53" i="13"/>
  <c r="S54" i="15"/>
  <c r="X54" i="15"/>
  <c r="F38" i="15"/>
  <c r="AJ51" i="15"/>
  <c r="AK53" i="12"/>
  <c r="Q54" i="13"/>
  <c r="Q53" i="13"/>
  <c r="AI54" i="15"/>
  <c r="Y54" i="15"/>
  <c r="N53" i="13"/>
  <c r="S54" i="18"/>
  <c r="S51" i="15"/>
  <c r="R53" i="15"/>
  <c r="K53" i="13"/>
  <c r="F54" i="18"/>
  <c r="Z50" i="14"/>
  <c r="Y56" i="16"/>
  <c r="AF54" i="18"/>
  <c r="L56" i="16"/>
  <c r="AL50" i="16"/>
  <c r="E53" i="15"/>
  <c r="N50" i="14"/>
  <c r="R50" i="16"/>
  <c r="I56" i="16"/>
  <c r="AI50" i="16"/>
  <c r="E56" i="16"/>
  <c r="AJ53" i="12"/>
  <c r="G56" i="16"/>
  <c r="Q50" i="16"/>
  <c r="I53" i="15"/>
  <c r="O54" i="18"/>
  <c r="AC53" i="12"/>
  <c r="K56" i="13"/>
  <c r="W52" i="18"/>
  <c r="G36" i="16"/>
  <c r="G32" i="16"/>
  <c r="G34" i="16"/>
  <c r="G38" i="16"/>
  <c r="G33" i="16"/>
  <c r="G37" i="16"/>
  <c r="G35" i="16"/>
  <c r="V53" i="13"/>
  <c r="AE54" i="15"/>
  <c r="AF51" i="15"/>
  <c r="AB54" i="18"/>
  <c r="AB53" i="15"/>
  <c r="Q53" i="15"/>
  <c r="G54" i="15"/>
  <c r="P53" i="15"/>
  <c r="K54" i="18"/>
  <c r="AE53" i="12"/>
  <c r="AH53" i="13"/>
  <c r="G53" i="12"/>
  <c r="V56" i="16"/>
  <c r="O53" i="15"/>
  <c r="AK51" i="15"/>
  <c r="F52" i="18"/>
  <c r="G54" i="18"/>
  <c r="AA54" i="18"/>
  <c r="AF56" i="16"/>
  <c r="AG50" i="13"/>
  <c r="O50" i="16"/>
  <c r="X56" i="13"/>
  <c r="AL52" i="13"/>
  <c r="J56" i="16"/>
  <c r="H52" i="13"/>
  <c r="W50" i="13"/>
  <c r="X50" i="13"/>
  <c r="G52" i="18"/>
  <c r="M50" i="13"/>
  <c r="F53" i="15"/>
  <c r="AA51" i="14"/>
  <c r="AH55" i="18"/>
  <c r="AH55" i="15"/>
  <c r="M55" i="15"/>
  <c r="S52" i="18"/>
  <c r="AG81" i="13"/>
  <c r="R81" i="13"/>
  <c r="O81" i="13"/>
  <c r="AA81" i="13"/>
  <c r="AB81" i="13"/>
  <c r="N81" i="13"/>
  <c r="I81" i="13"/>
  <c r="H81" i="13"/>
  <c r="AB83" i="17"/>
  <c r="AD81" i="13"/>
  <c r="AK81" i="13"/>
  <c r="T81" i="13"/>
  <c r="K83" i="17"/>
  <c r="L81" i="13"/>
  <c r="V81" i="13"/>
  <c r="AH81" i="13"/>
  <c r="Z81" i="13"/>
  <c r="J81" i="13"/>
  <c r="Q81" i="13"/>
  <c r="AL81" i="13"/>
  <c r="X81" i="13"/>
  <c r="AI81" i="13"/>
  <c r="E81" i="13"/>
  <c r="AJ81" i="13"/>
  <c r="P81" i="13"/>
  <c r="F81" i="13"/>
  <c r="W81" i="13"/>
  <c r="AC81" i="13"/>
  <c r="Y81" i="13"/>
  <c r="K81" i="13"/>
  <c r="U81" i="13"/>
  <c r="G81" i="13"/>
  <c r="X83" i="17"/>
  <c r="AE83" i="17"/>
  <c r="AF83" i="17"/>
  <c r="J83" i="17"/>
  <c r="AL83" i="17"/>
  <c r="L83" i="17"/>
  <c r="H83" i="17"/>
  <c r="U83" i="17"/>
  <c r="AC83" i="17"/>
  <c r="AJ83" i="17"/>
  <c r="N55" i="12"/>
  <c r="I55" i="12"/>
  <c r="AJ55" i="12"/>
  <c r="E55" i="12"/>
  <c r="AA55" i="12"/>
  <c r="AB55" i="12"/>
  <c r="AC53" i="16"/>
  <c r="E50" i="14"/>
  <c r="R54" i="17"/>
  <c r="E21" i="10" a="1"/>
  <c r="N21" i="10"/>
  <c r="Q52" i="13"/>
  <c r="AF50" i="14"/>
  <c r="F55" i="12"/>
  <c r="N52" i="13"/>
  <c r="Z53" i="16"/>
  <c r="T54" i="16"/>
  <c r="W55" i="12"/>
  <c r="U55" i="12"/>
  <c r="J55" i="12"/>
  <c r="AC55" i="12"/>
  <c r="O53" i="16"/>
  <c r="L50" i="14"/>
  <c r="N53" i="16"/>
  <c r="U55" i="15"/>
  <c r="AD55" i="18"/>
  <c r="G54" i="17"/>
  <c r="AB55" i="18"/>
  <c r="AJ52" i="13"/>
  <c r="P52" i="15"/>
  <c r="AF52" i="13"/>
  <c r="F54" i="16"/>
  <c r="AF54" i="13"/>
  <c r="K52" i="17"/>
  <c r="AF52" i="17"/>
  <c r="T52" i="15"/>
  <c r="O55" i="15"/>
  <c r="G51" i="13"/>
  <c r="X51" i="13"/>
  <c r="AA51" i="13"/>
  <c r="S51" i="13"/>
  <c r="AL51" i="13"/>
  <c r="Y51" i="13"/>
  <c r="E51" i="13"/>
  <c r="F51" i="13"/>
  <c r="V51" i="13"/>
  <c r="N51" i="13"/>
  <c r="U51" i="13"/>
  <c r="AC51" i="13"/>
  <c r="AG51" i="13"/>
  <c r="P51" i="13"/>
  <c r="W51" i="13"/>
  <c r="Z51" i="13"/>
  <c r="L51" i="13"/>
  <c r="AJ54" i="18"/>
  <c r="Q54" i="18"/>
  <c r="W54" i="18"/>
  <c r="Y54" i="18"/>
  <c r="T54" i="18"/>
  <c r="H54" i="18"/>
  <c r="E54" i="18"/>
  <c r="N54" i="18"/>
  <c r="AG54" i="18"/>
  <c r="M54" i="18"/>
  <c r="Z54" i="16"/>
  <c r="K52" i="15"/>
  <c r="W52" i="15"/>
  <c r="S81" i="13"/>
  <c r="AE81" i="13"/>
  <c r="AF81" i="13"/>
  <c r="G55" i="18"/>
  <c r="AA54" i="17"/>
  <c r="N54" i="17"/>
  <c r="X54" i="17"/>
  <c r="X53" i="16"/>
  <c r="S53" i="16"/>
  <c r="Y53" i="16"/>
  <c r="T53" i="16"/>
  <c r="G50" i="14"/>
  <c r="AJ50" i="14"/>
  <c r="W50" i="14"/>
  <c r="X50" i="14"/>
  <c r="R50" i="14"/>
  <c r="U50" i="14"/>
  <c r="AD50" i="14"/>
  <c r="O50" i="14"/>
  <c r="P50" i="14"/>
  <c r="AE50" i="14"/>
  <c r="AK50" i="14"/>
  <c r="AH50" i="14"/>
  <c r="F50" i="14"/>
  <c r="AJ53" i="16"/>
  <c r="AG53" i="16"/>
  <c r="AA53" i="16"/>
  <c r="AB53" i="16"/>
  <c r="L52" i="15"/>
  <c r="O55" i="18"/>
  <c r="AL55" i="12"/>
  <c r="AC55" i="18"/>
  <c r="AD54" i="13"/>
  <c r="Z54" i="17"/>
  <c r="O52" i="15"/>
  <c r="F54" i="13"/>
  <c r="AD52" i="15"/>
  <c r="Y51" i="16"/>
  <c r="L51" i="16"/>
  <c r="AK51" i="16"/>
  <c r="K51" i="16"/>
  <c r="AH51" i="16"/>
  <c r="Z51" i="16"/>
  <c r="I51" i="16"/>
  <c r="N51" i="16"/>
  <c r="J51" i="16"/>
  <c r="T51" i="16"/>
  <c r="H50" i="14"/>
  <c r="H53" i="16"/>
  <c r="K53" i="16"/>
  <c r="AI54" i="16"/>
  <c r="P53" i="16"/>
  <c r="AH53" i="16"/>
  <c r="Y55" i="12"/>
  <c r="H55" i="18"/>
  <c r="AF51" i="16"/>
  <c r="I53" i="16"/>
  <c r="W54" i="13"/>
  <c r="M54" i="13"/>
  <c r="V55" i="12"/>
  <c r="U53" i="16"/>
  <c r="O51" i="16"/>
  <c r="P55" i="12"/>
  <c r="AI53" i="16"/>
  <c r="M52" i="17"/>
  <c r="AC54" i="18"/>
  <c r="O55" i="12"/>
  <c r="AB50" i="14"/>
  <c r="AB21" i="14"/>
  <c r="AH54" i="18"/>
  <c r="AC51" i="16"/>
  <c r="AG55" i="15"/>
  <c r="AJ51" i="16"/>
  <c r="Z54" i="13"/>
  <c r="AE52" i="15"/>
  <c r="G52" i="15"/>
  <c r="I55" i="18"/>
  <c r="U54" i="18"/>
  <c r="Y54" i="17"/>
  <c r="AH54" i="13"/>
  <c r="AA55" i="15"/>
  <c r="AH52" i="15"/>
  <c r="AA52" i="13"/>
  <c r="AC54" i="17"/>
  <c r="S52" i="13"/>
  <c r="AF53" i="16"/>
  <c r="G55" i="12"/>
  <c r="F52" i="13"/>
  <c r="AD54" i="17"/>
  <c r="Y50" i="14"/>
  <c r="AE53" i="16"/>
  <c r="V50" i="14"/>
  <c r="AE52" i="13"/>
  <c r="G53" i="16"/>
  <c r="M55" i="12"/>
  <c r="M52" i="13"/>
  <c r="T52" i="13"/>
  <c r="U52" i="15"/>
  <c r="AJ55" i="18"/>
  <c r="J52" i="13"/>
  <c r="R54" i="13"/>
  <c r="O54" i="13"/>
  <c r="J54" i="13"/>
  <c r="H54" i="13"/>
  <c r="AC54" i="13"/>
  <c r="AK54" i="13"/>
  <c r="E54" i="13"/>
  <c r="G54" i="13"/>
  <c r="U54" i="13"/>
  <c r="N54" i="13"/>
  <c r="K54" i="13"/>
  <c r="X54" i="13"/>
  <c r="AG54" i="13"/>
  <c r="AL54" i="13"/>
  <c r="R54" i="16"/>
  <c r="Q54" i="16"/>
  <c r="S54" i="16"/>
  <c r="AE54" i="16"/>
  <c r="O54" i="16"/>
  <c r="AK54" i="16"/>
  <c r="P54" i="16"/>
  <c r="U54" i="16"/>
  <c r="M54" i="16"/>
  <c r="J54" i="16"/>
  <c r="E54" i="16"/>
  <c r="V54" i="16"/>
  <c r="H54" i="16"/>
  <c r="AG54" i="16"/>
  <c r="AL54" i="16"/>
  <c r="X54" i="16"/>
  <c r="AF54" i="16"/>
  <c r="J50" i="14"/>
  <c r="AI52" i="13"/>
  <c r="AG55" i="12"/>
  <c r="AG52" i="13"/>
  <c r="AA54" i="13"/>
  <c r="E26" i="10" a="1"/>
  <c r="G26" i="10"/>
  <c r="R53" i="16"/>
  <c r="I50" i="14"/>
  <c r="Y52" i="13"/>
  <c r="S55" i="18"/>
  <c r="K55" i="12"/>
  <c r="V55" i="18"/>
  <c r="AC50" i="14"/>
  <c r="AL53" i="16"/>
  <c r="X55" i="12"/>
  <c r="V53" i="16"/>
  <c r="AG51" i="16"/>
  <c r="AD51" i="16"/>
  <c r="H55" i="12"/>
  <c r="AH55" i="12"/>
  <c r="K54" i="16"/>
  <c r="AA54" i="16"/>
  <c r="L54" i="16"/>
  <c r="S55" i="12"/>
  <c r="AB54" i="16"/>
  <c r="Z55" i="12"/>
  <c r="V54" i="13"/>
  <c r="AL50" i="14"/>
  <c r="G51" i="16"/>
  <c r="J52" i="15"/>
  <c r="P54" i="13"/>
  <c r="F51" i="16"/>
  <c r="M51" i="16"/>
  <c r="AB52" i="15"/>
  <c r="AG52" i="15"/>
  <c r="AL51" i="17"/>
  <c r="AC51" i="17"/>
  <c r="P51" i="17"/>
  <c r="U51" i="17"/>
  <c r="F51" i="17"/>
  <c r="AH51" i="17"/>
  <c r="AE51" i="17"/>
  <c r="AB51" i="17"/>
  <c r="G51" i="17"/>
  <c r="AI51" i="17"/>
  <c r="L54" i="12"/>
  <c r="G54" i="12"/>
  <c r="O54" i="12"/>
  <c r="Z54" i="12"/>
  <c r="U54" i="12"/>
  <c r="AF54" i="12"/>
  <c r="AJ54" i="12"/>
  <c r="I54" i="17"/>
  <c r="M54" i="17"/>
  <c r="Q54" i="17"/>
  <c r="E54" i="17"/>
  <c r="L54" i="17"/>
  <c r="F54" i="17"/>
  <c r="AG54" i="17"/>
  <c r="AI54" i="17"/>
  <c r="AB54" i="17"/>
  <c r="AH54" i="17"/>
  <c r="AK54" i="17"/>
  <c r="AJ54" i="17"/>
  <c r="H54" i="17"/>
  <c r="K54" i="17"/>
  <c r="P54" i="17"/>
  <c r="AF54" i="17"/>
  <c r="V54" i="17"/>
  <c r="AE54" i="17"/>
  <c r="W54" i="17"/>
  <c r="O54" i="17"/>
  <c r="T54" i="17"/>
  <c r="G36" i="15"/>
  <c r="G37" i="15"/>
  <c r="G38" i="15"/>
  <c r="V52" i="13"/>
  <c r="O52" i="13"/>
  <c r="AK52" i="13"/>
  <c r="U52" i="13"/>
  <c r="AH52" i="13"/>
  <c r="W52" i="13"/>
  <c r="L52" i="13"/>
  <c r="R52" i="13"/>
  <c r="G52" i="13"/>
  <c r="K52" i="13"/>
  <c r="I52" i="13"/>
  <c r="X52" i="13"/>
  <c r="H52" i="15"/>
  <c r="Y52" i="15"/>
  <c r="F52" i="15"/>
  <c r="Z52" i="15"/>
  <c r="AI52" i="15"/>
  <c r="N52" i="15"/>
  <c r="AJ52" i="15"/>
  <c r="AF52" i="15"/>
  <c r="AL52" i="15"/>
  <c r="M52" i="15"/>
  <c r="AK52" i="15"/>
  <c r="X52" i="15"/>
  <c r="Q52" i="15"/>
  <c r="AA52" i="15"/>
  <c r="AC52" i="15"/>
  <c r="E52" i="15"/>
  <c r="K55" i="18"/>
  <c r="Q55" i="18"/>
  <c r="E55" i="18"/>
  <c r="X55" i="18"/>
  <c r="AF55" i="18"/>
  <c r="AK55" i="18"/>
  <c r="Y55" i="18"/>
  <c r="W55" i="18"/>
  <c r="Z55" i="18"/>
  <c r="F55" i="18"/>
  <c r="N55" i="18"/>
  <c r="T55" i="18"/>
  <c r="AL55" i="18"/>
  <c r="P55" i="18"/>
  <c r="J55" i="18"/>
  <c r="AG55" i="18"/>
  <c r="U55" i="18"/>
  <c r="AE55" i="18"/>
  <c r="N54" i="16"/>
  <c r="L55" i="12"/>
  <c r="AK55" i="12"/>
  <c r="AC52" i="13"/>
  <c r="V51" i="16"/>
  <c r="AG50" i="14"/>
  <c r="T55" i="12"/>
  <c r="Q55" i="12"/>
  <c r="AD53" i="16"/>
  <c r="J53" i="16"/>
  <c r="Q53" i="16"/>
  <c r="AE55" i="12"/>
  <c r="AK53" i="16"/>
  <c r="AD55" i="12"/>
  <c r="E51" i="16"/>
  <c r="AI51" i="16"/>
  <c r="U54" i="17"/>
  <c r="M50" i="14"/>
  <c r="L53" i="16"/>
  <c r="G35" i="15"/>
  <c r="S54" i="17"/>
  <c r="Y54" i="16"/>
  <c r="I54" i="16"/>
  <c r="L55" i="18"/>
  <c r="P52" i="13"/>
  <c r="AJ54" i="13"/>
  <c r="AC55" i="15"/>
  <c r="T55" i="15"/>
  <c r="AI55" i="15"/>
  <c r="H55" i="15"/>
  <c r="AF55" i="15"/>
  <c r="Q55" i="15"/>
  <c r="S55" i="15"/>
  <c r="K55" i="15"/>
  <c r="N55" i="15"/>
  <c r="V55" i="15"/>
  <c r="AK55" i="15"/>
  <c r="AD55" i="15"/>
  <c r="E55" i="15"/>
  <c r="G55" i="15"/>
  <c r="R55" i="15"/>
  <c r="AE55" i="15"/>
  <c r="AD52" i="13"/>
  <c r="E52" i="13"/>
  <c r="Y54" i="13"/>
  <c r="R50" i="13"/>
  <c r="E56" i="17"/>
  <c r="AJ56" i="17"/>
  <c r="AA56" i="17"/>
  <c r="AF56" i="17"/>
  <c r="Y56" i="17"/>
  <c r="K50" i="13"/>
  <c r="Q50" i="13"/>
  <c r="V50" i="13"/>
  <c r="AK50" i="13"/>
  <c r="AK53" i="15"/>
  <c r="W53" i="15"/>
  <c r="E50" i="13"/>
  <c r="T50" i="13"/>
  <c r="AC53" i="15"/>
  <c r="AC50" i="16"/>
  <c r="J50" i="16"/>
  <c r="AJ50" i="16"/>
  <c r="F50" i="16"/>
  <c r="Y50" i="16"/>
  <c r="M52" i="14"/>
  <c r="W52" i="14"/>
  <c r="AB50" i="16"/>
  <c r="F56" i="18"/>
  <c r="AH56" i="18"/>
  <c r="E56" i="18"/>
  <c r="H50" i="13"/>
  <c r="S56" i="15"/>
  <c r="Q56" i="15"/>
  <c r="V56" i="17"/>
  <c r="X56" i="17"/>
  <c r="N56" i="17"/>
  <c r="AJ50" i="15"/>
  <c r="O50" i="15"/>
  <c r="H56" i="17"/>
  <c r="AL53" i="15"/>
  <c r="AD53" i="15"/>
  <c r="AK56" i="15"/>
  <c r="R56" i="17"/>
  <c r="P52" i="14"/>
  <c r="AD50" i="13"/>
  <c r="AF56" i="15"/>
  <c r="Z52" i="14"/>
  <c r="O50" i="13"/>
  <c r="G56" i="17"/>
  <c r="P50" i="16"/>
  <c r="X53" i="15"/>
  <c r="F56" i="17"/>
  <c r="U56" i="17"/>
  <c r="AH50" i="13"/>
  <c r="I56" i="15"/>
  <c r="I53" i="13"/>
  <c r="H56" i="18"/>
  <c r="L56" i="15"/>
  <c r="E25" i="10" a="1"/>
  <c r="AF25" i="10"/>
  <c r="T56" i="17"/>
  <c r="I56" i="17"/>
  <c r="Z56" i="15"/>
  <c r="G50" i="13"/>
  <c r="F50" i="13"/>
  <c r="I50" i="13"/>
  <c r="Z50" i="13"/>
  <c r="L56" i="17"/>
  <c r="M56" i="15"/>
  <c r="AJ53" i="14"/>
  <c r="T52" i="14"/>
  <c r="O52" i="14"/>
  <c r="L50" i="13"/>
  <c r="T83" i="17"/>
  <c r="N83" i="17"/>
  <c r="G83" i="17"/>
  <c r="O83" i="17"/>
  <c r="R83" i="17"/>
  <c r="Q83" i="17"/>
  <c r="E83" i="17"/>
  <c r="W83" i="17"/>
  <c r="Y83" i="17"/>
  <c r="AI83" i="17"/>
  <c r="V83" i="17"/>
  <c r="AH83" i="17"/>
  <c r="S83" i="17"/>
  <c r="P83" i="17"/>
  <c r="AD83" i="17"/>
  <c r="I83" i="17"/>
  <c r="AG83" i="17"/>
  <c r="Z83" i="17"/>
  <c r="AA83" i="17"/>
  <c r="M83" i="17"/>
  <c r="F83" i="17"/>
  <c r="AC78" i="12"/>
  <c r="P78" i="12"/>
  <c r="X78" i="12"/>
  <c r="G78" i="12"/>
  <c r="M78" i="12"/>
  <c r="U78" i="12"/>
  <c r="Z78" i="12"/>
  <c r="R78" i="12"/>
  <c r="AG78" i="12"/>
  <c r="AD78" i="12"/>
  <c r="AE78" i="12"/>
  <c r="O78" i="12"/>
  <c r="S78" i="12"/>
  <c r="AF78" i="12"/>
  <c r="W78" i="12"/>
  <c r="K78" i="12"/>
  <c r="AH78" i="12"/>
  <c r="AB78" i="12"/>
  <c r="E78" i="12"/>
  <c r="N78" i="12"/>
  <c r="F78" i="12"/>
  <c r="H78" i="12"/>
  <c r="I78" i="12"/>
  <c r="T78" i="12"/>
  <c r="L78" i="12"/>
  <c r="Q78" i="12"/>
  <c r="Y78" i="12"/>
  <c r="V78" i="12"/>
  <c r="AJ78" i="12"/>
  <c r="AK78" i="12"/>
  <c r="AA78" i="12"/>
  <c r="AI78" i="12"/>
  <c r="J78" i="12"/>
  <c r="X79" i="17"/>
  <c r="AC79" i="17"/>
  <c r="R79" i="17"/>
  <c r="P79" i="17"/>
  <c r="AE79" i="17"/>
  <c r="K79" i="17"/>
  <c r="L79" i="17"/>
  <c r="G79" i="17"/>
  <c r="W79" i="17"/>
  <c r="O79" i="17"/>
  <c r="E79" i="17"/>
  <c r="Q79" i="17"/>
  <c r="N79" i="17"/>
  <c r="AD79" i="17"/>
  <c r="AK79" i="17"/>
  <c r="U79" i="17"/>
  <c r="T79" i="17"/>
  <c r="AG79" i="17"/>
  <c r="V79" i="17"/>
  <c r="M79" i="17"/>
  <c r="AB79" i="17"/>
  <c r="AF79" i="17"/>
  <c r="AL79" i="17"/>
  <c r="AA79" i="17"/>
  <c r="AJ79" i="17"/>
  <c r="AH79" i="17"/>
  <c r="S79" i="17"/>
  <c r="Y79" i="17"/>
  <c r="F79" i="17"/>
  <c r="AI79" i="17"/>
  <c r="H79" i="17"/>
  <c r="J79" i="17"/>
  <c r="Z79" i="17"/>
  <c r="Z77" i="18"/>
  <c r="AC77" i="18"/>
  <c r="AF77" i="18"/>
  <c r="W77" i="18"/>
  <c r="AL77" i="18"/>
  <c r="AL77" i="17"/>
  <c r="H77" i="17"/>
  <c r="AC77" i="17"/>
  <c r="Y77" i="17"/>
  <c r="W77" i="17"/>
  <c r="AA77" i="17"/>
  <c r="G77" i="17"/>
  <c r="AI77" i="17"/>
  <c r="U77" i="17"/>
  <c r="Q77" i="17"/>
  <c r="M77" i="17"/>
  <c r="AK77" i="17"/>
  <c r="Z77" i="17"/>
  <c r="F77" i="17"/>
  <c r="N77" i="17"/>
  <c r="AG77" i="17"/>
  <c r="J77" i="17"/>
  <c r="E77" i="17"/>
  <c r="V77" i="17"/>
  <c r="R77" i="17"/>
  <c r="AJ77" i="17"/>
  <c r="AE77" i="17"/>
  <c r="AB77" i="17"/>
  <c r="K77" i="17"/>
  <c r="AD77" i="17"/>
  <c r="O77" i="17"/>
  <c r="P77" i="17"/>
  <c r="L77" i="17"/>
  <c r="X77" i="17"/>
  <c r="T77" i="17"/>
  <c r="I77" i="17"/>
  <c r="AH77" i="17"/>
  <c r="AF77" i="17"/>
  <c r="J78" i="13"/>
  <c r="N78" i="13"/>
  <c r="E78" i="13"/>
  <c r="Q78" i="13"/>
  <c r="Z78" i="13"/>
  <c r="AE78" i="13"/>
  <c r="V78" i="13"/>
  <c r="AF78" i="13"/>
  <c r="X78" i="13"/>
  <c r="F78" i="13"/>
  <c r="AC78" i="13"/>
  <c r="L78" i="13"/>
  <c r="AL78" i="13"/>
  <c r="I78" i="13"/>
  <c r="AK78" i="13"/>
  <c r="R78" i="13"/>
  <c r="T78" i="13"/>
  <c r="AB78" i="13"/>
  <c r="Y78" i="13"/>
  <c r="AI78" i="13"/>
  <c r="S78" i="13"/>
  <c r="H78" i="13"/>
  <c r="AD78" i="13"/>
  <c r="K78" i="13"/>
  <c r="M78" i="13"/>
  <c r="AH78" i="13"/>
  <c r="G78" i="13"/>
  <c r="O78" i="13"/>
  <c r="AJ78" i="13"/>
  <c r="AG78" i="13"/>
  <c r="U78" i="13"/>
  <c r="AA78" i="13"/>
  <c r="W78" i="13"/>
  <c r="AI77" i="18"/>
  <c r="J77" i="18"/>
  <c r="M77" i="18"/>
  <c r="P77" i="18"/>
  <c r="K77" i="18"/>
  <c r="S77" i="18"/>
  <c r="U77" i="18"/>
  <c r="F77" i="18"/>
  <c r="L77" i="18"/>
  <c r="AK77" i="18"/>
  <c r="H77" i="18"/>
  <c r="T77" i="18"/>
  <c r="Q77" i="18"/>
  <c r="E77" i="18"/>
  <c r="AE77" i="18"/>
  <c r="V77" i="18"/>
  <c r="G77" i="18"/>
  <c r="X77" i="18"/>
  <c r="AG77" i="18"/>
  <c r="AB77" i="18"/>
  <c r="AJ77" i="18"/>
  <c r="R77" i="18"/>
  <c r="AD77" i="18"/>
  <c r="I77" i="18"/>
  <c r="O77" i="18"/>
  <c r="Y77" i="18"/>
  <c r="AH77" i="18"/>
  <c r="AA77" i="18"/>
  <c r="N83" i="15"/>
  <c r="AL83" i="15"/>
  <c r="Z83" i="15"/>
  <c r="W83" i="15"/>
  <c r="S83" i="15"/>
  <c r="I83" i="15"/>
  <c r="AB83" i="15"/>
  <c r="AD83" i="15"/>
  <c r="G83" i="15"/>
  <c r="X83" i="15"/>
  <c r="P83" i="15"/>
  <c r="M83" i="15"/>
  <c r="AH83" i="15"/>
  <c r="U83" i="15"/>
  <c r="T83" i="15"/>
  <c r="J83" i="15"/>
  <c r="E83" i="15"/>
  <c r="Q83" i="15"/>
  <c r="V83" i="15"/>
  <c r="AJ83" i="15"/>
  <c r="AI83" i="15"/>
  <c r="H83" i="15"/>
  <c r="F83" i="15"/>
  <c r="R83" i="15"/>
  <c r="K83" i="15"/>
  <c r="AK83" i="15"/>
  <c r="AA83" i="15"/>
  <c r="AF83" i="15"/>
  <c r="O83" i="15"/>
  <c r="Y83" i="15"/>
  <c r="AG83" i="15"/>
  <c r="AE83" i="15"/>
  <c r="AC83" i="15"/>
  <c r="X82" i="14"/>
  <c r="AL82" i="14"/>
  <c r="E82" i="14"/>
  <c r="AJ82" i="14"/>
  <c r="X78" i="18"/>
  <c r="AD78" i="18"/>
  <c r="Q78" i="18"/>
  <c r="AG78" i="18"/>
  <c r="F80" i="15"/>
  <c r="S80" i="15"/>
  <c r="L80" i="15"/>
  <c r="AG80" i="15"/>
  <c r="G80" i="15"/>
  <c r="I80" i="15"/>
  <c r="AB80" i="15"/>
  <c r="N80" i="15"/>
  <c r="K80" i="15"/>
  <c r="H80" i="15"/>
  <c r="M80" i="15"/>
  <c r="T80" i="15"/>
  <c r="J80" i="15"/>
  <c r="AA80" i="15"/>
  <c r="U80" i="15"/>
  <c r="Q80" i="15"/>
  <c r="AE80" i="15"/>
  <c r="AD80" i="15"/>
  <c r="AL80" i="15"/>
  <c r="R80" i="15"/>
  <c r="O80" i="15"/>
  <c r="X80" i="15"/>
  <c r="V80" i="15"/>
  <c r="AH80" i="15"/>
  <c r="AC80" i="15"/>
  <c r="AF80" i="15"/>
  <c r="AK80" i="15"/>
  <c r="W80" i="15"/>
  <c r="AJ80" i="15"/>
  <c r="Y80" i="15"/>
  <c r="AI80" i="15"/>
  <c r="P80" i="15"/>
  <c r="Z80" i="15"/>
  <c r="U82" i="14"/>
  <c r="Z82" i="14"/>
  <c r="Q82" i="14"/>
  <c r="K82" i="14"/>
  <c r="T82" i="14"/>
  <c r="V82" i="14"/>
  <c r="I82" i="14"/>
  <c r="S82" i="14"/>
  <c r="AK82" i="14"/>
  <c r="W82" i="14"/>
  <c r="P82" i="14"/>
  <c r="F82" i="14"/>
  <c r="Y82" i="14"/>
  <c r="L82" i="14"/>
  <c r="AE82" i="14"/>
  <c r="AF82" i="14"/>
  <c r="H82" i="14"/>
  <c r="AB82" i="14"/>
  <c r="AH82" i="14"/>
  <c r="N82" i="14"/>
  <c r="G82" i="14"/>
  <c r="AC82" i="14"/>
  <c r="J82" i="14"/>
  <c r="AD82" i="14"/>
  <c r="R82" i="14"/>
  <c r="M82" i="14"/>
  <c r="AG82" i="14"/>
  <c r="AI82" i="14"/>
  <c r="AA82" i="14"/>
  <c r="AF78" i="18"/>
  <c r="N78" i="18"/>
  <c r="I78" i="18"/>
  <c r="S78" i="18"/>
  <c r="P78" i="18"/>
  <c r="W78" i="18"/>
  <c r="O78" i="18"/>
  <c r="AJ78" i="18"/>
  <c r="AA78" i="18"/>
  <c r="AH78" i="18"/>
  <c r="K78" i="18"/>
  <c r="AK78" i="18"/>
  <c r="U78" i="18"/>
  <c r="AB78" i="18"/>
  <c r="R78" i="18"/>
  <c r="AI78" i="18"/>
  <c r="V78" i="18"/>
  <c r="M78" i="18"/>
  <c r="AL78" i="18"/>
  <c r="T78" i="18"/>
  <c r="AE78" i="18"/>
  <c r="Z78" i="18"/>
  <c r="AC78" i="18"/>
  <c r="F78" i="18"/>
  <c r="Y78" i="18"/>
  <c r="E78" i="18"/>
  <c r="G78" i="18"/>
  <c r="L78" i="18"/>
  <c r="H78" i="18"/>
  <c r="K77" i="16"/>
  <c r="AI77" i="16"/>
  <c r="R77" i="16"/>
  <c r="Y77" i="16"/>
  <c r="I77" i="16"/>
  <c r="S77" i="16"/>
  <c r="AJ77" i="16"/>
  <c r="Q77" i="16"/>
  <c r="G77" i="16"/>
  <c r="AA77" i="16"/>
  <c r="J77" i="16"/>
  <c r="Z77" i="16"/>
  <c r="AE77" i="16"/>
  <c r="O77" i="16"/>
  <c r="F77" i="16"/>
  <c r="N77" i="16"/>
  <c r="T77" i="16"/>
  <c r="H77" i="16"/>
  <c r="V77" i="16"/>
  <c r="P77" i="16"/>
  <c r="E77" i="16"/>
  <c r="AC77" i="16"/>
  <c r="M77" i="16"/>
  <c r="AF77" i="16"/>
  <c r="AL77" i="16"/>
  <c r="AH77" i="16"/>
  <c r="X77" i="16"/>
  <c r="AG77" i="16"/>
  <c r="W77" i="16"/>
  <c r="L77" i="16"/>
  <c r="AD77" i="16"/>
  <c r="AB77" i="16"/>
  <c r="U77" i="16"/>
  <c r="S79" i="12"/>
  <c r="V79" i="12"/>
  <c r="Y82" i="13"/>
  <c r="AA78" i="15"/>
  <c r="AF82" i="13"/>
  <c r="P78" i="15"/>
  <c r="N78" i="15"/>
  <c r="AH82" i="13"/>
  <c r="AC78" i="15"/>
  <c r="W82" i="13"/>
  <c r="N82" i="13"/>
  <c r="U78" i="15"/>
  <c r="K78" i="15"/>
  <c r="P82" i="13"/>
  <c r="AC82" i="13"/>
  <c r="F78" i="15"/>
  <c r="M82" i="13"/>
  <c r="Z78" i="15"/>
  <c r="AA82" i="13"/>
  <c r="AE78" i="15"/>
  <c r="S78" i="15"/>
  <c r="AG78" i="15"/>
  <c r="O78" i="15"/>
  <c r="L82" i="13"/>
  <c r="AE82" i="13"/>
  <c r="O82" i="13"/>
  <c r="X78" i="15"/>
  <c r="L78" i="15"/>
  <c r="AB78" i="15"/>
  <c r="AH78" i="15"/>
  <c r="S82" i="13"/>
  <c r="H82" i="13"/>
  <c r="AI82" i="13"/>
  <c r="G78" i="15"/>
  <c r="I78" i="15"/>
  <c r="AD78" i="15"/>
  <c r="R78" i="15"/>
  <c r="Y78" i="15"/>
  <c r="G82" i="13"/>
  <c r="I82" i="13"/>
  <c r="AB82" i="13"/>
  <c r="T78" i="15"/>
  <c r="V78" i="15"/>
  <c r="AI78" i="15"/>
  <c r="W78" i="15"/>
  <c r="V82" i="13"/>
  <c r="K82" i="13"/>
  <c r="AD82" i="13"/>
  <c r="AK82" i="13"/>
  <c r="AJ82" i="13"/>
  <c r="J78" i="15"/>
  <c r="Q78" i="15"/>
  <c r="AK78" i="15"/>
  <c r="AL78" i="15"/>
  <c r="J82" i="13"/>
  <c r="R82" i="13"/>
  <c r="Z82" i="13"/>
  <c r="Q82" i="13"/>
  <c r="AG82" i="13"/>
  <c r="H78" i="15"/>
  <c r="M78" i="15"/>
  <c r="AJ78" i="15"/>
  <c r="AF78" i="15"/>
  <c r="X82" i="13"/>
  <c r="AL82" i="13"/>
  <c r="T82" i="13"/>
  <c r="E82" i="13"/>
  <c r="F82" i="13"/>
  <c r="AF81" i="16"/>
  <c r="V81" i="16"/>
  <c r="AC81" i="16"/>
  <c r="AI81" i="16"/>
  <c r="O81" i="16"/>
  <c r="R81" i="16"/>
  <c r="AK81" i="16"/>
  <c r="Z81" i="16"/>
  <c r="AD81" i="16"/>
  <c r="H81" i="16"/>
  <c r="AA81" i="16"/>
  <c r="AE81" i="16"/>
  <c r="I81" i="16"/>
  <c r="E81" i="16"/>
  <c r="N81" i="16"/>
  <c r="T81" i="16"/>
  <c r="AL81" i="16"/>
  <c r="M81" i="16"/>
  <c r="U81" i="16"/>
  <c r="W81" i="16"/>
  <c r="K81" i="16"/>
  <c r="X81" i="16"/>
  <c r="Y81" i="16"/>
  <c r="AH81" i="16"/>
  <c r="AJ81" i="16"/>
  <c r="Q81" i="16"/>
  <c r="AG81" i="16"/>
  <c r="F81" i="16"/>
  <c r="S81" i="16"/>
  <c r="G81" i="16"/>
  <c r="J81" i="16"/>
  <c r="AB81" i="16"/>
  <c r="P81" i="16"/>
  <c r="K79" i="12"/>
  <c r="M79" i="12"/>
  <c r="AH79" i="12"/>
  <c r="U79" i="12"/>
  <c r="I79" i="12"/>
  <c r="Y79" i="12"/>
  <c r="AJ79" i="12"/>
  <c r="AC79" i="12"/>
  <c r="N79" i="12"/>
  <c r="G79" i="12"/>
  <c r="Z79" i="12"/>
  <c r="AG79" i="12"/>
  <c r="F79" i="12"/>
  <c r="J79" i="12"/>
  <c r="AF79" i="12"/>
  <c r="AE81" i="17"/>
  <c r="AL79" i="12"/>
  <c r="L79" i="12"/>
  <c r="AK79" i="12"/>
  <c r="E79" i="12"/>
  <c r="H79" i="12"/>
  <c r="T79" i="12"/>
  <c r="Q79" i="12"/>
  <c r="AI79" i="12"/>
  <c r="W79" i="12"/>
  <c r="R79" i="12"/>
  <c r="AE79" i="12"/>
  <c r="X79" i="12"/>
  <c r="O79" i="12"/>
  <c r="AA79" i="12"/>
  <c r="AB79" i="12"/>
  <c r="AD79" i="12"/>
  <c r="Q81" i="15"/>
  <c r="AB77" i="12"/>
  <c r="AE79" i="16"/>
  <c r="AF81" i="15"/>
  <c r="H81" i="15"/>
  <c r="AJ77" i="12"/>
  <c r="AD81" i="15"/>
  <c r="P77" i="12"/>
  <c r="I81" i="15"/>
  <c r="E81" i="15"/>
  <c r="U77" i="12"/>
  <c r="AC83" i="13"/>
  <c r="W79" i="16"/>
  <c r="X83" i="13"/>
  <c r="U79" i="16"/>
  <c r="F83" i="13"/>
  <c r="L79" i="16"/>
  <c r="AB79" i="16"/>
  <c r="V83" i="13"/>
  <c r="Z81" i="15"/>
  <c r="AC81" i="15"/>
  <c r="L81" i="15"/>
  <c r="X81" i="15"/>
  <c r="AC77" i="12"/>
  <c r="W77" i="12"/>
  <c r="AK77" i="12"/>
  <c r="N77" i="12"/>
  <c r="S81" i="15"/>
  <c r="AB81" i="15"/>
  <c r="F81" i="15"/>
  <c r="AL81" i="15"/>
  <c r="G77" i="12"/>
  <c r="AF77" i="12"/>
  <c r="J77" i="12"/>
  <c r="R77" i="12"/>
  <c r="AJ81" i="15"/>
  <c r="R81" i="15"/>
  <c r="AG81" i="15"/>
  <c r="K77" i="12"/>
  <c r="M77" i="12"/>
  <c r="AA77" i="12"/>
  <c r="F77" i="12"/>
  <c r="AI81" i="15"/>
  <c r="G81" i="15"/>
  <c r="J81" i="15"/>
  <c r="AE81" i="15"/>
  <c r="AD77" i="12"/>
  <c r="Y77" i="12"/>
  <c r="I77" i="12"/>
  <c r="V77" i="12"/>
  <c r="W81" i="15"/>
  <c r="AH81" i="15"/>
  <c r="N81" i="15"/>
  <c r="M81" i="15"/>
  <c r="AI77" i="12"/>
  <c r="Z77" i="12"/>
  <c r="S77" i="12"/>
  <c r="H77" i="12"/>
  <c r="U81" i="15"/>
  <c r="V81" i="15"/>
  <c r="P81" i="15"/>
  <c r="AA81" i="15"/>
  <c r="O77" i="12"/>
  <c r="T77" i="12"/>
  <c r="L77" i="12"/>
  <c r="Q77" i="12"/>
  <c r="AK81" i="15"/>
  <c r="Y81" i="15"/>
  <c r="O81" i="15"/>
  <c r="K81" i="15"/>
  <c r="AE77" i="12"/>
  <c r="E77" i="12"/>
  <c r="AH77" i="12"/>
  <c r="X77" i="12"/>
  <c r="AL77" i="12"/>
  <c r="AI83" i="13"/>
  <c r="L83" i="13"/>
  <c r="R83" i="13"/>
  <c r="H79" i="16"/>
  <c r="Y79" i="16"/>
  <c r="O79" i="16"/>
  <c r="AL79" i="16"/>
  <c r="R79" i="16"/>
  <c r="H83" i="13"/>
  <c r="S83" i="13"/>
  <c r="K83" i="13"/>
  <c r="J83" i="13"/>
  <c r="AK79" i="16"/>
  <c r="AC79" i="16"/>
  <c r="AJ79" i="16"/>
  <c r="X79" i="16"/>
  <c r="W83" i="13"/>
  <c r="Q83" i="13"/>
  <c r="E83" i="13"/>
  <c r="AH83" i="13"/>
  <c r="Z83" i="13"/>
  <c r="M83" i="13"/>
  <c r="F79" i="16"/>
  <c r="J79" i="16"/>
  <c r="I79" i="16"/>
  <c r="I83" i="13"/>
  <c r="AJ83" i="13"/>
  <c r="AA83" i="13"/>
  <c r="AE83" i="13"/>
  <c r="V79" i="16"/>
  <c r="P79" i="16"/>
  <c r="M79" i="16"/>
  <c r="T83" i="13"/>
  <c r="O83" i="13"/>
  <c r="AG83" i="13"/>
  <c r="AL83" i="13"/>
  <c r="Q79" i="16"/>
  <c r="Z79" i="16"/>
  <c r="AI79" i="16"/>
  <c r="AF79" i="16"/>
  <c r="E79" i="16"/>
  <c r="U83" i="13"/>
  <c r="T79" i="16"/>
  <c r="AD79" i="16"/>
  <c r="S79" i="16"/>
  <c r="N79" i="16"/>
  <c r="G83" i="13"/>
  <c r="N83" i="13"/>
  <c r="P83" i="13"/>
  <c r="AB83" i="13"/>
  <c r="AF83" i="13"/>
  <c r="AK83" i="13"/>
  <c r="AA79" i="16"/>
  <c r="K79" i="16"/>
  <c r="AG79" i="16"/>
  <c r="AH79" i="16"/>
  <c r="Y83" i="13"/>
  <c r="T80" i="17"/>
  <c r="Z80" i="17"/>
  <c r="AF80" i="17"/>
  <c r="AG80" i="17"/>
  <c r="AL80" i="17"/>
  <c r="O80" i="17"/>
  <c r="M80" i="17"/>
  <c r="AD80" i="17"/>
  <c r="I80" i="17"/>
  <c r="AE80" i="17"/>
  <c r="AB80" i="17"/>
  <c r="G80" i="17"/>
  <c r="AC80" i="17"/>
  <c r="AH80" i="17"/>
  <c r="E80" i="17"/>
  <c r="K80" i="17"/>
  <c r="L80" i="17"/>
  <c r="S80" i="17"/>
  <c r="R80" i="17"/>
  <c r="V80" i="17"/>
  <c r="Y80" i="17"/>
  <c r="W80" i="17"/>
  <c r="J80" i="17"/>
  <c r="F80" i="17"/>
  <c r="AI80" i="17"/>
  <c r="X80" i="17"/>
  <c r="AA80" i="17"/>
  <c r="Q80" i="17"/>
  <c r="N80" i="17"/>
  <c r="AJ80" i="17"/>
  <c r="H80" i="17"/>
  <c r="U80" i="17"/>
  <c r="AK80" i="17"/>
  <c r="T80" i="13"/>
  <c r="W80" i="13"/>
  <c r="N80" i="13"/>
  <c r="Q80" i="13"/>
  <c r="AC82" i="17"/>
  <c r="AF82" i="17"/>
  <c r="V82" i="17"/>
  <c r="K82" i="17"/>
  <c r="Q82" i="17"/>
  <c r="X82" i="17"/>
  <c r="R82" i="17"/>
  <c r="U82" i="17"/>
  <c r="I82" i="17"/>
  <c r="P82" i="17"/>
  <c r="AG82" i="17"/>
  <c r="E82" i="17"/>
  <c r="AL82" i="17"/>
  <c r="Z82" i="17"/>
  <c r="AA82" i="17"/>
  <c r="F82" i="17"/>
  <c r="AE82" i="17"/>
  <c r="AK82" i="17"/>
  <c r="L82" i="17"/>
  <c r="S82" i="17"/>
  <c r="AH82" i="17"/>
  <c r="AB82" i="17"/>
  <c r="W82" i="17"/>
  <c r="G82" i="17"/>
  <c r="N82" i="17"/>
  <c r="AI82" i="17"/>
  <c r="T82" i="17"/>
  <c r="Y82" i="17"/>
  <c r="J82" i="17"/>
  <c r="AJ82" i="17"/>
  <c r="M82" i="17"/>
  <c r="O82" i="17"/>
  <c r="H82" i="17"/>
  <c r="I79" i="15"/>
  <c r="AH79" i="15"/>
  <c r="AF83" i="12"/>
  <c r="I83" i="12"/>
  <c r="AC79" i="15"/>
  <c r="X83" i="12"/>
  <c r="W79" i="15"/>
  <c r="AH83" i="12"/>
  <c r="AG83" i="12"/>
  <c r="Y83" i="12"/>
  <c r="O83" i="12"/>
  <c r="R79" i="15"/>
  <c r="M79" i="15"/>
  <c r="G79" i="15"/>
  <c r="J83" i="12"/>
  <c r="U83" i="12"/>
  <c r="N79" i="15"/>
  <c r="AL79" i="15"/>
  <c r="AL83" i="12"/>
  <c r="AA83" i="12"/>
  <c r="I80" i="13"/>
  <c r="AK80" i="13"/>
  <c r="V80" i="13"/>
  <c r="AH80" i="13"/>
  <c r="AE80" i="13"/>
  <c r="AJ80" i="13"/>
  <c r="AA80" i="13"/>
  <c r="R80" i="13"/>
  <c r="AB80" i="13"/>
  <c r="AG80" i="13"/>
  <c r="F80" i="13"/>
  <c r="AC80" i="13"/>
  <c r="G80" i="13"/>
  <c r="P80" i="13"/>
  <c r="Z80" i="13"/>
  <c r="AF80" i="13"/>
  <c r="E80" i="13"/>
  <c r="H80" i="13"/>
  <c r="AD80" i="13"/>
  <c r="X80" i="13"/>
  <c r="Y80" i="13"/>
  <c r="S80" i="13"/>
  <c r="U80" i="13"/>
  <c r="K80" i="13"/>
  <c r="AL80" i="13"/>
  <c r="J80" i="13"/>
  <c r="M80" i="13"/>
  <c r="L80" i="13"/>
  <c r="AI80" i="13"/>
  <c r="AB83" i="12"/>
  <c r="AJ83" i="12"/>
  <c r="F83" i="12"/>
  <c r="L83" i="12"/>
  <c r="K79" i="15"/>
  <c r="Y79" i="15"/>
  <c r="O79" i="15"/>
  <c r="R83" i="12"/>
  <c r="Q83" i="12"/>
  <c r="W83" i="12"/>
  <c r="AD83" i="12"/>
  <c r="Q79" i="15"/>
  <c r="AD79" i="15"/>
  <c r="AJ79" i="15"/>
  <c r="J79" i="15"/>
  <c r="S79" i="15"/>
  <c r="M83" i="12"/>
  <c r="V83" i="12"/>
  <c r="AE83" i="12"/>
  <c r="AK83" i="12"/>
  <c r="P83" i="12"/>
  <c r="K83" i="12"/>
  <c r="AE79" i="15"/>
  <c r="AK79" i="15"/>
  <c r="E79" i="15"/>
  <c r="AG79" i="15"/>
  <c r="F79" i="15"/>
  <c r="X79" i="15"/>
  <c r="N83" i="12"/>
  <c r="G83" i="12"/>
  <c r="T83" i="12"/>
  <c r="S83" i="12"/>
  <c r="H79" i="15"/>
  <c r="AI79" i="15"/>
  <c r="AF79" i="15"/>
  <c r="L79" i="15"/>
  <c r="AB79" i="15"/>
  <c r="E83" i="12"/>
  <c r="Z83" i="12"/>
  <c r="AC83" i="12"/>
  <c r="H83" i="12"/>
  <c r="P79" i="15"/>
  <c r="U79" i="15"/>
  <c r="V79" i="15"/>
  <c r="AA79" i="15"/>
  <c r="Z79" i="15"/>
  <c r="AA81" i="14"/>
  <c r="Q81" i="17"/>
  <c r="AE81" i="14"/>
  <c r="T81" i="14"/>
  <c r="AB81" i="14"/>
  <c r="K81" i="14"/>
  <c r="AH81" i="17"/>
  <c r="T81" i="17"/>
  <c r="L81" i="17"/>
  <c r="M81" i="14"/>
  <c r="AD81" i="14"/>
  <c r="AJ81" i="14"/>
  <c r="W81" i="17"/>
  <c r="O81" i="17"/>
  <c r="V81" i="17"/>
  <c r="F81" i="14"/>
  <c r="Y81" i="14"/>
  <c r="AG81" i="14"/>
  <c r="AI81" i="14"/>
  <c r="F81" i="17"/>
  <c r="R81" i="17"/>
  <c r="E81" i="17"/>
  <c r="R81" i="14"/>
  <c r="X81" i="14"/>
  <c r="S81" i="14"/>
  <c r="AC81" i="14"/>
  <c r="L81" i="14"/>
  <c r="J81" i="17"/>
  <c r="Z81" i="14"/>
  <c r="P81" i="14"/>
  <c r="M81" i="17"/>
  <c r="G81" i="17"/>
  <c r="H81" i="14"/>
  <c r="W81" i="14"/>
  <c r="E81" i="14"/>
  <c r="G81" i="14"/>
  <c r="I81" i="17"/>
  <c r="U81" i="17"/>
  <c r="N81" i="17"/>
  <c r="AC81" i="17"/>
  <c r="AF81" i="17"/>
  <c r="AL81" i="14"/>
  <c r="AK81" i="14"/>
  <c r="I81" i="14"/>
  <c r="Q81" i="14"/>
  <c r="AL81" i="17"/>
  <c r="AK81" i="17"/>
  <c r="X81" i="17"/>
  <c r="H81" i="17"/>
  <c r="N81" i="14"/>
  <c r="U81" i="14"/>
  <c r="V81" i="14"/>
  <c r="S81" i="17"/>
  <c r="AB81" i="17"/>
  <c r="K81" i="17"/>
  <c r="Z81" i="17"/>
  <c r="AJ81" i="17"/>
  <c r="P81" i="17"/>
  <c r="J81" i="14"/>
  <c r="AF81" i="14"/>
  <c r="Y81" i="17"/>
  <c r="AA81" i="17"/>
  <c r="AG81" i="17"/>
  <c r="AH81" i="14"/>
  <c r="AI81" i="17"/>
  <c r="X79" i="13"/>
  <c r="AB79" i="13"/>
  <c r="T79" i="13"/>
  <c r="M79" i="13"/>
  <c r="K79" i="13"/>
  <c r="S79" i="13"/>
  <c r="O79" i="13"/>
  <c r="U79" i="13"/>
  <c r="AE79" i="13"/>
  <c r="R79" i="13"/>
  <c r="P79" i="13"/>
  <c r="J79" i="13"/>
  <c r="AC79" i="13"/>
  <c r="Y79" i="13"/>
  <c r="AI79" i="13"/>
  <c r="F79" i="13"/>
  <c r="AA79" i="13"/>
  <c r="AJ79" i="13"/>
  <c r="L79" i="13"/>
  <c r="AK79" i="13"/>
  <c r="I79" i="13"/>
  <c r="AF79" i="13"/>
  <c r="V79" i="13"/>
  <c r="N79" i="13"/>
  <c r="G79" i="13"/>
  <c r="AG79" i="13"/>
  <c r="Q79" i="13"/>
  <c r="AH79" i="13"/>
  <c r="H79" i="13"/>
  <c r="AD79" i="13"/>
  <c r="W79" i="13"/>
  <c r="E79" i="13"/>
  <c r="Z79" i="13"/>
  <c r="AC82" i="18"/>
  <c r="AB82" i="18"/>
  <c r="AL77" i="14"/>
  <c r="L77" i="14"/>
  <c r="Q77" i="14"/>
  <c r="AB77" i="14"/>
  <c r="J77" i="14"/>
  <c r="S77" i="14"/>
  <c r="V77" i="14"/>
  <c r="AI82" i="18"/>
  <c r="N77" i="14"/>
  <c r="G77" i="14"/>
  <c r="AH77" i="14"/>
  <c r="E77" i="14"/>
  <c r="AJ77" i="14"/>
  <c r="AI77" i="14"/>
  <c r="M81" i="12"/>
  <c r="AK77" i="14"/>
  <c r="M77" i="14"/>
  <c r="K77" i="14"/>
  <c r="P77" i="14"/>
  <c r="AA77" i="14"/>
  <c r="R77" i="14"/>
  <c r="K81" i="12"/>
  <c r="AD77" i="14"/>
  <c r="H77" i="14"/>
  <c r="I77" i="14"/>
  <c r="Y77" i="14"/>
  <c r="U77" i="14"/>
  <c r="Z77" i="14"/>
  <c r="W77" i="14"/>
  <c r="T77" i="14"/>
  <c r="AG77" i="14"/>
  <c r="F77" i="14"/>
  <c r="X77" i="14"/>
  <c r="AF77" i="14"/>
  <c r="O77" i="14"/>
  <c r="AE77" i="14"/>
  <c r="E77" i="13"/>
  <c r="AK77" i="13"/>
  <c r="AJ77" i="13"/>
  <c r="Y77" i="13"/>
  <c r="Q77" i="13"/>
  <c r="AB77" i="13"/>
  <c r="AD77" i="13"/>
  <c r="V77" i="13"/>
  <c r="W78" i="16"/>
  <c r="AF77" i="13"/>
  <c r="T77" i="13"/>
  <c r="AC77" i="13"/>
  <c r="X77" i="13"/>
  <c r="AE77" i="13"/>
  <c r="U77" i="13"/>
  <c r="Z77" i="13"/>
  <c r="H77" i="13"/>
  <c r="N77" i="13"/>
  <c r="AL77" i="13"/>
  <c r="J77" i="13"/>
  <c r="F77" i="13"/>
  <c r="O77" i="13"/>
  <c r="M77" i="13"/>
  <c r="W77" i="13"/>
  <c r="AG77" i="13"/>
  <c r="AI77" i="13"/>
  <c r="U82" i="12"/>
  <c r="G77" i="13"/>
  <c r="S77" i="13"/>
  <c r="AA77" i="13"/>
  <c r="I77" i="13"/>
  <c r="L77" i="13"/>
  <c r="AH77" i="13"/>
  <c r="K77" i="13"/>
  <c r="P77" i="13"/>
  <c r="AA78" i="14"/>
  <c r="AA78" i="17"/>
  <c r="T78" i="14"/>
  <c r="S78" i="14"/>
  <c r="K78" i="14"/>
  <c r="AE78" i="14"/>
  <c r="N80" i="14"/>
  <c r="H80" i="14"/>
  <c r="S80" i="14"/>
  <c r="G80" i="14"/>
  <c r="Y78" i="14"/>
  <c r="AF80" i="12"/>
  <c r="J80" i="14"/>
  <c r="AF80" i="14"/>
  <c r="AA80" i="14"/>
  <c r="Q78" i="14"/>
  <c r="P78" i="14"/>
  <c r="Z78" i="14"/>
  <c r="U78" i="14"/>
  <c r="AK78" i="14"/>
  <c r="AI78" i="14"/>
  <c r="R78" i="14"/>
  <c r="F80" i="12"/>
  <c r="AC80" i="12"/>
  <c r="O80" i="14"/>
  <c r="X80" i="12"/>
  <c r="AC78" i="14"/>
  <c r="M80" i="14"/>
  <c r="AE80" i="14"/>
  <c r="V78" i="14"/>
  <c r="AF78" i="14"/>
  <c r="AD78" i="14"/>
  <c r="N78" i="14"/>
  <c r="AB78" i="14"/>
  <c r="E78" i="14"/>
  <c r="AH78" i="14"/>
  <c r="L78" i="14"/>
  <c r="AL78" i="14"/>
  <c r="X78" i="14"/>
  <c r="F78" i="14"/>
  <c r="J78" i="14"/>
  <c r="AJ78" i="14"/>
  <c r="AG78" i="14"/>
  <c r="I78" i="14"/>
  <c r="M78" i="14"/>
  <c r="O78" i="14"/>
  <c r="I80" i="12"/>
  <c r="AG80" i="14"/>
  <c r="W78" i="14"/>
  <c r="G78" i="14"/>
  <c r="AJ80" i="12"/>
  <c r="W78" i="17"/>
  <c r="G78" i="17"/>
  <c r="H78" i="17"/>
  <c r="AG78" i="17"/>
  <c r="V78" i="17"/>
  <c r="O78" i="17"/>
  <c r="L78" i="17"/>
  <c r="AI78" i="17"/>
  <c r="AK78" i="17"/>
  <c r="N78" i="17"/>
  <c r="AB78" i="17"/>
  <c r="X78" i="17"/>
  <c r="Y78" i="17"/>
  <c r="E78" i="17"/>
  <c r="AD78" i="17"/>
  <c r="M78" i="17"/>
  <c r="J78" i="17"/>
  <c r="AC78" i="17"/>
  <c r="K78" i="17"/>
  <c r="AH78" i="17"/>
  <c r="AF78" i="17"/>
  <c r="Z78" i="17"/>
  <c r="P78" i="17"/>
  <c r="S78" i="17"/>
  <c r="U78" i="17"/>
  <c r="Q78" i="17"/>
  <c r="F78" i="17"/>
  <c r="R78" i="17"/>
  <c r="AL78" i="17"/>
  <c r="AE78" i="17"/>
  <c r="AJ78" i="17"/>
  <c r="T78" i="17"/>
  <c r="Z79" i="18"/>
  <c r="U79" i="18"/>
  <c r="F77" i="15"/>
  <c r="P79" i="18"/>
  <c r="AK79" i="18"/>
  <c r="E79" i="18"/>
  <c r="AL79" i="18"/>
  <c r="AD79" i="18"/>
  <c r="G79" i="18"/>
  <c r="S79" i="18"/>
  <c r="M79" i="18"/>
  <c r="T79" i="18"/>
  <c r="X79" i="18"/>
  <c r="N79" i="18"/>
  <c r="J79" i="18"/>
  <c r="AC79" i="18"/>
  <c r="AH79" i="18"/>
  <c r="AF79" i="18"/>
  <c r="AG79" i="18"/>
  <c r="Q79" i="18"/>
  <c r="AJ79" i="18"/>
  <c r="L79" i="18"/>
  <c r="R79" i="18"/>
  <c r="AI79" i="18"/>
  <c r="AB79" i="18"/>
  <c r="AA79" i="18"/>
  <c r="K79" i="18"/>
  <c r="I79" i="18"/>
  <c r="Y79" i="18"/>
  <c r="H79" i="18"/>
  <c r="V79" i="18"/>
  <c r="O79" i="18"/>
  <c r="W79" i="18"/>
  <c r="F79" i="18"/>
  <c r="K82" i="15"/>
  <c r="G82" i="18"/>
  <c r="Z81" i="12"/>
  <c r="AH82" i="18"/>
  <c r="AA82" i="18"/>
  <c r="U81" i="12"/>
  <c r="N82" i="18"/>
  <c r="E82" i="18"/>
  <c r="AJ82" i="18"/>
  <c r="AG83" i="18"/>
  <c r="AH81" i="12"/>
  <c r="AL82" i="15"/>
  <c r="AB83" i="18"/>
  <c r="V81" i="12"/>
  <c r="X81" i="12"/>
  <c r="AK83" i="18"/>
  <c r="G81" i="12"/>
  <c r="S78" i="16"/>
  <c r="AE82" i="12"/>
  <c r="K78" i="16"/>
  <c r="P82" i="12"/>
  <c r="R82" i="12"/>
  <c r="O82" i="12"/>
  <c r="H82" i="12"/>
  <c r="AK82" i="12"/>
  <c r="K82" i="12"/>
  <c r="AG82" i="12"/>
  <c r="N78" i="16"/>
  <c r="AD78" i="16"/>
  <c r="T78" i="16"/>
  <c r="AB78" i="16"/>
  <c r="AA78" i="16"/>
  <c r="AA82" i="12"/>
  <c r="Q82" i="12"/>
  <c r="Y82" i="12"/>
  <c r="Q78" i="16"/>
  <c r="R78" i="16"/>
  <c r="AE78" i="16"/>
  <c r="M78" i="16"/>
  <c r="G82" i="12"/>
  <c r="T82" i="12"/>
  <c r="AC82" i="12"/>
  <c r="AH82" i="12"/>
  <c r="AJ82" i="12"/>
  <c r="F82" i="12"/>
  <c r="V78" i="16"/>
  <c r="AK78" i="16"/>
  <c r="H78" i="16"/>
  <c r="AF78" i="16"/>
  <c r="W82" i="12"/>
  <c r="J82" i="12"/>
  <c r="X82" i="12"/>
  <c r="L78" i="16"/>
  <c r="AG78" i="16"/>
  <c r="AB82" i="12"/>
  <c r="AI82" i="12"/>
  <c r="AD82" i="12"/>
  <c r="AF82" i="12"/>
  <c r="P78" i="16"/>
  <c r="U78" i="16"/>
  <c r="AJ78" i="16"/>
  <c r="X78" i="16"/>
  <c r="I78" i="16"/>
  <c r="E78" i="16"/>
  <c r="O78" i="16"/>
  <c r="AL82" i="12"/>
  <c r="Z82" i="12"/>
  <c r="V82" i="12"/>
  <c r="I82" i="12"/>
  <c r="M82" i="12"/>
  <c r="N82" i="12"/>
  <c r="AL78" i="16"/>
  <c r="Y78" i="16"/>
  <c r="AI78" i="16"/>
  <c r="Z78" i="16"/>
  <c r="E82" i="12"/>
  <c r="L82" i="12"/>
  <c r="J78" i="16"/>
  <c r="AH78" i="16"/>
  <c r="G78" i="16"/>
  <c r="AC78" i="16"/>
  <c r="O81" i="18"/>
  <c r="G80" i="12"/>
  <c r="U80" i="12"/>
  <c r="E80" i="12"/>
  <c r="V80" i="12"/>
  <c r="X80" i="14"/>
  <c r="AJ80" i="14"/>
  <c r="M80" i="12"/>
  <c r="AH80" i="12"/>
  <c r="Y80" i="12"/>
  <c r="AK80" i="14"/>
  <c r="Q80" i="12"/>
  <c r="AE80" i="12"/>
  <c r="AB80" i="14"/>
  <c r="Q80" i="14"/>
  <c r="AL80" i="12"/>
  <c r="AI80" i="14"/>
  <c r="J80" i="12"/>
  <c r="P80" i="12"/>
  <c r="W80" i="14"/>
  <c r="T80" i="12"/>
  <c r="V80" i="14"/>
  <c r="K80" i="14"/>
  <c r="AK80" i="12"/>
  <c r="AB80" i="12"/>
  <c r="K80" i="12"/>
  <c r="AD80" i="12"/>
  <c r="F80" i="14"/>
  <c r="U80" i="14"/>
  <c r="AI80" i="12"/>
  <c r="AC80" i="14"/>
  <c r="Y80" i="14"/>
  <c r="V81" i="18"/>
  <c r="R80" i="14"/>
  <c r="O80" i="12"/>
  <c r="Z80" i="12"/>
  <c r="R80" i="12"/>
  <c r="S80" i="12"/>
  <c r="H80" i="12"/>
  <c r="AL80" i="14"/>
  <c r="P80" i="14"/>
  <c r="L80" i="14"/>
  <c r="AD80" i="14"/>
  <c r="T80" i="14"/>
  <c r="AH80" i="14"/>
  <c r="AA80" i="12"/>
  <c r="N80" i="12"/>
  <c r="L80" i="12"/>
  <c r="AG80" i="12"/>
  <c r="Z80" i="14"/>
  <c r="E80" i="14"/>
  <c r="AE80" i="18"/>
  <c r="F81" i="18"/>
  <c r="AJ80" i="18"/>
  <c r="Q80" i="18"/>
  <c r="L81" i="18"/>
  <c r="Z81" i="18"/>
  <c r="X80" i="18"/>
  <c r="J81" i="18"/>
  <c r="AF82" i="18"/>
  <c r="V82" i="18"/>
  <c r="I82" i="18"/>
  <c r="J82" i="18"/>
  <c r="AE82" i="18"/>
  <c r="W82" i="18"/>
  <c r="S82" i="18"/>
  <c r="AG82" i="18"/>
  <c r="AL82" i="18"/>
  <c r="T82" i="18"/>
  <c r="O82" i="18"/>
  <c r="AK82" i="18"/>
  <c r="H81" i="12"/>
  <c r="AB81" i="12"/>
  <c r="K82" i="18"/>
  <c r="Z82" i="18"/>
  <c r="L82" i="18"/>
  <c r="I81" i="12"/>
  <c r="E81" i="12"/>
  <c r="U82" i="18"/>
  <c r="R82" i="18"/>
  <c r="H82" i="18"/>
  <c r="AC81" i="12"/>
  <c r="AL81" i="12"/>
  <c r="Y81" i="12"/>
  <c r="R81" i="12"/>
  <c r="O81" i="12"/>
  <c r="L81" i="12"/>
  <c r="AJ81" i="12"/>
  <c r="T81" i="12"/>
  <c r="X82" i="18"/>
  <c r="M82" i="18"/>
  <c r="Q82" i="18"/>
  <c r="AD82" i="18"/>
  <c r="AA81" i="12"/>
  <c r="P81" i="12"/>
  <c r="AD81" i="12"/>
  <c r="AF81" i="12"/>
  <c r="N81" i="12"/>
  <c r="AK81" i="12"/>
  <c r="W81" i="12"/>
  <c r="P82" i="18"/>
  <c r="F82" i="18"/>
  <c r="AI81" i="12"/>
  <c r="AG81" i="12"/>
  <c r="AE81" i="12"/>
  <c r="J81" i="12"/>
  <c r="F81" i="12"/>
  <c r="Q81" i="12"/>
  <c r="U82" i="15"/>
  <c r="AF82" i="15"/>
  <c r="AH82" i="15"/>
  <c r="M82" i="15"/>
  <c r="N83" i="18"/>
  <c r="F83" i="18"/>
  <c r="I83" i="18"/>
  <c r="T82" i="15"/>
  <c r="O83" i="18"/>
  <c r="AD82" i="15"/>
  <c r="R82" i="15"/>
  <c r="AK82" i="15"/>
  <c r="AC82" i="15"/>
  <c r="E83" i="18"/>
  <c r="R83" i="18"/>
  <c r="AG82" i="15"/>
  <c r="G83" i="18"/>
  <c r="Y83" i="18"/>
  <c r="AE83" i="18"/>
  <c r="AC83" i="18"/>
  <c r="H82" i="15"/>
  <c r="P82" i="15"/>
  <c r="X82" i="15"/>
  <c r="Y82" i="15"/>
  <c r="W82" i="15"/>
  <c r="H83" i="18"/>
  <c r="AJ83" i="18"/>
  <c r="J83" i="18"/>
  <c r="AI82" i="15"/>
  <c r="S83" i="18"/>
  <c r="Z82" i="15"/>
  <c r="AA82" i="15"/>
  <c r="Q82" i="15"/>
  <c r="G82" i="15"/>
  <c r="AD83" i="18"/>
  <c r="V83" i="18"/>
  <c r="K83" i="18"/>
  <c r="N82" i="15"/>
  <c r="AJ82" i="15"/>
  <c r="L82" i="15"/>
  <c r="I82" i="15"/>
  <c r="T83" i="18"/>
  <c r="U83" i="18"/>
  <c r="L83" i="18"/>
  <c r="X83" i="18"/>
  <c r="P83" i="18"/>
  <c r="M83" i="18"/>
  <c r="O82" i="15"/>
  <c r="V82" i="15"/>
  <c r="J82" i="15"/>
  <c r="AL83" i="18"/>
  <c r="Z83" i="18"/>
  <c r="AA83" i="18"/>
  <c r="AI83" i="18"/>
  <c r="F82" i="15"/>
  <c r="AB82" i="15"/>
  <c r="AE82" i="15"/>
  <c r="E82" i="15"/>
  <c r="AF83" i="18"/>
  <c r="Q83" i="18"/>
  <c r="W83" i="18"/>
  <c r="M79" i="14"/>
  <c r="AG80" i="16"/>
  <c r="P80" i="16"/>
  <c r="W79" i="14"/>
  <c r="AH79" i="14"/>
  <c r="AC80" i="16"/>
  <c r="O79" i="14"/>
  <c r="S79" i="14"/>
  <c r="K81" i="18"/>
  <c r="E81" i="18"/>
  <c r="AE81" i="18"/>
  <c r="AD80" i="18"/>
  <c r="J80" i="18"/>
  <c r="U80" i="18"/>
  <c r="AK81" i="18"/>
  <c r="Q81" i="18"/>
  <c r="AL81" i="18"/>
  <c r="R81" i="18"/>
  <c r="M80" i="18"/>
  <c r="AA80" i="18"/>
  <c r="AC80" i="18"/>
  <c r="AD81" i="18"/>
  <c r="N81" i="18"/>
  <c r="G81" i="18"/>
  <c r="X81" i="18"/>
  <c r="AI80" i="18"/>
  <c r="N80" i="18"/>
  <c r="O80" i="18"/>
  <c r="AG81" i="18"/>
  <c r="M81" i="18"/>
  <c r="U81" i="18"/>
  <c r="Y81" i="18"/>
  <c r="V80" i="18"/>
  <c r="L80" i="18"/>
  <c r="R80" i="18"/>
  <c r="F80" i="18"/>
  <c r="AB80" i="18"/>
  <c r="T81" i="18"/>
  <c r="AH81" i="18"/>
  <c r="P81" i="18"/>
  <c r="AH80" i="18"/>
  <c r="AL80" i="18"/>
  <c r="T80" i="18"/>
  <c r="K80" i="18"/>
  <c r="AI81" i="18"/>
  <c r="AB81" i="18"/>
  <c r="AJ81" i="18"/>
  <c r="W81" i="18"/>
  <c r="AG80" i="18"/>
  <c r="P80" i="18"/>
  <c r="AK80" i="18"/>
  <c r="W80" i="18"/>
  <c r="S80" i="18"/>
  <c r="G80" i="18"/>
  <c r="AA81" i="18"/>
  <c r="I81" i="18"/>
  <c r="AC81" i="18"/>
  <c r="Z80" i="18"/>
  <c r="E80" i="18"/>
  <c r="AF81" i="18"/>
  <c r="H80" i="18"/>
  <c r="S81" i="18"/>
  <c r="Y80" i="18"/>
  <c r="AF80" i="18"/>
  <c r="R80" i="16"/>
  <c r="V80" i="16"/>
  <c r="L80" i="16"/>
  <c r="E80" i="16"/>
  <c r="H80" i="16"/>
  <c r="O80" i="16"/>
  <c r="Z80" i="16"/>
  <c r="AD79" i="14"/>
  <c r="AL79" i="14"/>
  <c r="AF79" i="14"/>
  <c r="K79" i="14"/>
  <c r="AK79" i="14"/>
  <c r="I80" i="16"/>
  <c r="AJ80" i="16"/>
  <c r="M80" i="16"/>
  <c r="K80" i="16"/>
  <c r="V79" i="14"/>
  <c r="G79" i="14"/>
  <c r="AE79" i="14"/>
  <c r="AJ79" i="14"/>
  <c r="AD80" i="16"/>
  <c r="L79" i="14"/>
  <c r="R79" i="14"/>
  <c r="E79" i="14"/>
  <c r="X79" i="14"/>
  <c r="P79" i="14"/>
  <c r="J80" i="16"/>
  <c r="AF80" i="16"/>
  <c r="H79" i="14"/>
  <c r="Q79" i="14"/>
  <c r="AB79" i="14"/>
  <c r="U79" i="14"/>
  <c r="F80" i="16"/>
  <c r="AA80" i="16"/>
  <c r="AB80" i="16"/>
  <c r="AA79" i="14"/>
  <c r="AC79" i="14"/>
  <c r="N79" i="14"/>
  <c r="Y79" i="14"/>
  <c r="U80" i="16"/>
  <c r="G80" i="16"/>
  <c r="AK80" i="16"/>
  <c r="Y80" i="16"/>
  <c r="N80" i="16"/>
  <c r="Z79" i="14"/>
  <c r="F79" i="14"/>
  <c r="AI79" i="14"/>
  <c r="T80" i="16"/>
  <c r="S80" i="16"/>
  <c r="AE80" i="16"/>
  <c r="X80" i="16"/>
  <c r="AI80" i="16"/>
  <c r="AH80" i="16"/>
  <c r="Q80" i="16"/>
  <c r="AL80" i="16"/>
  <c r="J79" i="14"/>
  <c r="AG79" i="14"/>
  <c r="T79" i="14"/>
  <c r="AB83" i="16"/>
  <c r="K83" i="16"/>
  <c r="F83" i="14"/>
  <c r="S83" i="16"/>
  <c r="E83" i="16"/>
  <c r="U83" i="14"/>
  <c r="V83" i="14"/>
  <c r="AK83" i="16"/>
  <c r="AI83" i="14"/>
  <c r="X83" i="16"/>
  <c r="H83" i="16"/>
  <c r="Q83" i="14"/>
  <c r="AL83" i="14"/>
  <c r="K83" i="14"/>
  <c r="AI83" i="16"/>
  <c r="AH83" i="16"/>
  <c r="G83" i="16"/>
  <c r="Y83" i="16"/>
  <c r="AH83" i="14"/>
  <c r="AD83" i="14"/>
  <c r="J83" i="14"/>
  <c r="AA83" i="14"/>
  <c r="Q83" i="16"/>
  <c r="AA83" i="16"/>
  <c r="O83" i="16"/>
  <c r="AG83" i="16"/>
  <c r="AJ83" i="16"/>
  <c r="U83" i="16"/>
  <c r="V83" i="16"/>
  <c r="M83" i="14"/>
  <c r="AB83" i="14"/>
  <c r="AE83" i="14"/>
  <c r="O83" i="14"/>
  <c r="Z83" i="14"/>
  <c r="I83" i="16"/>
  <c r="AF83" i="16"/>
  <c r="N83" i="16"/>
  <c r="J83" i="16"/>
  <c r="H83" i="14"/>
  <c r="X83" i="14"/>
  <c r="W83" i="14"/>
  <c r="Y83" i="14"/>
  <c r="AF83" i="14"/>
  <c r="R83" i="16"/>
  <c r="W83" i="16"/>
  <c r="L83" i="16"/>
  <c r="P83" i="16"/>
  <c r="T83" i="14"/>
  <c r="L83" i="14"/>
  <c r="I83" i="14"/>
  <c r="G83" i="14"/>
  <c r="AG83" i="14"/>
  <c r="N83" i="14"/>
  <c r="AC83" i="16"/>
  <c r="M83" i="16"/>
  <c r="AE83" i="16"/>
  <c r="AD83" i="16"/>
  <c r="E83" i="14"/>
  <c r="P83" i="14"/>
  <c r="AC83" i="14"/>
  <c r="T83" i="16"/>
  <c r="AL83" i="16"/>
  <c r="AK83" i="14"/>
  <c r="R83" i="14"/>
  <c r="S83" i="14"/>
  <c r="Z83" i="16"/>
  <c r="AI77" i="15"/>
  <c r="Y82" i="16"/>
  <c r="E82" i="16"/>
  <c r="M77" i="15"/>
  <c r="AF82" i="16"/>
  <c r="AA82" i="16"/>
  <c r="L77" i="15"/>
  <c r="AA77" i="15"/>
  <c r="W77" i="15"/>
  <c r="P77" i="15"/>
  <c r="Q77" i="15"/>
  <c r="AH77" i="15"/>
  <c r="P82" i="16"/>
  <c r="AD82" i="16"/>
  <c r="AB82" i="16"/>
  <c r="O82" i="16"/>
  <c r="G82" i="16"/>
  <c r="M82" i="16"/>
  <c r="R77" i="15"/>
  <c r="AC77" i="15"/>
  <c r="E77" i="15"/>
  <c r="Z77" i="15"/>
  <c r="AG77" i="15"/>
  <c r="W82" i="16"/>
  <c r="AL82" i="16"/>
  <c r="AG82" i="16"/>
  <c r="Z82" i="16"/>
  <c r="G77" i="15"/>
  <c r="AJ77" i="15"/>
  <c r="O77" i="15"/>
  <c r="Y77" i="15"/>
  <c r="I82" i="16"/>
  <c r="AC82" i="16"/>
  <c r="V82" i="16"/>
  <c r="K77" i="15"/>
  <c r="AL77" i="15"/>
  <c r="H77" i="15"/>
  <c r="AK77" i="15"/>
  <c r="U77" i="15"/>
  <c r="H82" i="16"/>
  <c r="K82" i="16"/>
  <c r="R82" i="16"/>
  <c r="V77" i="15"/>
  <c r="J77" i="15"/>
  <c r="AE77" i="15"/>
  <c r="L82" i="16"/>
  <c r="T82" i="16"/>
  <c r="AJ82" i="16"/>
  <c r="S82" i="16"/>
  <c r="X77" i="15"/>
  <c r="N77" i="15"/>
  <c r="AF77" i="15"/>
  <c r="AH82" i="16"/>
  <c r="X82" i="16"/>
  <c r="Q82" i="16"/>
  <c r="AE82" i="16"/>
  <c r="AB77" i="15"/>
  <c r="AD77" i="15"/>
  <c r="T77" i="15"/>
  <c r="S77" i="15"/>
  <c r="N82" i="16"/>
  <c r="AK82" i="16"/>
  <c r="F82" i="16"/>
  <c r="U82" i="16"/>
  <c r="AI82" i="16"/>
  <c r="AY10" i="7"/>
  <c r="AP10" i="7"/>
  <c r="CH10" i="7"/>
  <c r="BD10" i="7"/>
  <c r="AU10" i="7"/>
  <c r="CQ10" i="7"/>
  <c r="O10" i="7"/>
  <c r="AO10" i="7"/>
  <c r="BT10" i="7"/>
  <c r="G10" i="7"/>
  <c r="X10" i="7"/>
  <c r="AS10" i="7"/>
  <c r="H10" i="7"/>
  <c r="CK10" i="7"/>
  <c r="AQ10" i="7"/>
  <c r="N10" i="7"/>
  <c r="CO10" i="7"/>
  <c r="T10" i="7"/>
  <c r="AW10" i="7"/>
  <c r="AM10" i="7"/>
  <c r="L10" i="7"/>
  <c r="V10" i="7"/>
  <c r="S10" i="7"/>
  <c r="CI10" i="7"/>
  <c r="W10" i="7"/>
  <c r="Y10" i="7"/>
  <c r="AJ10" i="7"/>
  <c r="AB10" i="7"/>
  <c r="AC10" i="7"/>
  <c r="I10" i="7"/>
  <c r="AH10" i="7"/>
  <c r="AE10" i="7"/>
  <c r="J10" i="7"/>
  <c r="M10" i="7"/>
  <c r="BK10" i="7"/>
  <c r="E10" i="7"/>
  <c r="F10" i="7"/>
  <c r="BH10" i="7"/>
  <c r="U10" i="7"/>
  <c r="K10" i="7"/>
  <c r="BX10" i="7"/>
  <c r="BG10" i="7"/>
  <c r="BR10" i="7"/>
  <c r="CS10" i="7"/>
  <c r="BO10" i="7"/>
  <c r="AD10" i="7"/>
  <c r="BQ10" i="7"/>
  <c r="AV10" i="7"/>
  <c r="BA10" i="7"/>
  <c r="BJ10" i="7"/>
  <c r="AR10" i="7"/>
  <c r="Q10" i="7"/>
  <c r="BF10" i="7"/>
  <c r="CF10" i="7"/>
  <c r="CE10" i="7"/>
  <c r="BL10" i="7"/>
  <c r="AZ10" i="7"/>
  <c r="CN10" i="7"/>
  <c r="CB10" i="7"/>
  <c r="AT10" i="7"/>
  <c r="BB10" i="7"/>
  <c r="BC10" i="7"/>
  <c r="Z10" i="7"/>
  <c r="P10" i="7"/>
  <c r="BN10" i="7"/>
  <c r="CA10" i="7"/>
  <c r="BI10" i="7"/>
  <c r="BZ10" i="7"/>
  <c r="AA10" i="7"/>
  <c r="BP10" i="7"/>
  <c r="BE10" i="7"/>
  <c r="BM10" i="7"/>
  <c r="BY10" i="7"/>
  <c r="CJ10" i="7"/>
  <c r="AI10" i="7"/>
  <c r="CD10" i="7"/>
  <c r="BS10" i="7"/>
  <c r="AL10" i="7"/>
  <c r="BW10" i="7"/>
  <c r="CP10" i="7"/>
  <c r="CL10" i="7"/>
  <c r="AG10" i="7"/>
  <c r="AN10" i="7"/>
  <c r="CG10" i="7"/>
  <c r="BU10" i="7"/>
  <c r="BV10" i="7"/>
  <c r="AF10" i="7"/>
  <c r="AK10" i="7"/>
  <c r="CM10" i="7"/>
  <c r="CC10" i="7"/>
  <c r="R10" i="7"/>
  <c r="AX10" i="7"/>
  <c r="CR10" i="7"/>
  <c r="F35" i="18"/>
  <c r="F34" i="18"/>
  <c r="F37" i="18"/>
  <c r="F36" i="18"/>
  <c r="F33" i="18"/>
  <c r="F38" i="18"/>
  <c r="F32" i="18"/>
  <c r="G33" i="14"/>
  <c r="G36" i="14"/>
  <c r="G32" i="14"/>
  <c r="G35" i="14"/>
  <c r="G37" i="14"/>
  <c r="G38" i="14"/>
  <c r="G34" i="14"/>
  <c r="G32" i="18"/>
  <c r="G38" i="18"/>
  <c r="G33" i="18"/>
  <c r="G35" i="18"/>
  <c r="G34" i="18"/>
  <c r="G36" i="18"/>
  <c r="G37" i="18"/>
  <c r="L12" i="7"/>
  <c r="AG12" i="7"/>
  <c r="CO12" i="7"/>
  <c r="K12" i="7"/>
  <c r="AU12" i="7"/>
  <c r="T12" i="7"/>
  <c r="Y12" i="7"/>
  <c r="Q12" i="7"/>
  <c r="BC12" i="7"/>
  <c r="AZ12" i="7"/>
  <c r="AE12" i="7"/>
  <c r="BV12" i="7"/>
  <c r="G12" i="7"/>
  <c r="BO12" i="7"/>
  <c r="CF12" i="7"/>
  <c r="F12" i="7"/>
  <c r="AM12" i="7"/>
  <c r="CP12" i="7"/>
  <c r="AQ12" i="7"/>
  <c r="Z12" i="7"/>
  <c r="AJ12" i="7"/>
  <c r="BK12" i="7"/>
  <c r="M12" i="7"/>
  <c r="AY12" i="7"/>
  <c r="J12" i="7"/>
  <c r="AO12" i="7"/>
  <c r="BN12" i="7"/>
  <c r="BJ12" i="7"/>
  <c r="BR12" i="7"/>
  <c r="BY12" i="7"/>
  <c r="CA12" i="7"/>
  <c r="O12" i="7"/>
  <c r="CR12" i="7"/>
  <c r="R12" i="7"/>
  <c r="CK12" i="7"/>
  <c r="CS12" i="7"/>
  <c r="AV12" i="7"/>
  <c r="CD12" i="7"/>
  <c r="AX12" i="7"/>
  <c r="CL12" i="7"/>
  <c r="CB12" i="7"/>
  <c r="AW12" i="7"/>
  <c r="BM12" i="7"/>
  <c r="P12" i="7"/>
  <c r="U12" i="7"/>
  <c r="CG12" i="7"/>
  <c r="AP12" i="7"/>
  <c r="BF12" i="7"/>
  <c r="BL12" i="7"/>
  <c r="E12" i="7"/>
  <c r="H12" i="7"/>
  <c r="AL12" i="7"/>
  <c r="BT12" i="7"/>
  <c r="CJ12" i="7"/>
  <c r="X12" i="7"/>
  <c r="BB12" i="7"/>
  <c r="AS12" i="7"/>
  <c r="BS12" i="7"/>
  <c r="BI12" i="7"/>
  <c r="BD12" i="7"/>
  <c r="BA12" i="7"/>
  <c r="CC12" i="7"/>
  <c r="BE12" i="7"/>
  <c r="CE12" i="7"/>
  <c r="AD12" i="7"/>
  <c r="BZ12" i="7"/>
  <c r="V12" i="7"/>
  <c r="AC12" i="7"/>
  <c r="S12" i="7"/>
  <c r="I12" i="7"/>
  <c r="AR12" i="7"/>
  <c r="AK12" i="7"/>
  <c r="AT12" i="7"/>
  <c r="N12" i="7"/>
  <c r="AN12" i="7"/>
  <c r="BX12" i="7"/>
  <c r="BU12" i="7"/>
  <c r="W12" i="7"/>
  <c r="BW12" i="7"/>
  <c r="CQ12" i="7"/>
  <c r="BQ12" i="7"/>
  <c r="CI12" i="7"/>
  <c r="CN12" i="7"/>
  <c r="AH12" i="7"/>
  <c r="AB12" i="7"/>
  <c r="AI12" i="7"/>
  <c r="AF12" i="7"/>
  <c r="BH12" i="7"/>
  <c r="CM12" i="7"/>
  <c r="BG12" i="7"/>
  <c r="CH12" i="7"/>
  <c r="AA12" i="7"/>
  <c r="BP12" i="7"/>
  <c r="BB7" i="7"/>
  <c r="L7" i="7"/>
  <c r="AW7" i="7"/>
  <c r="BF7" i="7"/>
  <c r="K7" i="7"/>
  <c r="BX7" i="7"/>
  <c r="BH7" i="7"/>
  <c r="N7" i="7"/>
  <c r="CE7" i="7"/>
  <c r="BY7" i="7"/>
  <c r="CR7" i="7"/>
  <c r="E7" i="7"/>
  <c r="V7" i="7"/>
  <c r="CI7" i="7"/>
  <c r="Q7" i="7"/>
  <c r="Z7" i="7"/>
  <c r="AT7" i="7"/>
  <c r="AY7" i="7"/>
  <c r="AU7" i="7"/>
  <c r="BI7" i="7"/>
  <c r="BN7" i="7"/>
  <c r="S7" i="7"/>
  <c r="BJ7" i="7"/>
  <c r="AB7" i="7"/>
  <c r="BA7" i="7"/>
  <c r="W7" i="7"/>
  <c r="AR7" i="7"/>
  <c r="BE7" i="7"/>
  <c r="AO7" i="7"/>
  <c r="AH7" i="7"/>
  <c r="AD7" i="7"/>
  <c r="AM7" i="7"/>
  <c r="CA7" i="7"/>
  <c r="O7" i="7"/>
  <c r="AJ7" i="7"/>
  <c r="AA7" i="7"/>
  <c r="AN7" i="7"/>
  <c r="R7" i="7"/>
  <c r="AE7" i="7"/>
  <c r="CJ7" i="7"/>
  <c r="AI7" i="7"/>
  <c r="BD7" i="7"/>
  <c r="AQ7" i="7"/>
  <c r="AS7" i="7"/>
  <c r="CO7" i="7"/>
  <c r="AC7" i="7"/>
  <c r="BG7" i="7"/>
  <c r="AX7" i="7"/>
  <c r="T7" i="7"/>
  <c r="I7" i="7"/>
  <c r="J7" i="7"/>
  <c r="G7" i="7"/>
  <c r="CH7" i="7"/>
  <c r="CC7" i="7"/>
  <c r="BO7" i="7"/>
  <c r="CB7" i="7"/>
  <c r="BP7" i="7"/>
  <c r="AZ7" i="7"/>
  <c r="BT7" i="7"/>
  <c r="BK7" i="7"/>
  <c r="H7" i="7"/>
  <c r="BL7" i="7"/>
  <c r="BW7" i="7"/>
  <c r="AP7" i="7"/>
  <c r="P7" i="7"/>
  <c r="BC7" i="7"/>
  <c r="CK7" i="7"/>
  <c r="CP7" i="7"/>
  <c r="AV7" i="7"/>
  <c r="BU7" i="7"/>
  <c r="CG7" i="7"/>
  <c r="CS7" i="7"/>
  <c r="AK7" i="7"/>
  <c r="U7" i="7"/>
  <c r="X7" i="7"/>
  <c r="AL7" i="7"/>
  <c r="AF7" i="7"/>
  <c r="BZ7" i="7"/>
  <c r="M7" i="7"/>
  <c r="CL7" i="7"/>
  <c r="BV7" i="7"/>
  <c r="CM7" i="7"/>
  <c r="BR7" i="7"/>
  <c r="BQ7" i="7"/>
  <c r="CF7" i="7"/>
  <c r="BS7" i="7"/>
  <c r="CD7" i="7"/>
  <c r="AG7" i="7"/>
  <c r="CQ7" i="7"/>
  <c r="CN7" i="7"/>
  <c r="Y7" i="7"/>
  <c r="F7" i="7"/>
  <c r="BM7" i="7"/>
  <c r="CD9" i="7"/>
  <c r="W9" i="7"/>
  <c r="AL9" i="7"/>
  <c r="BP9" i="7"/>
  <c r="CO9" i="7"/>
  <c r="BW9" i="7"/>
  <c r="L9" i="7"/>
  <c r="AI9" i="7"/>
  <c r="AQ9" i="7"/>
  <c r="BJ9" i="7"/>
  <c r="BY9" i="7"/>
  <c r="AU9" i="7"/>
  <c r="J9" i="7"/>
  <c r="CL9" i="7"/>
  <c r="AM9" i="7"/>
  <c r="P9" i="7"/>
  <c r="T9" i="7"/>
  <c r="AY9" i="7"/>
  <c r="CI9" i="7"/>
  <c r="CA9" i="7"/>
  <c r="BS9" i="7"/>
  <c r="M9" i="7"/>
  <c r="X9" i="7"/>
  <c r="V9" i="7"/>
  <c r="BI9" i="7"/>
  <c r="BR9" i="7"/>
  <c r="BD9" i="7"/>
  <c r="CE9" i="7"/>
  <c r="AH9" i="7"/>
  <c r="CJ9" i="7"/>
  <c r="R9" i="7"/>
  <c r="CK9" i="7"/>
  <c r="BZ9" i="7"/>
  <c r="BA9" i="7"/>
  <c r="AO9" i="7"/>
  <c r="BL9" i="7"/>
  <c r="CH9" i="7"/>
  <c r="N9" i="7"/>
  <c r="Y9" i="7"/>
  <c r="AJ9" i="7"/>
  <c r="AG9" i="7"/>
  <c r="Z9" i="7"/>
  <c r="BN9" i="7"/>
  <c r="G9" i="7"/>
  <c r="BM9" i="7"/>
  <c r="CG9" i="7"/>
  <c r="AV9" i="7"/>
  <c r="U9" i="7"/>
  <c r="F9" i="7"/>
  <c r="AE9" i="7"/>
  <c r="K9" i="7"/>
  <c r="AB9" i="7"/>
  <c r="BF9" i="7"/>
  <c r="BK9" i="7"/>
  <c r="AK9" i="7"/>
  <c r="BV9" i="7"/>
  <c r="BQ9" i="7"/>
  <c r="AP9" i="7"/>
  <c r="BU9" i="7"/>
  <c r="BX9" i="7"/>
  <c r="S9" i="7"/>
  <c r="O9" i="7"/>
  <c r="BT9" i="7"/>
  <c r="AZ9" i="7"/>
  <c r="AC9" i="7"/>
  <c r="E9" i="7"/>
  <c r="AW9" i="7"/>
  <c r="AF9" i="7"/>
  <c r="Q9" i="7"/>
  <c r="CF9" i="7"/>
  <c r="BE9" i="7"/>
  <c r="CP9" i="7"/>
  <c r="BH9" i="7"/>
  <c r="CS9" i="7"/>
  <c r="AS9" i="7"/>
  <c r="CB9" i="7"/>
  <c r="CN9" i="7"/>
  <c r="AT9" i="7"/>
  <c r="AN9" i="7"/>
  <c r="AD9" i="7"/>
  <c r="BO9" i="7"/>
  <c r="BC9" i="7"/>
  <c r="CQ9" i="7"/>
  <c r="I9" i="7"/>
  <c r="CC9" i="7"/>
  <c r="AA9" i="7"/>
  <c r="BB9" i="7"/>
  <c r="CR9" i="7"/>
  <c r="AX9" i="7"/>
  <c r="H9" i="7"/>
  <c r="BG9" i="7"/>
  <c r="CM9" i="7"/>
  <c r="AR9" i="7"/>
  <c r="AZ11" i="7"/>
  <c r="AQ11" i="7"/>
  <c r="H11" i="7"/>
  <c r="CA11" i="7"/>
  <c r="BN11" i="7"/>
  <c r="BZ11" i="7"/>
  <c r="CD11" i="7"/>
  <c r="AN11" i="7"/>
  <c r="CQ11" i="7"/>
  <c r="BC11" i="7"/>
  <c r="BK11" i="7"/>
  <c r="CH11" i="7"/>
  <c r="Q11" i="7"/>
  <c r="BW11" i="7"/>
  <c r="BY11" i="7"/>
  <c r="P11" i="7"/>
  <c r="G11" i="7"/>
  <c r="AE11" i="7"/>
  <c r="AI11" i="7"/>
  <c r="AT11" i="7"/>
  <c r="BB11" i="7"/>
  <c r="AV11" i="7"/>
  <c r="AF11" i="7"/>
  <c r="CL11" i="7"/>
  <c r="U11" i="7"/>
  <c r="CB11" i="7"/>
  <c r="J11" i="7"/>
  <c r="BL11" i="7"/>
  <c r="BS11" i="7"/>
  <c r="BE11" i="7"/>
  <c r="BM11" i="7"/>
  <c r="CE11" i="7"/>
  <c r="BI11" i="7"/>
  <c r="CC11" i="7"/>
  <c r="N11" i="7"/>
  <c r="CK11" i="7"/>
  <c r="BR11" i="7"/>
  <c r="AO11" i="7"/>
  <c r="O11" i="7"/>
  <c r="AC11" i="7"/>
  <c r="BT11" i="7"/>
  <c r="BH11" i="7"/>
  <c r="CJ11" i="7"/>
  <c r="AX11" i="7"/>
  <c r="BA11" i="7"/>
  <c r="AW11" i="7"/>
  <c r="R11" i="7"/>
  <c r="E11" i="7"/>
  <c r="L11" i="7"/>
  <c r="CO11" i="7"/>
  <c r="CF11" i="7"/>
  <c r="BX11" i="7"/>
  <c r="BU11" i="7"/>
  <c r="X11" i="7"/>
  <c r="CN11" i="7"/>
  <c r="AH11" i="7"/>
  <c r="Z11" i="7"/>
  <c r="W11" i="7"/>
  <c r="AS11" i="7"/>
  <c r="AL11" i="7"/>
  <c r="BV11" i="7"/>
  <c r="CR11" i="7"/>
  <c r="AJ11" i="7"/>
  <c r="AY11" i="7"/>
  <c r="T11" i="7"/>
  <c r="BP11" i="7"/>
  <c r="AG11" i="7"/>
  <c r="CI11" i="7"/>
  <c r="S11" i="7"/>
  <c r="CP11" i="7"/>
  <c r="M11" i="7"/>
  <c r="CM11" i="7"/>
  <c r="AK11" i="7"/>
  <c r="AP11" i="7"/>
  <c r="BQ11" i="7"/>
  <c r="BO11" i="7"/>
  <c r="CG11" i="7"/>
  <c r="AM11" i="7"/>
  <c r="AA11" i="7"/>
  <c r="K11" i="7"/>
  <c r="V11" i="7"/>
  <c r="BJ11" i="7"/>
  <c r="CS11" i="7"/>
  <c r="BG11" i="7"/>
  <c r="Y11" i="7"/>
  <c r="AU11" i="7"/>
  <c r="AD11" i="7"/>
  <c r="AB11" i="7"/>
  <c r="BD11" i="7"/>
  <c r="AR11" i="7"/>
  <c r="I11" i="7"/>
  <c r="F11" i="7"/>
  <c r="BF11" i="7"/>
  <c r="F32" i="13" a="1"/>
  <c r="F13" i="7"/>
  <c r="CI13" i="7"/>
  <c r="CJ13" i="7"/>
  <c r="N13" i="7"/>
  <c r="CM13" i="7"/>
  <c r="P13" i="7"/>
  <c r="AU13" i="7"/>
  <c r="BF13" i="7"/>
  <c r="BW13" i="7"/>
  <c r="Z13" i="7"/>
  <c r="AW13" i="7"/>
  <c r="AJ13" i="7"/>
  <c r="CC13" i="7"/>
  <c r="BC13" i="7"/>
  <c r="BD13" i="7"/>
  <c r="CK13" i="7"/>
  <c r="BG13" i="7"/>
  <c r="BK13" i="7"/>
  <c r="CP13" i="7"/>
  <c r="AO13" i="7"/>
  <c r="K13" i="7"/>
  <c r="BU13" i="7"/>
  <c r="AM13" i="7"/>
  <c r="BJ13" i="7"/>
  <c r="BI13" i="7"/>
  <c r="CD13" i="7"/>
  <c r="CE13" i="7"/>
  <c r="BM13" i="7"/>
  <c r="CH13" i="7"/>
  <c r="AP13" i="7"/>
  <c r="AN13" i="7"/>
  <c r="CA13" i="7"/>
  <c r="CO13" i="7"/>
  <c r="BO13" i="7"/>
  <c r="AI13" i="7"/>
  <c r="BQ13" i="7"/>
  <c r="BH13" i="7"/>
  <c r="BE13" i="7"/>
  <c r="BZ13" i="7"/>
  <c r="BL13" i="7"/>
  <c r="U13" i="7"/>
  <c r="BP13" i="7"/>
  <c r="CQ13" i="7"/>
  <c r="AK13" i="7"/>
  <c r="BS13" i="7"/>
  <c r="BA13" i="7"/>
  <c r="CB13" i="7"/>
  <c r="R13" i="7"/>
  <c r="CR13" i="7"/>
  <c r="Q13" i="7"/>
  <c r="AH13" i="7"/>
  <c r="J13" i="7"/>
  <c r="Y13" i="7"/>
  <c r="AF13" i="7"/>
  <c r="L13" i="7"/>
  <c r="AV13" i="7"/>
  <c r="AQ13" i="7"/>
  <c r="CN13" i="7"/>
  <c r="S13" i="7"/>
  <c r="V13" i="7"/>
  <c r="BX13" i="7"/>
  <c r="AR13" i="7"/>
  <c r="BR13" i="7"/>
  <c r="W13" i="7"/>
  <c r="CS13" i="7"/>
  <c r="G13" i="7"/>
  <c r="AZ13" i="7"/>
  <c r="I13" i="7"/>
  <c r="T13" i="7"/>
  <c r="X13" i="7"/>
  <c r="AL13" i="7"/>
  <c r="E13" i="7"/>
  <c r="AY13" i="7"/>
  <c r="AS13" i="7"/>
  <c r="CF13" i="7"/>
  <c r="BY13" i="7"/>
  <c r="AA13" i="7"/>
  <c r="AD13" i="7"/>
  <c r="AB13" i="7"/>
  <c r="BT13" i="7"/>
  <c r="CL13" i="7"/>
  <c r="CG13" i="7"/>
  <c r="H13" i="7"/>
  <c r="AE13" i="7"/>
  <c r="O13" i="7"/>
  <c r="AC13" i="7"/>
  <c r="M13" i="7"/>
  <c r="AX13" i="7"/>
  <c r="BV13" i="7"/>
  <c r="AT13" i="7"/>
  <c r="BN13" i="7"/>
  <c r="AG13" i="7"/>
  <c r="BB13" i="7"/>
  <c r="F32" i="14"/>
  <c r="F34" i="14"/>
  <c r="F33" i="14"/>
  <c r="F36" i="14"/>
  <c r="F37" i="14"/>
  <c r="F38" i="14"/>
  <c r="F35" i="14"/>
  <c r="AZ8" i="7"/>
  <c r="AM8" i="7"/>
  <c r="BR8" i="7"/>
  <c r="J8" i="7"/>
  <c r="AC8" i="7"/>
  <c r="BJ8" i="7"/>
  <c r="CJ8" i="7"/>
  <c r="R8" i="7"/>
  <c r="CR8" i="7"/>
  <c r="BQ8" i="7"/>
  <c r="U8" i="7"/>
  <c r="CM8" i="7"/>
  <c r="AP8" i="7"/>
  <c r="AF8" i="7"/>
  <c r="BM8" i="7"/>
  <c r="T8" i="7"/>
  <c r="M8" i="7"/>
  <c r="Z8" i="7"/>
  <c r="BN8" i="7"/>
  <c r="CE8" i="7"/>
  <c r="I8" i="7"/>
  <c r="AE8" i="7"/>
  <c r="V8" i="7"/>
  <c r="BV8" i="7"/>
  <c r="BC8" i="7"/>
  <c r="AK8" i="7"/>
  <c r="BG8" i="7"/>
  <c r="AD8" i="7"/>
  <c r="CK8" i="7"/>
  <c r="AV8" i="7"/>
  <c r="AH8" i="7"/>
  <c r="BE8" i="7"/>
  <c r="BL8" i="7"/>
  <c r="Y8" i="7"/>
  <c r="BH8" i="7"/>
  <c r="O8" i="7"/>
  <c r="CG8" i="7"/>
  <c r="CL8" i="7"/>
  <c r="BZ8" i="7"/>
  <c r="L8" i="7"/>
  <c r="BF8" i="7"/>
  <c r="P8" i="7"/>
  <c r="AW8" i="7"/>
  <c r="BY8" i="7"/>
  <c r="BS8" i="7"/>
  <c r="AO8" i="7"/>
  <c r="AG8" i="7"/>
  <c r="CA8" i="7"/>
  <c r="S8" i="7"/>
  <c r="CC8" i="7"/>
  <c r="CF8" i="7"/>
  <c r="CD8" i="7"/>
  <c r="AU8" i="7"/>
  <c r="CS8" i="7"/>
  <c r="F8" i="7"/>
  <c r="AN8" i="7"/>
  <c r="BI8" i="7"/>
  <c r="K8" i="7"/>
  <c r="BT8" i="7"/>
  <c r="AT8" i="7"/>
  <c r="AY8" i="7"/>
  <c r="BU8" i="7"/>
  <c r="BB8" i="7"/>
  <c r="BX8" i="7"/>
  <c r="AR8" i="7"/>
  <c r="E8" i="7"/>
  <c r="CH8" i="7"/>
  <c r="BK8" i="7"/>
  <c r="BW8" i="7"/>
  <c r="CI8" i="7"/>
  <c r="AX8" i="7"/>
  <c r="CN8" i="7"/>
  <c r="BD8" i="7"/>
  <c r="CP8" i="7"/>
  <c r="CB8" i="7"/>
  <c r="AB8" i="7"/>
  <c r="N8" i="7"/>
  <c r="AS8" i="7"/>
  <c r="H8" i="7"/>
  <c r="AQ8" i="7"/>
  <c r="BA8" i="7"/>
  <c r="AL8" i="7"/>
  <c r="AA8" i="7"/>
  <c r="W8" i="7"/>
  <c r="AJ8" i="7"/>
  <c r="CO8" i="7"/>
  <c r="CQ8" i="7"/>
  <c r="X8" i="7"/>
  <c r="G8" i="7"/>
  <c r="AI8" i="7"/>
  <c r="Q8" i="7"/>
  <c r="BP8" i="7"/>
  <c r="BO8" i="7"/>
  <c r="G32" i="13" a="1"/>
  <c r="E44" i="10" a="1"/>
  <c r="AJ24" i="10"/>
  <c r="AG24" i="10"/>
  <c r="AD24" i="10"/>
  <c r="W24" i="10"/>
  <c r="E24" i="10"/>
  <c r="F24" i="10"/>
  <c r="L24" i="10"/>
  <c r="M24" i="10"/>
  <c r="N24" i="10"/>
  <c r="K24" i="10"/>
  <c r="AB24" i="10"/>
  <c r="J24" i="10"/>
  <c r="S24" i="10"/>
  <c r="Q24" i="10"/>
  <c r="Z24" i="10"/>
  <c r="AI24" i="10"/>
  <c r="Y24" i="10"/>
  <c r="O24" i="10"/>
  <c r="P24" i="10"/>
  <c r="AK24" i="10"/>
  <c r="AE24" i="10"/>
  <c r="AF24" i="10"/>
  <c r="AH24" i="10"/>
  <c r="I24" i="10"/>
  <c r="U24" i="10"/>
  <c r="R24" i="10"/>
  <c r="V24" i="10"/>
  <c r="X24" i="10"/>
  <c r="AL24" i="10"/>
  <c r="CS59" i="10"/>
  <c r="G24" i="10"/>
  <c r="AA24" i="10"/>
  <c r="H24" i="10"/>
  <c r="T24" i="10"/>
  <c r="AC24" i="10"/>
  <c r="P23" i="10"/>
  <c r="W23" i="10"/>
  <c r="U23" i="10"/>
  <c r="N23" i="10"/>
  <c r="T23" i="10"/>
  <c r="AE23" i="10"/>
  <c r="AG23" i="10"/>
  <c r="AD23" i="10"/>
  <c r="H23" i="10"/>
  <c r="AA23" i="10"/>
  <c r="AK23" i="10"/>
  <c r="AL23" i="10"/>
  <c r="CS58" i="10"/>
  <c r="X23" i="10"/>
  <c r="E23" i="10"/>
  <c r="F23" i="10"/>
  <c r="K23" i="10"/>
  <c r="AB23" i="10"/>
  <c r="Q23" i="10"/>
  <c r="AH23" i="10"/>
  <c r="G23" i="10"/>
  <c r="O23" i="10"/>
  <c r="Y23" i="10"/>
  <c r="AF23" i="10"/>
  <c r="J23" i="10"/>
  <c r="AI23" i="10"/>
  <c r="Z23" i="10"/>
  <c r="S23" i="10"/>
  <c r="I23" i="10"/>
  <c r="AC23" i="10"/>
  <c r="R23" i="10"/>
  <c r="AJ23" i="10"/>
  <c r="V23" i="10"/>
  <c r="M23" i="10"/>
  <c r="L23" i="10"/>
  <c r="F36" i="12"/>
  <c r="I21" i="14"/>
  <c r="F35" i="17"/>
  <c r="F38" i="17"/>
  <c r="F32" i="17"/>
  <c r="G37" i="17"/>
  <c r="F36" i="17"/>
  <c r="F33" i="17"/>
  <c r="G35" i="17"/>
  <c r="G34" i="17"/>
  <c r="G33" i="17"/>
  <c r="G36" i="17"/>
  <c r="G38" i="17"/>
  <c r="U21" i="14"/>
  <c r="F21" i="14"/>
  <c r="F37" i="12"/>
  <c r="F37" i="17"/>
  <c r="AJ22" i="10"/>
  <c r="F35" i="12"/>
  <c r="F33" i="12"/>
  <c r="F38" i="12"/>
  <c r="AF22" i="10"/>
  <c r="AE22" i="10"/>
  <c r="S22" i="10"/>
  <c r="F32" i="12"/>
  <c r="M22" i="10"/>
  <c r="AG22" i="10"/>
  <c r="T27" i="10"/>
  <c r="Q27" i="10"/>
  <c r="S27" i="10"/>
  <c r="O27" i="10"/>
  <c r="V27" i="10"/>
  <c r="N27" i="10"/>
  <c r="R27" i="10"/>
  <c r="L27" i="10"/>
  <c r="AJ27" i="10"/>
  <c r="F27" i="10"/>
  <c r="U27" i="10"/>
  <c r="Z27" i="10"/>
  <c r="J27" i="10"/>
  <c r="K27" i="10"/>
  <c r="E27" i="10"/>
  <c r="X27" i="10"/>
  <c r="W27" i="10"/>
  <c r="AC27" i="10"/>
  <c r="AB27" i="10"/>
  <c r="AA27" i="10"/>
  <c r="AK27" i="10"/>
  <c r="AL27" i="10"/>
  <c r="CS62" i="10"/>
  <c r="AI27" i="10"/>
  <c r="AG27" i="10"/>
  <c r="AE27" i="10"/>
  <c r="AF27" i="10"/>
  <c r="M27" i="10"/>
  <c r="H27" i="10"/>
  <c r="G27" i="10"/>
  <c r="I27" i="10"/>
  <c r="Y27" i="10"/>
  <c r="P27" i="10"/>
  <c r="AD27" i="10"/>
  <c r="J22" i="10"/>
  <c r="R22" i="10"/>
  <c r="AA22" i="10"/>
  <c r="AB22" i="10"/>
  <c r="AI22" i="10"/>
  <c r="Q22" i="10"/>
  <c r="K22" i="10"/>
  <c r="N22" i="10"/>
  <c r="AK22" i="10"/>
  <c r="I22" i="10"/>
  <c r="P22" i="10"/>
  <c r="AL22" i="10"/>
  <c r="CS57" i="10"/>
  <c r="H22" i="10"/>
  <c r="L22" i="10"/>
  <c r="AH22" i="10"/>
  <c r="U22" i="10"/>
  <c r="Z22" i="10"/>
  <c r="T22" i="10"/>
  <c r="E22" i="10"/>
  <c r="X22" i="10"/>
  <c r="V22" i="10"/>
  <c r="O22" i="10"/>
  <c r="G22" i="10"/>
  <c r="W22" i="10"/>
  <c r="Y22" i="10"/>
  <c r="AC22" i="10"/>
  <c r="F22" i="10"/>
  <c r="S21" i="14"/>
  <c r="P137" i="12"/>
  <c r="X137" i="12"/>
  <c r="V137" i="12"/>
  <c r="E137" i="12"/>
  <c r="Z137" i="12"/>
  <c r="N156" i="14"/>
  <c r="AI156" i="14"/>
  <c r="AA156" i="14"/>
  <c r="Y156" i="14"/>
  <c r="AK137" i="12"/>
  <c r="AD137" i="12"/>
  <c r="Y137" i="12"/>
  <c r="T137" i="12"/>
  <c r="AC137" i="12"/>
  <c r="AA137" i="12"/>
  <c r="AI137" i="12"/>
  <c r="J174" i="16"/>
  <c r="AC174" i="16"/>
  <c r="Q174" i="16"/>
  <c r="I174" i="16"/>
  <c r="AK174" i="16"/>
  <c r="G174" i="16"/>
  <c r="S174" i="16"/>
  <c r="L174" i="16"/>
  <c r="O174" i="16"/>
  <c r="M174" i="16"/>
  <c r="R174" i="16"/>
  <c r="F174" i="16"/>
  <c r="AA174" i="16"/>
  <c r="Y174" i="16"/>
  <c r="K174" i="16"/>
  <c r="AH174" i="16"/>
  <c r="P174" i="16"/>
  <c r="AF174" i="16"/>
  <c r="X174" i="16"/>
  <c r="AJ174" i="16"/>
  <c r="AG174" i="16"/>
  <c r="AD174" i="16"/>
  <c r="Z174" i="16"/>
  <c r="U174" i="16"/>
  <c r="AI174" i="16"/>
  <c r="V174" i="16"/>
  <c r="W174" i="16"/>
  <c r="E174" i="16"/>
  <c r="AE174" i="16"/>
  <c r="AB174" i="16"/>
  <c r="AL174" i="16"/>
  <c r="T174" i="16"/>
  <c r="H174" i="16"/>
  <c r="U137" i="12"/>
  <c r="AJ137" i="12"/>
  <c r="H137" i="12"/>
  <c r="O137" i="12"/>
  <c r="AE137" i="12"/>
  <c r="W137" i="12"/>
  <c r="S137" i="12"/>
  <c r="J137" i="12"/>
  <c r="L137" i="12"/>
  <c r="M137" i="12"/>
  <c r="AF137" i="12"/>
  <c r="G137" i="12"/>
  <c r="AG137" i="12"/>
  <c r="F137" i="12"/>
  <c r="Q137" i="12"/>
  <c r="AH137" i="12"/>
  <c r="I137" i="12"/>
  <c r="R137" i="12"/>
  <c r="N137" i="12"/>
  <c r="K137" i="12"/>
  <c r="AB137" i="12"/>
  <c r="V156" i="14"/>
  <c r="X156" i="14"/>
  <c r="AF156" i="14"/>
  <c r="AD156" i="14"/>
  <c r="AE156" i="14"/>
  <c r="AC156" i="14"/>
  <c r="O156" i="14"/>
  <c r="H156" i="14"/>
  <c r="AL156" i="14"/>
  <c r="AB156" i="14"/>
  <c r="F156" i="14"/>
  <c r="AJ156" i="14"/>
  <c r="G156" i="14"/>
  <c r="R156" i="14"/>
  <c r="E156" i="14"/>
  <c r="T156" i="14"/>
  <c r="AH156" i="14"/>
  <c r="I156" i="14"/>
  <c r="U156" i="14"/>
  <c r="J156" i="14"/>
  <c r="L156" i="14"/>
  <c r="Q156" i="14"/>
  <c r="Z156" i="14"/>
  <c r="W156" i="14"/>
  <c r="M156" i="14"/>
  <c r="P156" i="14"/>
  <c r="K156" i="14"/>
  <c r="AG156" i="14"/>
  <c r="AK156" i="14"/>
  <c r="AA113" i="14"/>
  <c r="S162" i="12"/>
  <c r="AD162" i="12"/>
  <c r="E162" i="12"/>
  <c r="U162" i="12"/>
  <c r="T162" i="12"/>
  <c r="AG162" i="12"/>
  <c r="L162" i="12"/>
  <c r="AI162" i="12"/>
  <c r="AH162" i="12"/>
  <c r="AL162" i="12"/>
  <c r="V162" i="12"/>
  <c r="I162" i="12"/>
  <c r="AJ113" i="14"/>
  <c r="AF113" i="14"/>
  <c r="F113" i="14"/>
  <c r="AA162" i="12"/>
  <c r="AC162" i="12"/>
  <c r="R162" i="12"/>
  <c r="W162" i="12"/>
  <c r="AH137" i="16"/>
  <c r="P162" i="12"/>
  <c r="AF162" i="12"/>
  <c r="AB162" i="12"/>
  <c r="F162" i="12"/>
  <c r="AF137" i="16"/>
  <c r="AJ162" i="12"/>
  <c r="O162" i="12"/>
  <c r="N162" i="12"/>
  <c r="Y162" i="12"/>
  <c r="Q162" i="12"/>
  <c r="H162" i="12"/>
  <c r="K162" i="12"/>
  <c r="AK162" i="12"/>
  <c r="G162" i="12"/>
  <c r="AE162" i="12"/>
  <c r="I174" i="12"/>
  <c r="M162" i="12"/>
  <c r="R137" i="16"/>
  <c r="X162" i="12"/>
  <c r="Z162" i="12"/>
  <c r="X131" i="15"/>
  <c r="E131" i="15"/>
  <c r="G131" i="15"/>
  <c r="N131" i="15"/>
  <c r="O131" i="15"/>
  <c r="AC131" i="15"/>
  <c r="AL131" i="15"/>
  <c r="F131" i="15"/>
  <c r="E21" i="17"/>
  <c r="K21" i="18"/>
  <c r="AI21" i="18"/>
  <c r="K21" i="14"/>
  <c r="W131" i="15"/>
  <c r="AI131" i="15"/>
  <c r="H131" i="15"/>
  <c r="J131" i="15"/>
  <c r="Z131" i="15"/>
  <c r="Y131" i="15"/>
  <c r="AA131" i="15"/>
  <c r="AG131" i="15"/>
  <c r="U131" i="15"/>
  <c r="M131" i="15"/>
  <c r="V131" i="15"/>
  <c r="AB131" i="15"/>
  <c r="R131" i="15"/>
  <c r="I131" i="15"/>
  <c r="T131" i="15"/>
  <c r="AJ131" i="15"/>
  <c r="AF131" i="15"/>
  <c r="AI186" i="12"/>
  <c r="AB113" i="14"/>
  <c r="Y113" i="14"/>
  <c r="H113" i="14"/>
  <c r="AH113" i="14"/>
  <c r="AK131" i="15"/>
  <c r="AD131" i="15"/>
  <c r="AE131" i="15"/>
  <c r="K113" i="14"/>
  <c r="X113" i="14"/>
  <c r="E113" i="14"/>
  <c r="N113" i="14"/>
  <c r="AG113" i="14"/>
  <c r="G113" i="14"/>
  <c r="Z113" i="14"/>
  <c r="AL113" i="14"/>
  <c r="U113" i="14"/>
  <c r="Q131" i="15"/>
  <c r="Q113" i="14"/>
  <c r="L131" i="15"/>
  <c r="AH131" i="15"/>
  <c r="P131" i="15"/>
  <c r="S131" i="15"/>
  <c r="I113" i="14"/>
  <c r="AE113" i="14"/>
  <c r="P113" i="14"/>
  <c r="AK113" i="14"/>
  <c r="L113" i="14"/>
  <c r="AE143" i="14"/>
  <c r="AI113" i="14"/>
  <c r="O113" i="14"/>
  <c r="R113" i="14"/>
  <c r="S113" i="14"/>
  <c r="W113" i="14"/>
  <c r="V113" i="14"/>
  <c r="T113" i="14"/>
  <c r="J113" i="14"/>
  <c r="AD113" i="14"/>
  <c r="M113" i="14"/>
  <c r="F137" i="15"/>
  <c r="I137" i="15"/>
  <c r="P137" i="15"/>
  <c r="N137" i="15"/>
  <c r="S137" i="15"/>
  <c r="E137" i="15"/>
  <c r="AC137" i="15"/>
  <c r="AL137" i="15"/>
  <c r="W137" i="15"/>
  <c r="AA137" i="15"/>
  <c r="AD137" i="15"/>
  <c r="J137" i="15"/>
  <c r="M137" i="15"/>
  <c r="T137" i="15"/>
  <c r="AI137" i="15"/>
  <c r="Q162" i="13"/>
  <c r="AD162" i="13"/>
  <c r="U162" i="13"/>
  <c r="P150" i="17"/>
  <c r="AC150" i="17"/>
  <c r="M162" i="13"/>
  <c r="AG150" i="17"/>
  <c r="F162" i="13"/>
  <c r="L150" i="17"/>
  <c r="T162" i="13"/>
  <c r="G150" i="17"/>
  <c r="L168" i="14"/>
  <c r="S113" i="16"/>
  <c r="AC162" i="13"/>
  <c r="J113" i="16"/>
  <c r="G113" i="16"/>
  <c r="AK162" i="13"/>
  <c r="X162" i="13"/>
  <c r="AI113" i="16"/>
  <c r="AL162" i="13"/>
  <c r="AJ162" i="13"/>
  <c r="I150" i="17"/>
  <c r="AA150" i="17"/>
  <c r="O150" i="17"/>
  <c r="AB113" i="16"/>
  <c r="AG113" i="16"/>
  <c r="Y150" i="17"/>
  <c r="S150" i="17"/>
  <c r="L180" i="15"/>
  <c r="J150" i="17"/>
  <c r="AL186" i="14"/>
  <c r="O186" i="14"/>
  <c r="E162" i="13"/>
  <c r="P162" i="13"/>
  <c r="J162" i="13"/>
  <c r="AF150" i="17"/>
  <c r="K150" i="17"/>
  <c r="H113" i="16"/>
  <c r="U150" i="17"/>
  <c r="G186" i="14"/>
  <c r="J186" i="14"/>
  <c r="AG143" i="18"/>
  <c r="AI186" i="14"/>
  <c r="S186" i="14"/>
  <c r="F150" i="17"/>
  <c r="AB150" i="17"/>
  <c r="AK143" i="18"/>
  <c r="T143" i="18"/>
  <c r="AI143" i="18"/>
  <c r="E113" i="16"/>
  <c r="I113" i="16"/>
  <c r="Q113" i="16"/>
  <c r="W162" i="13"/>
  <c r="AE162" i="13"/>
  <c r="AH186" i="14"/>
  <c r="AJ150" i="17"/>
  <c r="V150" i="17"/>
  <c r="N143" i="18"/>
  <c r="R162" i="13"/>
  <c r="AH113" i="16"/>
  <c r="AB186" i="14"/>
  <c r="AJ113" i="16"/>
  <c r="AE186" i="14"/>
  <c r="I186" i="14"/>
  <c r="E186" i="14"/>
  <c r="T113" i="16"/>
  <c r="Z162" i="13"/>
  <c r="AF162" i="13"/>
  <c r="AK150" i="17"/>
  <c r="Q150" i="17"/>
  <c r="AA162" i="13"/>
  <c r="AK186" i="14"/>
  <c r="AE150" i="18"/>
  <c r="J150" i="18"/>
  <c r="V137" i="15"/>
  <c r="R137" i="15"/>
  <c r="AJ137" i="15"/>
  <c r="H137" i="15"/>
  <c r="G137" i="15"/>
  <c r="Z137" i="15"/>
  <c r="AK137" i="15"/>
  <c r="X137" i="15"/>
  <c r="Y137" i="15"/>
  <c r="O137" i="15"/>
  <c r="AG137" i="15"/>
  <c r="AE137" i="15"/>
  <c r="AF137" i="15"/>
  <c r="Q137" i="15"/>
  <c r="L137" i="15"/>
  <c r="AH137" i="15"/>
  <c r="U137" i="15"/>
  <c r="AB137" i="15"/>
  <c r="S162" i="13"/>
  <c r="N113" i="16"/>
  <c r="K162" i="13"/>
  <c r="AH162" i="13"/>
  <c r="V162" i="13"/>
  <c r="O162" i="13"/>
  <c r="M150" i="17"/>
  <c r="H150" i="17"/>
  <c r="AL143" i="18"/>
  <c r="AB143" i="18"/>
  <c r="AG162" i="13"/>
  <c r="AE150" i="17"/>
  <c r="L186" i="14"/>
  <c r="P186" i="14"/>
  <c r="F186" i="14"/>
  <c r="AE113" i="16"/>
  <c r="AB162" i="13"/>
  <c r="AI162" i="13"/>
  <c r="H162" i="13"/>
  <c r="AD186" i="14"/>
  <c r="Z150" i="17"/>
  <c r="E150" i="17"/>
  <c r="W150" i="17"/>
  <c r="F186" i="12"/>
  <c r="Y162" i="13"/>
  <c r="T150" i="17"/>
  <c r="AK113" i="16"/>
  <c r="K186" i="14"/>
  <c r="R186" i="14"/>
  <c r="V113" i="16"/>
  <c r="AF143" i="16"/>
  <c r="X150" i="17"/>
  <c r="O113" i="16"/>
  <c r="AC113" i="16"/>
  <c r="N162" i="13"/>
  <c r="L162" i="13"/>
  <c r="G162" i="13"/>
  <c r="AD150" i="17"/>
  <c r="AL150" i="17"/>
  <c r="R150" i="17"/>
  <c r="AI150" i="17"/>
  <c r="F180" i="15"/>
  <c r="O143" i="18"/>
  <c r="Z113" i="16"/>
  <c r="N150" i="17"/>
  <c r="AA143" i="16"/>
  <c r="J168" i="14"/>
  <c r="AI107" i="15"/>
  <c r="AA150" i="18"/>
  <c r="AL150" i="18"/>
  <c r="AJ107" i="15"/>
  <c r="AC107" i="15"/>
  <c r="R107" i="15"/>
  <c r="Z150" i="18"/>
  <c r="AC150" i="18"/>
  <c r="X186" i="12"/>
  <c r="Y186" i="12"/>
  <c r="E107" i="15"/>
  <c r="O107" i="15"/>
  <c r="AJ150" i="18"/>
  <c r="U150" i="18"/>
  <c r="U186" i="12"/>
  <c r="AC113" i="17"/>
  <c r="M186" i="12"/>
  <c r="AL107" i="15"/>
  <c r="S107" i="15"/>
  <c r="AF107" i="15"/>
  <c r="I180" i="17"/>
  <c r="V162" i="14"/>
  <c r="P150" i="18"/>
  <c r="AK150" i="18"/>
  <c r="V150" i="18"/>
  <c r="AB186" i="12"/>
  <c r="V107" i="15"/>
  <c r="H107" i="15"/>
  <c r="R150" i="18"/>
  <c r="J107" i="15"/>
  <c r="Z107" i="15"/>
  <c r="N107" i="15"/>
  <c r="H150" i="18"/>
  <c r="E186" i="12"/>
  <c r="AA107" i="15"/>
  <c r="L186" i="12"/>
  <c r="AB150" i="18"/>
  <c r="P107" i="15"/>
  <c r="AL180" i="18"/>
  <c r="X180" i="14"/>
  <c r="Q119" i="12"/>
  <c r="E150" i="18"/>
  <c r="X150" i="18"/>
  <c r="O150" i="18"/>
  <c r="AF150" i="18"/>
  <c r="Q150" i="18"/>
  <c r="I107" i="15"/>
  <c r="X107" i="15"/>
  <c r="K107" i="15"/>
  <c r="AE107" i="15"/>
  <c r="AB107" i="15"/>
  <c r="T150" i="18"/>
  <c r="Y150" i="18"/>
  <c r="K150" i="18"/>
  <c r="F150" i="18"/>
  <c r="AD150" i="18"/>
  <c r="AK107" i="15"/>
  <c r="AD107" i="15"/>
  <c r="AH107" i="15"/>
  <c r="W107" i="15"/>
  <c r="N150" i="18"/>
  <c r="S150" i="18"/>
  <c r="G150" i="18"/>
  <c r="AG107" i="15"/>
  <c r="T107" i="15"/>
  <c r="U107" i="15"/>
  <c r="F107" i="15"/>
  <c r="L150" i="18"/>
  <c r="M150" i="18"/>
  <c r="AG150" i="18"/>
  <c r="AI150" i="18"/>
  <c r="I150" i="18"/>
  <c r="AK113" i="17"/>
  <c r="G107" i="15"/>
  <c r="L107" i="15"/>
  <c r="Q107" i="15"/>
  <c r="Y107" i="15"/>
  <c r="AH150" i="18"/>
  <c r="Q150" i="15"/>
  <c r="P174" i="13"/>
  <c r="G143" i="16"/>
  <c r="U143" i="16"/>
  <c r="AK131" i="12"/>
  <c r="AA119" i="12"/>
  <c r="Y119" i="12"/>
  <c r="R131" i="12"/>
  <c r="L168" i="17"/>
  <c r="J131" i="12"/>
  <c r="AG119" i="16"/>
  <c r="AC125" i="15"/>
  <c r="U131" i="12"/>
  <c r="V119" i="12"/>
  <c r="N186" i="17"/>
  <c r="T168" i="17"/>
  <c r="E131" i="12"/>
  <c r="M131" i="12"/>
  <c r="AI119" i="12"/>
  <c r="AJ168" i="17"/>
  <c r="AI131" i="12"/>
  <c r="S119" i="12"/>
  <c r="AJ131" i="12"/>
  <c r="AL131" i="12"/>
  <c r="Z131" i="12"/>
  <c r="Z119" i="12"/>
  <c r="R119" i="12"/>
  <c r="AB162" i="15"/>
  <c r="H168" i="17"/>
  <c r="Y131" i="12"/>
  <c r="P131" i="12"/>
  <c r="AE119" i="12"/>
  <c r="L119" i="12"/>
  <c r="AJ174" i="18"/>
  <c r="K131" i="18"/>
  <c r="W131" i="18"/>
  <c r="S131" i="18"/>
  <c r="F131" i="18"/>
  <c r="AD186" i="12"/>
  <c r="AC186" i="12"/>
  <c r="Z186" i="12"/>
  <c r="AG131" i="18"/>
  <c r="P131" i="18"/>
  <c r="AL131" i="18"/>
  <c r="AC131" i="18"/>
  <c r="L131" i="18"/>
  <c r="J131" i="18"/>
  <c r="AF131" i="18"/>
  <c r="AH186" i="12"/>
  <c r="Z131" i="18"/>
  <c r="AH131" i="18"/>
  <c r="U131" i="18"/>
  <c r="J186" i="12"/>
  <c r="AJ186" i="12"/>
  <c r="AK186" i="12"/>
  <c r="AE131" i="18"/>
  <c r="AB131" i="18"/>
  <c r="H131" i="18"/>
  <c r="T131" i="18"/>
  <c r="S186" i="12"/>
  <c r="AL186" i="12"/>
  <c r="AA186" i="12"/>
  <c r="I131" i="18"/>
  <c r="Q131" i="18"/>
  <c r="V131" i="18"/>
  <c r="Q186" i="12"/>
  <c r="AF186" i="12"/>
  <c r="AE186" i="12"/>
  <c r="G131" i="18"/>
  <c r="AG186" i="12"/>
  <c r="V186" i="12"/>
  <c r="AJ131" i="18"/>
  <c r="X131" i="18"/>
  <c r="AD131" i="18"/>
  <c r="O131" i="18"/>
  <c r="E131" i="18"/>
  <c r="AA131" i="18"/>
  <c r="AK131" i="18"/>
  <c r="H186" i="12"/>
  <c r="P186" i="12"/>
  <c r="R186" i="12"/>
  <c r="O186" i="12"/>
  <c r="I186" i="12"/>
  <c r="N186" i="12"/>
  <c r="Y131" i="18"/>
  <c r="AI131" i="18"/>
  <c r="N131" i="18"/>
  <c r="R131" i="18"/>
  <c r="W186" i="12"/>
  <c r="G186" i="12"/>
  <c r="K186" i="12"/>
  <c r="G119" i="18"/>
  <c r="K119" i="18"/>
  <c r="U119" i="18"/>
  <c r="H119" i="18"/>
  <c r="AH119" i="18"/>
  <c r="F186" i="16"/>
  <c r="AE119" i="18"/>
  <c r="AD119" i="18"/>
  <c r="P162" i="17"/>
  <c r="AI119" i="18"/>
  <c r="F119" i="18"/>
  <c r="L150" i="12"/>
  <c r="J119" i="18"/>
  <c r="O143" i="13"/>
  <c r="T119" i="18"/>
  <c r="AG119" i="18"/>
  <c r="S143" i="13"/>
  <c r="N119" i="18"/>
  <c r="AJ119" i="18"/>
  <c r="I119" i="18"/>
  <c r="AC156" i="13"/>
  <c r="I156" i="13"/>
  <c r="L119" i="18"/>
  <c r="V119" i="18"/>
  <c r="Y119" i="18"/>
  <c r="AC119" i="18"/>
  <c r="O119" i="18"/>
  <c r="AF119" i="18"/>
  <c r="R119" i="18"/>
  <c r="AA119" i="18"/>
  <c r="P119" i="18"/>
  <c r="S119" i="18"/>
  <c r="AB119" i="18"/>
  <c r="AG162" i="17"/>
  <c r="E119" i="18"/>
  <c r="Z119" i="18"/>
  <c r="AK119" i="18"/>
  <c r="X119" i="18"/>
  <c r="Y143" i="13"/>
  <c r="W119" i="18"/>
  <c r="AL119" i="18"/>
  <c r="M119" i="18"/>
  <c r="AL150" i="12"/>
  <c r="AF174" i="17"/>
  <c r="AL168" i="17"/>
  <c r="G168" i="17"/>
  <c r="AB174" i="17"/>
  <c r="I131" i="12"/>
  <c r="G131" i="12"/>
  <c r="Q131" i="12"/>
  <c r="AC131" i="12"/>
  <c r="F119" i="12"/>
  <c r="AF119" i="12"/>
  <c r="AB119" i="12"/>
  <c r="N119" i="12"/>
  <c r="I168" i="17"/>
  <c r="AJ174" i="17"/>
  <c r="AA168" i="17"/>
  <c r="K168" i="17"/>
  <c r="AE131" i="12"/>
  <c r="L131" i="12"/>
  <c r="AD131" i="12"/>
  <c r="I119" i="12"/>
  <c r="AD119" i="12"/>
  <c r="H119" i="12"/>
  <c r="J119" i="12"/>
  <c r="K119" i="12"/>
  <c r="AA174" i="18"/>
  <c r="AB168" i="17"/>
  <c r="L174" i="17"/>
  <c r="AD168" i="17"/>
  <c r="T131" i="12"/>
  <c r="V131" i="12"/>
  <c r="S131" i="12"/>
  <c r="N131" i="12"/>
  <c r="AF131" i="12"/>
  <c r="R162" i="15"/>
  <c r="W119" i="12"/>
  <c r="G119" i="12"/>
  <c r="AC119" i="12"/>
  <c r="AG119" i="12"/>
  <c r="T119" i="12"/>
  <c r="AJ119" i="12"/>
  <c r="X168" i="17"/>
  <c r="AB131" i="12"/>
  <c r="O131" i="12"/>
  <c r="X131" i="12"/>
  <c r="AA131" i="12"/>
  <c r="AG131" i="12"/>
  <c r="AH168" i="17"/>
  <c r="O119" i="12"/>
  <c r="P119" i="12"/>
  <c r="U119" i="12"/>
  <c r="AK119" i="12"/>
  <c r="AH119" i="12"/>
  <c r="S174" i="18"/>
  <c r="Z162" i="15"/>
  <c r="AF168" i="17"/>
  <c r="AH131" i="12"/>
  <c r="K131" i="12"/>
  <c r="W131" i="12"/>
  <c r="F131" i="12"/>
  <c r="AL119" i="12"/>
  <c r="M119" i="12"/>
  <c r="X119" i="12"/>
  <c r="AD174" i="18"/>
  <c r="O119" i="16"/>
  <c r="O113" i="15"/>
  <c r="AG174" i="14"/>
  <c r="X186" i="16"/>
  <c r="M186" i="13"/>
  <c r="L162" i="17"/>
  <c r="AA156" i="13"/>
  <c r="AJ113" i="15"/>
  <c r="F150" i="12"/>
  <c r="U150" i="12"/>
  <c r="AH174" i="14"/>
  <c r="V143" i="13"/>
  <c r="AF186" i="13"/>
  <c r="AK162" i="17"/>
  <c r="T156" i="13"/>
  <c r="K113" i="15"/>
  <c r="P150" i="12"/>
  <c r="K150" i="12"/>
  <c r="AL186" i="13"/>
  <c r="U186" i="13"/>
  <c r="W186" i="16"/>
  <c r="R143" i="13"/>
  <c r="Y186" i="13"/>
  <c r="S156" i="13"/>
  <c r="AJ162" i="17"/>
  <c r="H156" i="13"/>
  <c r="AF113" i="15"/>
  <c r="V113" i="15"/>
  <c r="L143" i="13"/>
  <c r="V186" i="13"/>
  <c r="T162" i="17"/>
  <c r="X156" i="13"/>
  <c r="AI113" i="15"/>
  <c r="H150" i="12"/>
  <c r="T186" i="16"/>
  <c r="U186" i="16"/>
  <c r="AE186" i="16"/>
  <c r="K143" i="13"/>
  <c r="F162" i="17"/>
  <c r="AC186" i="13"/>
  <c r="AJ156" i="13"/>
  <c r="AH113" i="15"/>
  <c r="M150" i="12"/>
  <c r="Y113" i="15"/>
  <c r="AL186" i="16"/>
  <c r="AF174" i="14"/>
  <c r="H186" i="16"/>
  <c r="V186" i="16"/>
  <c r="S186" i="16"/>
  <c r="X143" i="13"/>
  <c r="Q186" i="13"/>
  <c r="AL162" i="17"/>
  <c r="AD156" i="13"/>
  <c r="I113" i="15"/>
  <c r="AE150" i="12"/>
  <c r="K174" i="14"/>
  <c r="L137" i="18"/>
  <c r="I137" i="18"/>
  <c r="AB119" i="13"/>
  <c r="P137" i="16"/>
  <c r="J137" i="16"/>
  <c r="U174" i="12"/>
  <c r="S137" i="16"/>
  <c r="E137" i="16"/>
  <c r="M137" i="16"/>
  <c r="E174" i="12"/>
  <c r="AD180" i="15"/>
  <c r="P174" i="12"/>
  <c r="L137" i="16"/>
  <c r="AA137" i="14"/>
  <c r="Q174" i="12"/>
  <c r="AE174" i="12"/>
  <c r="Y137" i="16"/>
  <c r="N137" i="16"/>
  <c r="AJ137" i="16"/>
  <c r="H137" i="16"/>
  <c r="AD174" i="12"/>
  <c r="Q186" i="18"/>
  <c r="Z156" i="15"/>
  <c r="AH180" i="15"/>
  <c r="K180" i="15"/>
  <c r="G174" i="13"/>
  <c r="V180" i="15"/>
  <c r="T186" i="18"/>
  <c r="G180" i="15"/>
  <c r="N156" i="15"/>
  <c r="I137" i="14"/>
  <c r="E137" i="14"/>
  <c r="Y137" i="14"/>
  <c r="N137" i="14"/>
  <c r="AD137" i="14"/>
  <c r="AH137" i="14"/>
  <c r="G137" i="14"/>
  <c r="AC137" i="14"/>
  <c r="M137" i="14"/>
  <c r="AD156" i="15"/>
  <c r="M143" i="12"/>
  <c r="Q143" i="12"/>
  <c r="I143" i="12"/>
  <c r="AI156" i="15"/>
  <c r="AL21" i="17"/>
  <c r="F143" i="12"/>
  <c r="L143" i="12"/>
  <c r="X143" i="12"/>
  <c r="AB107" i="13"/>
  <c r="J21" i="14"/>
  <c r="V21" i="14"/>
  <c r="Y143" i="12"/>
  <c r="AF21" i="14"/>
  <c r="U143" i="12"/>
  <c r="E107" i="13"/>
  <c r="AC143" i="12"/>
  <c r="P143" i="12"/>
  <c r="H143" i="12"/>
  <c r="AG143" i="12"/>
  <c r="G156" i="15"/>
  <c r="E156" i="15"/>
  <c r="AK156" i="15"/>
  <c r="V156" i="15"/>
  <c r="AD107" i="13"/>
  <c r="J156" i="15"/>
  <c r="V107" i="13"/>
  <c r="AA107" i="13"/>
  <c r="AH143" i="12"/>
  <c r="V143" i="15"/>
  <c r="K143" i="12"/>
  <c r="AK143" i="12"/>
  <c r="E143" i="12"/>
  <c r="O143" i="12"/>
  <c r="AL156" i="15"/>
  <c r="AA156" i="15"/>
  <c r="AE168" i="15"/>
  <c r="S119" i="17"/>
  <c r="Q156" i="15"/>
  <c r="U156" i="15"/>
  <c r="AK143" i="15"/>
  <c r="H113" i="13"/>
  <c r="U125" i="17"/>
  <c r="AB143" i="12"/>
  <c r="AE143" i="12"/>
  <c r="V143" i="12"/>
  <c r="N143" i="12"/>
  <c r="L156" i="15"/>
  <c r="AF156" i="15"/>
  <c r="I156" i="15"/>
  <c r="S156" i="15"/>
  <c r="X156" i="15"/>
  <c r="R156" i="15"/>
  <c r="AF113" i="13"/>
  <c r="AB125" i="17"/>
  <c r="T143" i="12"/>
  <c r="AJ143" i="12"/>
  <c r="AB168" i="15"/>
  <c r="AE156" i="15"/>
  <c r="W156" i="15"/>
  <c r="O156" i="15"/>
  <c r="H156" i="15"/>
  <c r="M156" i="15"/>
  <c r="AH156" i="15"/>
  <c r="T156" i="15"/>
  <c r="J143" i="12"/>
  <c r="W113" i="13"/>
  <c r="AI143" i="12"/>
  <c r="G143" i="12"/>
  <c r="W143" i="12"/>
  <c r="AF143" i="12"/>
  <c r="AB156" i="15"/>
  <c r="P156" i="15"/>
  <c r="AJ156" i="15"/>
  <c r="K156" i="15"/>
  <c r="AF107" i="12"/>
  <c r="R143" i="12"/>
  <c r="Z143" i="12"/>
  <c r="I113" i="13"/>
  <c r="AA143" i="12"/>
  <c r="S143" i="12"/>
  <c r="AL143" i="12"/>
  <c r="AC156" i="15"/>
  <c r="AG156" i="15"/>
  <c r="F156" i="15"/>
  <c r="T137" i="16"/>
  <c r="Z137" i="16"/>
  <c r="G137" i="16"/>
  <c r="O137" i="16"/>
  <c r="U137" i="14"/>
  <c r="O137" i="14"/>
  <c r="P137" i="14"/>
  <c r="AC174" i="12"/>
  <c r="AJ174" i="12"/>
  <c r="AB174" i="12"/>
  <c r="L174" i="12"/>
  <c r="X137" i="16"/>
  <c r="T137" i="14"/>
  <c r="X137" i="18"/>
  <c r="Q137" i="16"/>
  <c r="V137" i="16"/>
  <c r="Z137" i="14"/>
  <c r="H137" i="14"/>
  <c r="N174" i="12"/>
  <c r="V174" i="12"/>
  <c r="F174" i="12"/>
  <c r="AI174" i="12"/>
  <c r="AF174" i="12"/>
  <c r="W174" i="12"/>
  <c r="T174" i="12"/>
  <c r="AI137" i="16"/>
  <c r="AH174" i="12"/>
  <c r="L137" i="14"/>
  <c r="F137" i="16"/>
  <c r="AL137" i="16"/>
  <c r="AG137" i="16"/>
  <c r="AA137" i="16"/>
  <c r="AE137" i="14"/>
  <c r="K137" i="14"/>
  <c r="AK137" i="14"/>
  <c r="AK174" i="12"/>
  <c r="H174" i="12"/>
  <c r="AL174" i="12"/>
  <c r="G174" i="12"/>
  <c r="Z119" i="13"/>
  <c r="R137" i="18"/>
  <c r="AL137" i="14"/>
  <c r="Q137" i="14"/>
  <c r="AI137" i="14"/>
  <c r="Y174" i="12"/>
  <c r="S174" i="12"/>
  <c r="M174" i="12"/>
  <c r="R174" i="12"/>
  <c r="AF137" i="14"/>
  <c r="AB137" i="16"/>
  <c r="AD137" i="16"/>
  <c r="U137" i="16"/>
  <c r="AB137" i="14"/>
  <c r="S137" i="14"/>
  <c r="AJ137" i="14"/>
  <c r="Z174" i="12"/>
  <c r="AA174" i="12"/>
  <c r="AG174" i="12"/>
  <c r="W137" i="14"/>
  <c r="W119" i="13"/>
  <c r="K137" i="16"/>
  <c r="AK137" i="16"/>
  <c r="AC137" i="16"/>
  <c r="I137" i="16"/>
  <c r="R137" i="14"/>
  <c r="J137" i="14"/>
  <c r="F137" i="14"/>
  <c r="V137" i="14"/>
  <c r="J174" i="12"/>
  <c r="K174" i="12"/>
  <c r="X174" i="12"/>
  <c r="W137" i="16"/>
  <c r="AG137" i="14"/>
  <c r="J143" i="14"/>
  <c r="AE131" i="16"/>
  <c r="G168" i="16"/>
  <c r="AI107" i="16"/>
  <c r="AL162" i="16"/>
  <c r="Z168" i="16"/>
  <c r="R137" i="17"/>
  <c r="P143" i="14"/>
  <c r="M162" i="16"/>
  <c r="AC143" i="14"/>
  <c r="W162" i="16"/>
  <c r="O107" i="16"/>
  <c r="K119" i="14"/>
  <c r="J113" i="12"/>
  <c r="L143" i="14"/>
  <c r="Y143" i="14"/>
  <c r="AI131" i="16"/>
  <c r="S162" i="16"/>
  <c r="K168" i="16"/>
  <c r="J107" i="16"/>
  <c r="T186" i="15"/>
  <c r="O168" i="12"/>
  <c r="E119" i="14"/>
  <c r="U119" i="14"/>
  <c r="AB143" i="14"/>
  <c r="AA143" i="14"/>
  <c r="AL143" i="14"/>
  <c r="I143" i="14"/>
  <c r="F143" i="14"/>
  <c r="AK143" i="14"/>
  <c r="I107" i="16"/>
  <c r="AH119" i="14"/>
  <c r="G168" i="12"/>
  <c r="AL186" i="15"/>
  <c r="AA113" i="12"/>
  <c r="AH143" i="14"/>
  <c r="H143" i="14"/>
  <c r="Z143" i="14"/>
  <c r="Q168" i="16"/>
  <c r="AJ137" i="17"/>
  <c r="AJ113" i="12"/>
  <c r="AF143" i="14"/>
  <c r="S143" i="14"/>
  <c r="AJ143" i="14"/>
  <c r="AD143" i="14"/>
  <c r="U168" i="16"/>
  <c r="H137" i="17"/>
  <c r="AD119" i="14"/>
  <c r="AG143" i="14"/>
  <c r="W143" i="14"/>
  <c r="G143" i="14"/>
  <c r="R143" i="14"/>
  <c r="AI168" i="12"/>
  <c r="AH137" i="17"/>
  <c r="E186" i="15"/>
  <c r="K186" i="15"/>
  <c r="E143" i="14"/>
  <c r="V143" i="14"/>
  <c r="AI143" i="14"/>
  <c r="O143" i="14"/>
  <c r="X143" i="14"/>
  <c r="M143" i="14"/>
  <c r="R131" i="16"/>
  <c r="AB168" i="12"/>
  <c r="J168" i="12"/>
  <c r="U143" i="14"/>
  <c r="T143" i="14"/>
  <c r="N143" i="14"/>
  <c r="Q143" i="14"/>
  <c r="Z131" i="16"/>
  <c r="AH186" i="16"/>
  <c r="Q186" i="16"/>
  <c r="E186" i="16"/>
  <c r="O186" i="16"/>
  <c r="Z143" i="13"/>
  <c r="AB143" i="13"/>
  <c r="N143" i="13"/>
  <c r="N162" i="17"/>
  <c r="G156" i="13"/>
  <c r="I186" i="13"/>
  <c r="H186" i="13"/>
  <c r="X186" i="13"/>
  <c r="AH186" i="13"/>
  <c r="Q162" i="17"/>
  <c r="AI162" i="17"/>
  <c r="M162" i="17"/>
  <c r="AB162" i="17"/>
  <c r="M156" i="13"/>
  <c r="AB156" i="13"/>
  <c r="U156" i="13"/>
  <c r="AL113" i="15"/>
  <c r="P113" i="15"/>
  <c r="T113" i="15"/>
  <c r="AA113" i="15"/>
  <c r="N150" i="12"/>
  <c r="Z113" i="15"/>
  <c r="AF186" i="16"/>
  <c r="V150" i="12"/>
  <c r="AJ143" i="13"/>
  <c r="G150" i="12"/>
  <c r="AF150" i="12"/>
  <c r="I119" i="13"/>
  <c r="AG137" i="18"/>
  <c r="AE174" i="14"/>
  <c r="Q137" i="18"/>
  <c r="J186" i="16"/>
  <c r="G186" i="16"/>
  <c r="M186" i="16"/>
  <c r="AG143" i="13"/>
  <c r="M143" i="13"/>
  <c r="I143" i="13"/>
  <c r="Z186" i="13"/>
  <c r="K186" i="13"/>
  <c r="W186" i="13"/>
  <c r="AB186" i="13"/>
  <c r="Z156" i="13"/>
  <c r="U162" i="17"/>
  <c r="W162" i="17"/>
  <c r="V162" i="17"/>
  <c r="AH156" i="13"/>
  <c r="P156" i="13"/>
  <c r="O156" i="13"/>
  <c r="W156" i="13"/>
  <c r="AA162" i="17"/>
  <c r="T186" i="13"/>
  <c r="L113" i="15"/>
  <c r="AK113" i="15"/>
  <c r="N186" i="13"/>
  <c r="AI186" i="16"/>
  <c r="H113" i="15"/>
  <c r="M113" i="15"/>
  <c r="L186" i="16"/>
  <c r="Y162" i="17"/>
  <c r="AI150" i="12"/>
  <c r="AF143" i="13"/>
  <c r="S150" i="12"/>
  <c r="AA150" i="12"/>
  <c r="O150" i="12"/>
  <c r="Y119" i="13"/>
  <c r="I174" i="14"/>
  <c r="U137" i="18"/>
  <c r="V137" i="18"/>
  <c r="H143" i="13"/>
  <c r="AA186" i="16"/>
  <c r="P186" i="16"/>
  <c r="E143" i="13"/>
  <c r="G143" i="13"/>
  <c r="Q143" i="13"/>
  <c r="AE186" i="13"/>
  <c r="AI186" i="13"/>
  <c r="AK186" i="13"/>
  <c r="J162" i="17"/>
  <c r="AH162" i="17"/>
  <c r="Z162" i="17"/>
  <c r="Y156" i="13"/>
  <c r="E156" i="13"/>
  <c r="N156" i="13"/>
  <c r="S113" i="15"/>
  <c r="F113" i="15"/>
  <c r="AJ186" i="13"/>
  <c r="AJ150" i="12"/>
  <c r="R113" i="15"/>
  <c r="AD186" i="16"/>
  <c r="G162" i="17"/>
  <c r="AK143" i="13"/>
  <c r="AL143" i="13"/>
  <c r="AD150" i="12"/>
  <c r="I150" i="12"/>
  <c r="O119" i="13"/>
  <c r="AL119" i="13"/>
  <c r="AF119" i="13"/>
  <c r="W137" i="18"/>
  <c r="G174" i="14"/>
  <c r="R186" i="16"/>
  <c r="Z186" i="16"/>
  <c r="AH143" i="13"/>
  <c r="W143" i="13"/>
  <c r="U143" i="13"/>
  <c r="E186" i="13"/>
  <c r="AA186" i="13"/>
  <c r="P186" i="13"/>
  <c r="F186" i="13"/>
  <c r="K156" i="13"/>
  <c r="R156" i="13"/>
  <c r="AD162" i="17"/>
  <c r="H162" i="17"/>
  <c r="AC162" i="17"/>
  <c r="AI156" i="13"/>
  <c r="V156" i="13"/>
  <c r="AG156" i="13"/>
  <c r="J113" i="15"/>
  <c r="E113" i="15"/>
  <c r="AG150" i="12"/>
  <c r="U113" i="15"/>
  <c r="AJ186" i="16"/>
  <c r="J143" i="13"/>
  <c r="Y150" i="12"/>
  <c r="R150" i="12"/>
  <c r="AE119" i="13"/>
  <c r="G119" i="13"/>
  <c r="J137" i="18"/>
  <c r="E174" i="14"/>
  <c r="Z174" i="14"/>
  <c r="AD137" i="18"/>
  <c r="M174" i="14"/>
  <c r="AD143" i="13"/>
  <c r="I186" i="16"/>
  <c r="P143" i="13"/>
  <c r="F143" i="13"/>
  <c r="AE143" i="13"/>
  <c r="R186" i="13"/>
  <c r="AG186" i="13"/>
  <c r="G186" i="13"/>
  <c r="AD186" i="13"/>
  <c r="X162" i="17"/>
  <c r="R162" i="17"/>
  <c r="I162" i="17"/>
  <c r="S162" i="17"/>
  <c r="L156" i="13"/>
  <c r="AL156" i="13"/>
  <c r="AK156" i="13"/>
  <c r="AC113" i="15"/>
  <c r="W113" i="15"/>
  <c r="AB113" i="15"/>
  <c r="Q150" i="12"/>
  <c r="E150" i="12"/>
  <c r="X113" i="15"/>
  <c r="AB186" i="16"/>
  <c r="X150" i="12"/>
  <c r="AH150" i="12"/>
  <c r="AF137" i="18"/>
  <c r="AA119" i="13"/>
  <c r="AI137" i="18"/>
  <c r="AB174" i="14"/>
  <c r="AC150" i="12"/>
  <c r="O137" i="18"/>
  <c r="N119" i="13"/>
  <c r="N186" i="16"/>
  <c r="Y186" i="16"/>
  <c r="AC186" i="16"/>
  <c r="AG186" i="16"/>
  <c r="K186" i="16"/>
  <c r="AI143" i="13"/>
  <c r="AC143" i="13"/>
  <c r="T143" i="13"/>
  <c r="F156" i="13"/>
  <c r="L186" i="13"/>
  <c r="S186" i="13"/>
  <c r="O186" i="13"/>
  <c r="K162" i="17"/>
  <c r="AF162" i="17"/>
  <c r="O162" i="17"/>
  <c r="E162" i="17"/>
  <c r="J156" i="13"/>
  <c r="Q156" i="13"/>
  <c r="AF156" i="13"/>
  <c r="Q113" i="15"/>
  <c r="AG113" i="15"/>
  <c r="N113" i="15"/>
  <c r="G113" i="15"/>
  <c r="W150" i="12"/>
  <c r="T150" i="12"/>
  <c r="AD113" i="15"/>
  <c r="AB150" i="12"/>
  <c r="J150" i="12"/>
  <c r="Z150" i="12"/>
  <c r="G137" i="18"/>
  <c r="Q174" i="14"/>
  <c r="AK119" i="13"/>
  <c r="AH137" i="18"/>
  <c r="S174" i="14"/>
  <c r="AE168" i="12"/>
  <c r="AG162" i="16"/>
  <c r="E162" i="16"/>
  <c r="AJ168" i="16"/>
  <c r="Y168" i="16"/>
  <c r="R107" i="16"/>
  <c r="W107" i="16"/>
  <c r="W186" i="15"/>
  <c r="AC119" i="14"/>
  <c r="W113" i="12"/>
  <c r="P131" i="16"/>
  <c r="R168" i="12"/>
  <c r="AF168" i="12"/>
  <c r="W168" i="16"/>
  <c r="AA162" i="16"/>
  <c r="X162" i="16"/>
  <c r="AK168" i="16"/>
  <c r="S168" i="16"/>
  <c r="Z162" i="16"/>
  <c r="AB162" i="16"/>
  <c r="T137" i="17"/>
  <c r="AK137" i="17"/>
  <c r="X107" i="16"/>
  <c r="AJ107" i="16"/>
  <c r="K107" i="16"/>
  <c r="AC107" i="16"/>
  <c r="F137" i="17"/>
  <c r="AB137" i="17"/>
  <c r="G137" i="17"/>
  <c r="AL137" i="17"/>
  <c r="AA186" i="15"/>
  <c r="P119" i="14"/>
  <c r="G119" i="14"/>
  <c r="AG186" i="15"/>
  <c r="AD168" i="12"/>
  <c r="AE119" i="14"/>
  <c r="AB119" i="14"/>
  <c r="AG113" i="12"/>
  <c r="AI113" i="12"/>
  <c r="S113" i="12"/>
  <c r="R168" i="16"/>
  <c r="AH186" i="15"/>
  <c r="AA131" i="16"/>
  <c r="AG131" i="16"/>
  <c r="Q131" i="16"/>
  <c r="U168" i="12"/>
  <c r="N168" i="12"/>
  <c r="AF162" i="16"/>
  <c r="M168" i="16"/>
  <c r="I168" i="16"/>
  <c r="H162" i="16"/>
  <c r="AK162" i="16"/>
  <c r="AG137" i="17"/>
  <c r="AF107" i="16"/>
  <c r="E107" i="16"/>
  <c r="AA107" i="16"/>
  <c r="S107" i="16"/>
  <c r="I137" i="17"/>
  <c r="AF137" i="17"/>
  <c r="P137" i="17"/>
  <c r="Q119" i="14"/>
  <c r="V186" i="15"/>
  <c r="Q186" i="15"/>
  <c r="AG168" i="12"/>
  <c r="AK168" i="12"/>
  <c r="L186" i="15"/>
  <c r="X186" i="15"/>
  <c r="J119" i="14"/>
  <c r="Y113" i="12"/>
  <c r="V113" i="12"/>
  <c r="X113" i="12"/>
  <c r="AJ162" i="16"/>
  <c r="F113" i="12"/>
  <c r="H168" i="16"/>
  <c r="AB186" i="15"/>
  <c r="AK131" i="16"/>
  <c r="X131" i="16"/>
  <c r="Q113" i="12"/>
  <c r="I131" i="16"/>
  <c r="N131" i="16"/>
  <c r="AJ168" i="12"/>
  <c r="L168" i="12"/>
  <c r="X168" i="12"/>
  <c r="T168" i="16"/>
  <c r="E168" i="16"/>
  <c r="AD162" i="16"/>
  <c r="AB168" i="16"/>
  <c r="Q162" i="16"/>
  <c r="P168" i="16"/>
  <c r="L137" i="17"/>
  <c r="AE137" i="17"/>
  <c r="AD107" i="16"/>
  <c r="H107" i="16"/>
  <c r="AG107" i="16"/>
  <c r="Q107" i="16"/>
  <c r="V137" i="17"/>
  <c r="S137" i="17"/>
  <c r="W137" i="17"/>
  <c r="M119" i="14"/>
  <c r="S168" i="12"/>
  <c r="AE186" i="15"/>
  <c r="G186" i="15"/>
  <c r="Z186" i="15"/>
  <c r="AI186" i="15"/>
  <c r="T168" i="12"/>
  <c r="I186" i="15"/>
  <c r="AJ119" i="14"/>
  <c r="AE113" i="12"/>
  <c r="AD113" i="12"/>
  <c r="P113" i="12"/>
  <c r="L162" i="16"/>
  <c r="R113" i="12"/>
  <c r="Y162" i="16"/>
  <c r="AD168" i="16"/>
  <c r="O186" i="15"/>
  <c r="V131" i="16"/>
  <c r="AH131" i="16"/>
  <c r="Y131" i="16"/>
  <c r="M131" i="16"/>
  <c r="H113" i="12"/>
  <c r="AC131" i="16"/>
  <c r="T107" i="16"/>
  <c r="O137" i="17"/>
  <c r="AI119" i="14"/>
  <c r="K168" i="12"/>
  <c r="AG168" i="16"/>
  <c r="H186" i="15"/>
  <c r="AD131" i="16"/>
  <c r="W168" i="12"/>
  <c r="Q168" i="12"/>
  <c r="P162" i="16"/>
  <c r="F162" i="16"/>
  <c r="O168" i="16"/>
  <c r="AL168" i="16"/>
  <c r="AH162" i="16"/>
  <c r="I162" i="16"/>
  <c r="N137" i="17"/>
  <c r="AK107" i="16"/>
  <c r="F107" i="16"/>
  <c r="Y107" i="16"/>
  <c r="M107" i="16"/>
  <c r="AC137" i="17"/>
  <c r="X137" i="17"/>
  <c r="Z137" i="17"/>
  <c r="Z119" i="14"/>
  <c r="R186" i="15"/>
  <c r="AD186" i="15"/>
  <c r="AJ186" i="15"/>
  <c r="AK186" i="15"/>
  <c r="M168" i="12"/>
  <c r="AG119" i="14"/>
  <c r="V119" i="14"/>
  <c r="T113" i="12"/>
  <c r="AL113" i="12"/>
  <c r="U162" i="16"/>
  <c r="N113" i="12"/>
  <c r="AC113" i="12"/>
  <c r="AC162" i="16"/>
  <c r="O162" i="16"/>
  <c r="AH168" i="16"/>
  <c r="AK119" i="14"/>
  <c r="AF113" i="12"/>
  <c r="AB131" i="16"/>
  <c r="AF131" i="16"/>
  <c r="AJ131" i="16"/>
  <c r="E131" i="16"/>
  <c r="Y168" i="12"/>
  <c r="AE168" i="16"/>
  <c r="J162" i="16"/>
  <c r="AH107" i="16"/>
  <c r="P107" i="16"/>
  <c r="K137" i="17"/>
  <c r="J137" i="17"/>
  <c r="N186" i="15"/>
  <c r="H119" i="14"/>
  <c r="S186" i="15"/>
  <c r="AL119" i="14"/>
  <c r="U113" i="12"/>
  <c r="R162" i="16"/>
  <c r="AB113" i="12"/>
  <c r="R119" i="14"/>
  <c r="F131" i="16"/>
  <c r="G113" i="12"/>
  <c r="S131" i="16"/>
  <c r="H168" i="12"/>
  <c r="N168" i="16"/>
  <c r="J168" i="16"/>
  <c r="X168" i="16"/>
  <c r="V162" i="16"/>
  <c r="L107" i="16"/>
  <c r="N107" i="16"/>
  <c r="AE107" i="16"/>
  <c r="V107" i="16"/>
  <c r="Y137" i="17"/>
  <c r="U137" i="17"/>
  <c r="M137" i="17"/>
  <c r="P168" i="12"/>
  <c r="AF119" i="14"/>
  <c r="M186" i="15"/>
  <c r="F186" i="15"/>
  <c r="AF186" i="15"/>
  <c r="P186" i="15"/>
  <c r="AH168" i="12"/>
  <c r="I168" i="12"/>
  <c r="I119" i="14"/>
  <c r="W119" i="14"/>
  <c r="O113" i="12"/>
  <c r="AK113" i="12"/>
  <c r="K162" i="16"/>
  <c r="L113" i="12"/>
  <c r="Z113" i="12"/>
  <c r="V168" i="16"/>
  <c r="U186" i="15"/>
  <c r="O119" i="14"/>
  <c r="T131" i="16"/>
  <c r="U131" i="16"/>
  <c r="H131" i="16"/>
  <c r="G131" i="16"/>
  <c r="O131" i="16"/>
  <c r="AC168" i="12"/>
  <c r="E168" i="12"/>
  <c r="V168" i="12"/>
  <c r="F168" i="12"/>
  <c r="AI168" i="16"/>
  <c r="N162" i="16"/>
  <c r="F168" i="16"/>
  <c r="L168" i="16"/>
  <c r="AC168" i="16"/>
  <c r="T162" i="16"/>
  <c r="Q137" i="17"/>
  <c r="AB107" i="16"/>
  <c r="U107" i="16"/>
  <c r="G107" i="16"/>
  <c r="AL107" i="16"/>
  <c r="AA137" i="17"/>
  <c r="AD137" i="17"/>
  <c r="AI137" i="17"/>
  <c r="Y119" i="14"/>
  <c r="L119" i="14"/>
  <c r="Y186" i="15"/>
  <c r="T119" i="14"/>
  <c r="AL168" i="12"/>
  <c r="AC186" i="15"/>
  <c r="AA168" i="12"/>
  <c r="N119" i="14"/>
  <c r="S119" i="14"/>
  <c r="F119" i="14"/>
  <c r="AA119" i="14"/>
  <c r="M113" i="12"/>
  <c r="E113" i="12"/>
  <c r="AI162" i="16"/>
  <c r="I113" i="12"/>
  <c r="AF168" i="16"/>
  <c r="K131" i="16"/>
  <c r="AH113" i="12"/>
  <c r="AE162" i="16"/>
  <c r="W131" i="16"/>
  <c r="AL131" i="16"/>
  <c r="J131" i="16"/>
  <c r="AA162" i="14"/>
  <c r="W180" i="13"/>
  <c r="O180" i="17"/>
  <c r="Q125" i="14"/>
  <c r="Z162" i="14"/>
  <c r="AJ150" i="14"/>
  <c r="Q107" i="17"/>
  <c r="S180" i="18"/>
  <c r="AA125" i="14"/>
  <c r="K162" i="14"/>
  <c r="H150" i="14"/>
  <c r="P113" i="17"/>
  <c r="O113" i="17"/>
  <c r="L150" i="14"/>
  <c r="U113" i="17"/>
  <c r="N125" i="14"/>
  <c r="AA180" i="18"/>
  <c r="AF180" i="18"/>
  <c r="O125" i="14"/>
  <c r="AG162" i="14"/>
  <c r="F113" i="17"/>
  <c r="M113" i="17"/>
  <c r="V113" i="17"/>
  <c r="AF113" i="17"/>
  <c r="AJ180" i="14"/>
  <c r="H180" i="18"/>
  <c r="AB150" i="14"/>
  <c r="E113" i="17"/>
  <c r="Z180" i="17"/>
  <c r="AJ180" i="17"/>
  <c r="S162" i="14"/>
  <c r="U150" i="14"/>
  <c r="L113" i="17"/>
  <c r="H107" i="17"/>
  <c r="Y113" i="17"/>
  <c r="L180" i="13"/>
  <c r="I180" i="13"/>
  <c r="AF150" i="14"/>
  <c r="O180" i="13"/>
  <c r="AG180" i="18"/>
  <c r="AJ180" i="18"/>
  <c r="T180" i="14"/>
  <c r="AG113" i="17"/>
  <c r="AE107" i="17"/>
  <c r="G125" i="14"/>
  <c r="V180" i="18"/>
  <c r="Y180" i="18"/>
  <c r="N162" i="14"/>
  <c r="I180" i="14"/>
  <c r="AK125" i="14"/>
  <c r="L125" i="14"/>
  <c r="L180" i="14"/>
  <c r="Y180" i="14"/>
  <c r="N180" i="14"/>
  <c r="Y162" i="14"/>
  <c r="AF162" i="14"/>
  <c r="P162" i="14"/>
  <c r="AA150" i="14"/>
  <c r="M150" i="14"/>
  <c r="AG150" i="14"/>
  <c r="AB113" i="17"/>
  <c r="AI107" i="17"/>
  <c r="K107" i="17"/>
  <c r="AE113" i="17"/>
  <c r="AA107" i="17"/>
  <c r="J113" i="17"/>
  <c r="AH180" i="13"/>
  <c r="M180" i="13"/>
  <c r="AI113" i="17"/>
  <c r="S125" i="14"/>
  <c r="AE162" i="14"/>
  <c r="AB125" i="14"/>
  <c r="M180" i="17"/>
  <c r="W180" i="18"/>
  <c r="Z180" i="18"/>
  <c r="AI180" i="17"/>
  <c r="W180" i="17"/>
  <c r="L180" i="17"/>
  <c r="P125" i="14"/>
  <c r="N150" i="14"/>
  <c r="X125" i="14"/>
  <c r="AF180" i="14"/>
  <c r="F180" i="14"/>
  <c r="Z180" i="14"/>
  <c r="U162" i="14"/>
  <c r="L162" i="14"/>
  <c r="I162" i="14"/>
  <c r="Y150" i="14"/>
  <c r="F150" i="14"/>
  <c r="AC150" i="14"/>
  <c r="AK107" i="17"/>
  <c r="AH113" i="17"/>
  <c r="AL113" i="17"/>
  <c r="J107" i="17"/>
  <c r="X107" i="17"/>
  <c r="S107" i="17"/>
  <c r="T113" i="17"/>
  <c r="W113" i="17"/>
  <c r="R180" i="13"/>
  <c r="AA180" i="13"/>
  <c r="Z180" i="13"/>
  <c r="Q162" i="14"/>
  <c r="G180" i="13"/>
  <c r="G107" i="17"/>
  <c r="AF107" i="17"/>
  <c r="AG180" i="14"/>
  <c r="K125" i="14"/>
  <c r="AD125" i="14"/>
  <c r="S180" i="17"/>
  <c r="E180" i="18"/>
  <c r="AI180" i="18"/>
  <c r="T180" i="17"/>
  <c r="AB180" i="17"/>
  <c r="AF180" i="17"/>
  <c r="AJ107" i="17"/>
  <c r="AB180" i="14"/>
  <c r="O180" i="14"/>
  <c r="Q150" i="14"/>
  <c r="O107" i="17"/>
  <c r="L107" i="17"/>
  <c r="N107" i="17"/>
  <c r="V180" i="13"/>
  <c r="AK180" i="13"/>
  <c r="AB162" i="14"/>
  <c r="E162" i="14"/>
  <c r="R125" i="14"/>
  <c r="AG125" i="14"/>
  <c r="J162" i="14"/>
  <c r="AC180" i="17"/>
  <c r="M162" i="14"/>
  <c r="J125" i="14"/>
  <c r="J180" i="14"/>
  <c r="E180" i="14"/>
  <c r="AE180" i="14"/>
  <c r="T162" i="14"/>
  <c r="R162" i="14"/>
  <c r="I150" i="14"/>
  <c r="AD150" i="14"/>
  <c r="J150" i="14"/>
  <c r="G113" i="17"/>
  <c r="T107" i="17"/>
  <c r="K113" i="17"/>
  <c r="W107" i="17"/>
  <c r="F107" i="17"/>
  <c r="AB107" i="17"/>
  <c r="AJ113" i="17"/>
  <c r="AI180" i="13"/>
  <c r="N180" i="13"/>
  <c r="T180" i="13"/>
  <c r="Z113" i="17"/>
  <c r="AD180" i="13"/>
  <c r="I125" i="14"/>
  <c r="G180" i="14"/>
  <c r="AH162" i="14"/>
  <c r="AK180" i="18"/>
  <c r="P180" i="17"/>
  <c r="I180" i="18"/>
  <c r="Q180" i="18"/>
  <c r="U180" i="17"/>
  <c r="AL180" i="17"/>
  <c r="Q180" i="17"/>
  <c r="S180" i="14"/>
  <c r="H125" i="14"/>
  <c r="E125" i="14"/>
  <c r="V180" i="17"/>
  <c r="AD180" i="14"/>
  <c r="W125" i="14"/>
  <c r="AA180" i="14"/>
  <c r="V150" i="14"/>
  <c r="E150" i="14"/>
  <c r="J180" i="13"/>
  <c r="AD107" i="17"/>
  <c r="AI150" i="14"/>
  <c r="R180" i="17"/>
  <c r="N180" i="17"/>
  <c r="E180" i="17"/>
  <c r="Y180" i="17"/>
  <c r="AG180" i="17"/>
  <c r="AJ162" i="14"/>
  <c r="P150" i="14"/>
  <c r="AL125" i="14"/>
  <c r="AC180" i="14"/>
  <c r="Q180" i="14"/>
  <c r="R180" i="14"/>
  <c r="F162" i="14"/>
  <c r="AL162" i="14"/>
  <c r="T150" i="14"/>
  <c r="AH150" i="14"/>
  <c r="AE150" i="14"/>
  <c r="Q113" i="17"/>
  <c r="R113" i="17"/>
  <c r="Y107" i="17"/>
  <c r="V107" i="17"/>
  <c r="AL107" i="17"/>
  <c r="I113" i="17"/>
  <c r="AC180" i="13"/>
  <c r="R107" i="17"/>
  <c r="P180" i="13"/>
  <c r="Y180" i="13"/>
  <c r="AF180" i="13"/>
  <c r="S113" i="17"/>
  <c r="S150" i="14"/>
  <c r="U125" i="14"/>
  <c r="AH180" i="14"/>
  <c r="AC162" i="14"/>
  <c r="AH180" i="18"/>
  <c r="U180" i="18"/>
  <c r="F180" i="18"/>
  <c r="AE180" i="18"/>
  <c r="AE180" i="17"/>
  <c r="G180" i="17"/>
  <c r="AD180" i="17"/>
  <c r="AJ125" i="14"/>
  <c r="L180" i="18"/>
  <c r="X150" i="14"/>
  <c r="Z125" i="14"/>
  <c r="V180" i="14"/>
  <c r="Y125" i="14"/>
  <c r="AH125" i="14"/>
  <c r="K180" i="14"/>
  <c r="W180" i="14"/>
  <c r="AL180" i="14"/>
  <c r="O162" i="14"/>
  <c r="AI162" i="14"/>
  <c r="R150" i="14"/>
  <c r="AL150" i="14"/>
  <c r="AK150" i="14"/>
  <c r="K180" i="13"/>
  <c r="AA113" i="17"/>
  <c r="M107" i="17"/>
  <c r="E107" i="17"/>
  <c r="AC107" i="17"/>
  <c r="E180" i="13"/>
  <c r="Q180" i="13"/>
  <c r="X180" i="13"/>
  <c r="AB180" i="13"/>
  <c r="AJ180" i="13"/>
  <c r="W162" i="14"/>
  <c r="G150" i="14"/>
  <c r="U180" i="13"/>
  <c r="F125" i="14"/>
  <c r="H180" i="14"/>
  <c r="AC180" i="18"/>
  <c r="R180" i="18"/>
  <c r="O180" i="18"/>
  <c r="G180" i="18"/>
  <c r="K180" i="18"/>
  <c r="AB180" i="18"/>
  <c r="F180" i="17"/>
  <c r="J180" i="17"/>
  <c r="K180" i="17"/>
  <c r="V125" i="14"/>
  <c r="X180" i="17"/>
  <c r="X162" i="14"/>
  <c r="AC125" i="14"/>
  <c r="AI180" i="14"/>
  <c r="AI125" i="14"/>
  <c r="AE125" i="14"/>
  <c r="U180" i="14"/>
  <c r="M180" i="14"/>
  <c r="AD162" i="14"/>
  <c r="G162" i="14"/>
  <c r="K150" i="14"/>
  <c r="Z150" i="14"/>
  <c r="O150" i="14"/>
  <c r="Z107" i="17"/>
  <c r="AE180" i="13"/>
  <c r="I107" i="17"/>
  <c r="AH107" i="17"/>
  <c r="P107" i="17"/>
  <c r="H113" i="17"/>
  <c r="AG107" i="17"/>
  <c r="AD113" i="17"/>
  <c r="AG180" i="13"/>
  <c r="H180" i="13"/>
  <c r="F180" i="13"/>
  <c r="AK162" i="14"/>
  <c r="S180" i="13"/>
  <c r="X113" i="17"/>
  <c r="AF125" i="14"/>
  <c r="T125" i="14"/>
  <c r="AK180" i="14"/>
  <c r="T180" i="18"/>
  <c r="M180" i="18"/>
  <c r="X180" i="18"/>
  <c r="P180" i="18"/>
  <c r="J180" i="18"/>
  <c r="AA180" i="17"/>
  <c r="AH180" i="17"/>
  <c r="AD180" i="18"/>
  <c r="H180" i="17"/>
  <c r="T107" i="18"/>
  <c r="AF125" i="13"/>
  <c r="J125" i="18"/>
  <c r="T125" i="16"/>
  <c r="W125" i="13"/>
  <c r="Q125" i="16"/>
  <c r="H125" i="16"/>
  <c r="V107" i="18"/>
  <c r="AD107" i="18"/>
  <c r="AH125" i="16"/>
  <c r="AF131" i="13"/>
  <c r="J125" i="13"/>
  <c r="AK107" i="18"/>
  <c r="P137" i="13"/>
  <c r="AA125" i="18"/>
  <c r="I125" i="18"/>
  <c r="V131" i="13"/>
  <c r="X125" i="12"/>
  <c r="AE125" i="13"/>
  <c r="Y125" i="16"/>
  <c r="Z107" i="18"/>
  <c r="AI125" i="18"/>
  <c r="Y125" i="13"/>
  <c r="M125" i="12"/>
  <c r="F125" i="16"/>
  <c r="E107" i="18"/>
  <c r="I125" i="12"/>
  <c r="I107" i="18"/>
  <c r="P107" i="18"/>
  <c r="AB125" i="13"/>
  <c r="S125" i="16"/>
  <c r="J125" i="16"/>
  <c r="R125" i="16"/>
  <c r="S150" i="16"/>
  <c r="H125" i="13"/>
  <c r="U125" i="13"/>
  <c r="G125" i="13"/>
  <c r="Y150" i="16"/>
  <c r="G125" i="16"/>
  <c r="O107" i="18"/>
  <c r="K107" i="18"/>
  <c r="Y107" i="18"/>
  <c r="R125" i="18"/>
  <c r="X125" i="18"/>
  <c r="Y125" i="18"/>
  <c r="AG125" i="18"/>
  <c r="J107" i="18"/>
  <c r="AH107" i="18"/>
  <c r="AH125" i="13"/>
  <c r="G125" i="18"/>
  <c r="AA125" i="13"/>
  <c r="S125" i="12"/>
  <c r="H107" i="18"/>
  <c r="V125" i="16"/>
  <c r="I125" i="16"/>
  <c r="AF125" i="16"/>
  <c r="AI125" i="13"/>
  <c r="AD125" i="13"/>
  <c r="K125" i="13"/>
  <c r="E125" i="16"/>
  <c r="AL125" i="16"/>
  <c r="X107" i="18"/>
  <c r="U107" i="18"/>
  <c r="AJ107" i="18"/>
  <c r="Q107" i="18"/>
  <c r="U125" i="18"/>
  <c r="AE125" i="18"/>
  <c r="AC125" i="18"/>
  <c r="R107" i="18"/>
  <c r="AB125" i="18"/>
  <c r="AC125" i="13"/>
  <c r="AA125" i="16"/>
  <c r="F125" i="18"/>
  <c r="N107" i="18"/>
  <c r="X125" i="13"/>
  <c r="P125" i="16"/>
  <c r="AC125" i="16"/>
  <c r="AD125" i="16"/>
  <c r="AJ125" i="13"/>
  <c r="M125" i="13"/>
  <c r="Z125" i="16"/>
  <c r="AG107" i="18"/>
  <c r="AE107" i="18"/>
  <c r="AK125" i="18"/>
  <c r="AJ125" i="18"/>
  <c r="O125" i="18"/>
  <c r="K125" i="18"/>
  <c r="L137" i="13"/>
  <c r="AA107" i="18"/>
  <c r="T125" i="18"/>
  <c r="Q125" i="13"/>
  <c r="AC125" i="12"/>
  <c r="AB107" i="18"/>
  <c r="P125" i="13"/>
  <c r="E125" i="13"/>
  <c r="AI125" i="16"/>
  <c r="K125" i="16"/>
  <c r="M125" i="16"/>
  <c r="AK125" i="13"/>
  <c r="T125" i="13"/>
  <c r="N125" i="13"/>
  <c r="X125" i="16"/>
  <c r="O150" i="16"/>
  <c r="AL107" i="18"/>
  <c r="AH125" i="18"/>
  <c r="P125" i="18"/>
  <c r="M125" i="18"/>
  <c r="AA137" i="13"/>
  <c r="V156" i="16"/>
  <c r="AG125" i="13"/>
  <c r="P125" i="12"/>
  <c r="F125" i="13"/>
  <c r="AF107" i="18"/>
  <c r="AL125" i="13"/>
  <c r="O125" i="16"/>
  <c r="AG125" i="16"/>
  <c r="W125" i="16"/>
  <c r="AA150" i="16"/>
  <c r="V125" i="13"/>
  <c r="S125" i="13"/>
  <c r="I150" i="16"/>
  <c r="S107" i="18"/>
  <c r="W125" i="18"/>
  <c r="N125" i="18"/>
  <c r="L125" i="18"/>
  <c r="AL125" i="18"/>
  <c r="AB125" i="16"/>
  <c r="H125" i="18"/>
  <c r="G107" i="18"/>
  <c r="L125" i="16"/>
  <c r="AE125" i="16"/>
  <c r="F107" i="18"/>
  <c r="AI107" i="18"/>
  <c r="Z125" i="18"/>
  <c r="AF125" i="18"/>
  <c r="AD125" i="18"/>
  <c r="M107" i="18"/>
  <c r="Z125" i="13"/>
  <c r="AJ125" i="16"/>
  <c r="N125" i="16"/>
  <c r="AK125" i="16"/>
  <c r="AJ150" i="16"/>
  <c r="O125" i="13"/>
  <c r="R125" i="13"/>
  <c r="L107" i="18"/>
  <c r="AC107" i="18"/>
  <c r="S125" i="18"/>
  <c r="E125" i="18"/>
  <c r="Q125" i="18"/>
  <c r="L125" i="13"/>
  <c r="N131" i="13"/>
  <c r="P156" i="16"/>
  <c r="AB156" i="16"/>
  <c r="Y137" i="13"/>
  <c r="AF156" i="16"/>
  <c r="AE131" i="13"/>
  <c r="G131" i="13"/>
  <c r="AC131" i="13"/>
  <c r="R131" i="13"/>
  <c r="H156" i="16"/>
  <c r="AL131" i="13"/>
  <c r="W131" i="13"/>
  <c r="AF156" i="17"/>
  <c r="W156" i="17"/>
  <c r="S156" i="17"/>
  <c r="M156" i="17"/>
  <c r="K156" i="17"/>
  <c r="O156" i="17"/>
  <c r="H156" i="17"/>
  <c r="AI156" i="17"/>
  <c r="N156" i="17"/>
  <c r="Z156" i="17"/>
  <c r="Q156" i="17"/>
  <c r="AL156" i="17"/>
  <c r="Y156" i="17"/>
  <c r="AB156" i="17"/>
  <c r="T156" i="17"/>
  <c r="L156" i="17"/>
  <c r="X156" i="17"/>
  <c r="V156" i="17"/>
  <c r="G156" i="17"/>
  <c r="J156" i="17"/>
  <c r="F156" i="17"/>
  <c r="AE156" i="17"/>
  <c r="AK156" i="17"/>
  <c r="U168" i="15"/>
  <c r="V168" i="15"/>
  <c r="T168" i="15"/>
  <c r="X168" i="15"/>
  <c r="O168" i="15"/>
  <c r="Q168" i="15"/>
  <c r="P168" i="15"/>
  <c r="J168" i="15"/>
  <c r="M168" i="15"/>
  <c r="AF168" i="15"/>
  <c r="K168" i="15"/>
  <c r="AL168" i="15"/>
  <c r="R168" i="15"/>
  <c r="L168" i="15"/>
  <c r="N168" i="15"/>
  <c r="W168" i="15"/>
  <c r="AC168" i="15"/>
  <c r="S168" i="15"/>
  <c r="AK168" i="15"/>
  <c r="Z168" i="15"/>
  <c r="E168" i="15"/>
  <c r="AI168" i="15"/>
  <c r="AD168" i="15"/>
  <c r="H168" i="15"/>
  <c r="AA168" i="15"/>
  <c r="R119" i="17"/>
  <c r="T119" i="17"/>
  <c r="H119" i="17"/>
  <c r="AJ119" i="17"/>
  <c r="N119" i="17"/>
  <c r="AI119" i="17"/>
  <c r="V119" i="17"/>
  <c r="AK119" i="17"/>
  <c r="L119" i="17"/>
  <c r="AE119" i="17"/>
  <c r="E119" i="17"/>
  <c r="AG119" i="17"/>
  <c r="AF119" i="17"/>
  <c r="F119" i="17"/>
  <c r="Q119" i="17"/>
  <c r="AC119" i="17"/>
  <c r="AL119" i="17"/>
  <c r="AD119" i="17"/>
  <c r="AH119" i="17"/>
  <c r="Z119" i="17"/>
  <c r="Y119" i="17"/>
  <c r="G119" i="17"/>
  <c r="U119" i="17"/>
  <c r="O119" i="17"/>
  <c r="J119" i="17"/>
  <c r="AE125" i="17"/>
  <c r="Z125" i="17"/>
  <c r="AD125" i="17"/>
  <c r="L125" i="17"/>
  <c r="H125" i="17"/>
  <c r="R125" i="17"/>
  <c r="G125" i="17"/>
  <c r="AG125" i="17"/>
  <c r="J125" i="17"/>
  <c r="Y125" i="17"/>
  <c r="W125" i="17"/>
  <c r="T125" i="17"/>
  <c r="E125" i="17"/>
  <c r="AA125" i="17"/>
  <c r="M125" i="17"/>
  <c r="Q125" i="17"/>
  <c r="S125" i="17"/>
  <c r="AK125" i="17"/>
  <c r="O125" i="17"/>
  <c r="P125" i="17"/>
  <c r="AC125" i="17"/>
  <c r="V125" i="17"/>
  <c r="AI125" i="17"/>
  <c r="AL125" i="17"/>
  <c r="AH125" i="17"/>
  <c r="W107" i="13"/>
  <c r="G107" i="13"/>
  <c r="O107" i="13"/>
  <c r="L107" i="13"/>
  <c r="Z107" i="13"/>
  <c r="X107" i="13"/>
  <c r="N107" i="13"/>
  <c r="AI107" i="13"/>
  <c r="AJ107" i="13"/>
  <c r="T107" i="13"/>
  <c r="Q107" i="13"/>
  <c r="AG107" i="13"/>
  <c r="AF107" i="13"/>
  <c r="U107" i="13"/>
  <c r="AH107" i="13"/>
  <c r="H107" i="13"/>
  <c r="K107" i="13"/>
  <c r="J107" i="13"/>
  <c r="F107" i="13"/>
  <c r="Y107" i="13"/>
  <c r="M107" i="13"/>
  <c r="P107" i="13"/>
  <c r="AG107" i="12"/>
  <c r="R143" i="15"/>
  <c r="I168" i="15"/>
  <c r="AA156" i="17"/>
  <c r="AL107" i="12"/>
  <c r="AK107" i="13"/>
  <c r="AC143" i="15"/>
  <c r="R113" i="13"/>
  <c r="K125" i="17"/>
  <c r="G168" i="15"/>
  <c r="T131" i="14"/>
  <c r="P156" i="17"/>
  <c r="N143" i="15"/>
  <c r="Z143" i="15"/>
  <c r="AH143" i="15"/>
  <c r="AA143" i="15"/>
  <c r="AE143" i="15"/>
  <c r="AL143" i="15"/>
  <c r="E143" i="15"/>
  <c r="F143" i="15"/>
  <c r="Q143" i="15"/>
  <c r="G143" i="15"/>
  <c r="Y143" i="15"/>
  <c r="H143" i="15"/>
  <c r="W143" i="15"/>
  <c r="X143" i="15"/>
  <c r="I143" i="15"/>
  <c r="AD143" i="15"/>
  <c r="AB143" i="15"/>
  <c r="S143" i="15"/>
  <c r="AF143" i="15"/>
  <c r="T143" i="15"/>
  <c r="AI143" i="15"/>
  <c r="P143" i="15"/>
  <c r="K143" i="15"/>
  <c r="L143" i="15"/>
  <c r="AJ143" i="15"/>
  <c r="AD107" i="12"/>
  <c r="AA119" i="17"/>
  <c r="U143" i="15"/>
  <c r="I125" i="17"/>
  <c r="F168" i="15"/>
  <c r="R156" i="17"/>
  <c r="AJ107" i="12"/>
  <c r="AG113" i="13"/>
  <c r="P113" i="13"/>
  <c r="AI113" i="13"/>
  <c r="F113" i="13"/>
  <c r="AJ113" i="13"/>
  <c r="AA113" i="13"/>
  <c r="J113" i="13"/>
  <c r="V113" i="13"/>
  <c r="E113" i="13"/>
  <c r="L113" i="13"/>
  <c r="AK113" i="13"/>
  <c r="X113" i="13"/>
  <c r="T113" i="13"/>
  <c r="AL113" i="13"/>
  <c r="K113" i="13"/>
  <c r="U113" i="13"/>
  <c r="AD113" i="13"/>
  <c r="Q113" i="13"/>
  <c r="Z113" i="13"/>
  <c r="O113" i="13"/>
  <c r="Y113" i="13"/>
  <c r="AH113" i="13"/>
  <c r="S113" i="13"/>
  <c r="AB113" i="13"/>
  <c r="H107" i="12"/>
  <c r="M119" i="17"/>
  <c r="G113" i="13"/>
  <c r="X125" i="17"/>
  <c r="AG168" i="15"/>
  <c r="AH168" i="15"/>
  <c r="AG156" i="17"/>
  <c r="O107" i="12"/>
  <c r="P119" i="17"/>
  <c r="W131" i="14"/>
  <c r="U131" i="14"/>
  <c r="P131" i="14"/>
  <c r="V131" i="14"/>
  <c r="AI131" i="14"/>
  <c r="AB131" i="14"/>
  <c r="I131" i="14"/>
  <c r="AK131" i="14"/>
  <c r="AF131" i="14"/>
  <c r="AH131" i="14"/>
  <c r="X131" i="14"/>
  <c r="AJ131" i="14"/>
  <c r="N131" i="14"/>
  <c r="M131" i="14"/>
  <c r="AA131" i="14"/>
  <c r="G131" i="14"/>
  <c r="AC131" i="14"/>
  <c r="AL131" i="14"/>
  <c r="K131" i="14"/>
  <c r="S131" i="14"/>
  <c r="Z131" i="14"/>
  <c r="O131" i="14"/>
  <c r="R131" i="14"/>
  <c r="E131" i="14"/>
  <c r="AE131" i="14"/>
  <c r="F131" i="14"/>
  <c r="L131" i="14"/>
  <c r="AD131" i="14"/>
  <c r="I107" i="13"/>
  <c r="M113" i="13"/>
  <c r="O143" i="15"/>
  <c r="AB119" i="17"/>
  <c r="K119" i="17"/>
  <c r="S107" i="13"/>
  <c r="M143" i="15"/>
  <c r="N113" i="13"/>
  <c r="F125" i="17"/>
  <c r="Q131" i="14"/>
  <c r="AJ168" i="15"/>
  <c r="X119" i="17"/>
  <c r="AJ156" i="17"/>
  <c r="I119" i="17"/>
  <c r="G107" i="12"/>
  <c r="AE107" i="12"/>
  <c r="P107" i="12"/>
  <c r="M107" i="12"/>
  <c r="X107" i="12"/>
  <c r="K107" i="12"/>
  <c r="Q107" i="12"/>
  <c r="L107" i="12"/>
  <c r="AH107" i="12"/>
  <c r="AC107" i="12"/>
  <c r="I107" i="12"/>
  <c r="V107" i="12"/>
  <c r="AB107" i="12"/>
  <c r="U107" i="12"/>
  <c r="Y107" i="12"/>
  <c r="F107" i="12"/>
  <c r="T107" i="12"/>
  <c r="N107" i="12"/>
  <c r="S107" i="12"/>
  <c r="AA107" i="12"/>
  <c r="E107" i="12"/>
  <c r="R107" i="12"/>
  <c r="AI107" i="12"/>
  <c r="AK107" i="12"/>
  <c r="Z107" i="12"/>
  <c r="AC107" i="13"/>
  <c r="AL107" i="13"/>
  <c r="AG143" i="15"/>
  <c r="AE113" i="13"/>
  <c r="AJ125" i="17"/>
  <c r="AF125" i="17"/>
  <c r="AG131" i="14"/>
  <c r="Y131" i="14"/>
  <c r="H131" i="14"/>
  <c r="W107" i="12"/>
  <c r="AE107" i="13"/>
  <c r="AG186" i="14"/>
  <c r="F113" i="16"/>
  <c r="W113" i="16"/>
  <c r="Y113" i="16"/>
  <c r="Z186" i="14"/>
  <c r="O125" i="15"/>
  <c r="Q168" i="17"/>
  <c r="AA174" i="17"/>
  <c r="AE168" i="17"/>
  <c r="U168" i="17"/>
  <c r="AF180" i="15"/>
  <c r="Q131" i="17"/>
  <c r="R113" i="16"/>
  <c r="Y143" i="16"/>
  <c r="N168" i="17"/>
  <c r="AG174" i="18"/>
  <c r="AF174" i="18"/>
  <c r="AF113" i="16"/>
  <c r="AF186" i="14"/>
  <c r="R186" i="18"/>
  <c r="AG168" i="17"/>
  <c r="V168" i="17"/>
  <c r="AE180" i="15"/>
  <c r="G174" i="17"/>
  <c r="V186" i="18"/>
  <c r="AI168" i="17"/>
  <c r="Z168" i="17"/>
  <c r="AC168" i="17"/>
  <c r="U113" i="16"/>
  <c r="AJ186" i="14"/>
  <c r="E168" i="14"/>
  <c r="H186" i="14"/>
  <c r="X174" i="18"/>
  <c r="K186" i="18"/>
  <c r="K113" i="16"/>
  <c r="AF186" i="18"/>
  <c r="T186" i="14"/>
  <c r="AD113" i="16"/>
  <c r="V186" i="14"/>
  <c r="U186" i="14"/>
  <c r="X113" i="16"/>
  <c r="AL113" i="16"/>
  <c r="X186" i="14"/>
  <c r="AH162" i="15"/>
  <c r="J168" i="17"/>
  <c r="F168" i="17"/>
  <c r="R168" i="17"/>
  <c r="X174" i="13"/>
  <c r="I174" i="17"/>
  <c r="E131" i="17"/>
  <c r="AB143" i="16"/>
  <c r="O168" i="17"/>
  <c r="Y186" i="14"/>
  <c r="K143" i="16"/>
  <c r="N186" i="14"/>
  <c r="AJ168" i="14"/>
  <c r="AE168" i="14"/>
  <c r="J174" i="18"/>
  <c r="J186" i="18"/>
  <c r="V162" i="15"/>
  <c r="L113" i="16"/>
  <c r="P113" i="16"/>
  <c r="AA186" i="14"/>
  <c r="E168" i="17"/>
  <c r="W168" i="17"/>
  <c r="Y168" i="17"/>
  <c r="AK168" i="17"/>
  <c r="M186" i="18"/>
  <c r="S168" i="17"/>
  <c r="V131" i="17"/>
  <c r="M113" i="16"/>
  <c r="P168" i="17"/>
  <c r="P143" i="16"/>
  <c r="AC186" i="14"/>
  <c r="Q143" i="16"/>
  <c r="W186" i="14"/>
  <c r="AA168" i="14"/>
  <c r="M186" i="14"/>
  <c r="W168" i="14"/>
  <c r="P174" i="18"/>
  <c r="F186" i="18"/>
  <c r="N186" i="18"/>
  <c r="AL150" i="15"/>
  <c r="O174" i="13"/>
  <c r="E180" i="15"/>
  <c r="T180" i="15"/>
  <c r="AL180" i="15"/>
  <c r="M180" i="15"/>
  <c r="V143" i="18"/>
  <c r="I186" i="18"/>
  <c r="AK186" i="18"/>
  <c r="K143" i="18"/>
  <c r="M174" i="13"/>
  <c r="AE143" i="18"/>
  <c r="H143" i="16"/>
  <c r="AG143" i="16"/>
  <c r="I143" i="16"/>
  <c r="T143" i="16"/>
  <c r="AK168" i="14"/>
  <c r="P168" i="14"/>
  <c r="Z168" i="14"/>
  <c r="AC168" i="14"/>
  <c r="AF168" i="14"/>
  <c r="T168" i="14"/>
  <c r="AL168" i="14"/>
  <c r="AF143" i="18"/>
  <c r="AA186" i="18"/>
  <c r="Y150" i="15"/>
  <c r="H180" i="15"/>
  <c r="U180" i="15"/>
  <c r="AA180" i="15"/>
  <c r="O186" i="18"/>
  <c r="AH143" i="18"/>
  <c r="E143" i="18"/>
  <c r="Z174" i="13"/>
  <c r="X186" i="18"/>
  <c r="AJ186" i="18"/>
  <c r="H143" i="18"/>
  <c r="G150" i="15"/>
  <c r="AL143" i="16"/>
  <c r="N143" i="16"/>
  <c r="AJ143" i="16"/>
  <c r="AG180" i="15"/>
  <c r="R168" i="14"/>
  <c r="AD168" i="14"/>
  <c r="AG168" i="14"/>
  <c r="AB186" i="18"/>
  <c r="Z150" i="15"/>
  <c r="AI180" i="15"/>
  <c r="W143" i="18"/>
  <c r="I180" i="15"/>
  <c r="AK180" i="15"/>
  <c r="Y180" i="15"/>
  <c r="W186" i="18"/>
  <c r="AC143" i="18"/>
  <c r="F143" i="18"/>
  <c r="AJ174" i="13"/>
  <c r="P186" i="18"/>
  <c r="Q143" i="18"/>
  <c r="M143" i="18"/>
  <c r="G186" i="18"/>
  <c r="Z180" i="15"/>
  <c r="V143" i="16"/>
  <c r="J143" i="16"/>
  <c r="F143" i="16"/>
  <c r="V168" i="14"/>
  <c r="K168" i="14"/>
  <c r="U168" i="14"/>
  <c r="G168" i="14"/>
  <c r="Q168" i="14"/>
  <c r="AH186" i="18"/>
  <c r="X150" i="15"/>
  <c r="Z186" i="18"/>
  <c r="W180" i="15"/>
  <c r="O180" i="15"/>
  <c r="AC174" i="13"/>
  <c r="I174" i="13"/>
  <c r="AG186" i="18"/>
  <c r="AI186" i="18"/>
  <c r="R180" i="15"/>
  <c r="AC143" i="16"/>
  <c r="S143" i="16"/>
  <c r="AK143" i="16"/>
  <c r="X168" i="14"/>
  <c r="S168" i="14"/>
  <c r="AI143" i="16"/>
  <c r="I143" i="18"/>
  <c r="M168" i="14"/>
  <c r="P143" i="18"/>
  <c r="AL186" i="18"/>
  <c r="L143" i="18"/>
  <c r="AB180" i="15"/>
  <c r="AJ180" i="15"/>
  <c r="P180" i="15"/>
  <c r="R143" i="18"/>
  <c r="AC186" i="18"/>
  <c r="U186" i="18"/>
  <c r="J180" i="15"/>
  <c r="AD143" i="18"/>
  <c r="AK150" i="15"/>
  <c r="W143" i="16"/>
  <c r="X180" i="15"/>
  <c r="E143" i="16"/>
  <c r="Z143" i="16"/>
  <c r="AE143" i="16"/>
  <c r="O143" i="16"/>
  <c r="Y168" i="14"/>
  <c r="I168" i="14"/>
  <c r="O168" i="14"/>
  <c r="AA143" i="18"/>
  <c r="AE186" i="18"/>
  <c r="AD186" i="18"/>
  <c r="F150" i="15"/>
  <c r="AJ143" i="18"/>
  <c r="AC180" i="15"/>
  <c r="N180" i="15"/>
  <c r="S180" i="15"/>
  <c r="G143" i="18"/>
  <c r="S186" i="18"/>
  <c r="Y186" i="18"/>
  <c r="X143" i="18"/>
  <c r="E186" i="18"/>
  <c r="S143" i="18"/>
  <c r="R143" i="16"/>
  <c r="L143" i="16"/>
  <c r="M143" i="16"/>
  <c r="X143" i="16"/>
  <c r="AD143" i="16"/>
  <c r="L186" i="18"/>
  <c r="AB168" i="14"/>
  <c r="F168" i="14"/>
  <c r="N168" i="14"/>
  <c r="AI168" i="14"/>
  <c r="H168" i="14"/>
  <c r="Y143" i="18"/>
  <c r="U143" i="18"/>
  <c r="J143" i="18"/>
  <c r="U162" i="15"/>
  <c r="X125" i="15"/>
  <c r="AE174" i="17"/>
  <c r="M174" i="17"/>
  <c r="AK174" i="17"/>
  <c r="O186" i="17"/>
  <c r="AI174" i="17"/>
  <c r="I131" i="17"/>
  <c r="Y162" i="15"/>
  <c r="J119" i="16"/>
  <c r="M174" i="18"/>
  <c r="AC174" i="18"/>
  <c r="H131" i="17"/>
  <c r="N174" i="18"/>
  <c r="Q174" i="18"/>
  <c r="M125" i="15"/>
  <c r="AL186" i="17"/>
  <c r="X174" i="17"/>
  <c r="F174" i="17"/>
  <c r="AG174" i="17"/>
  <c r="AE186" i="17"/>
  <c r="R174" i="17"/>
  <c r="Z174" i="17"/>
  <c r="AA131" i="17"/>
  <c r="H162" i="15"/>
  <c r="P119" i="16"/>
  <c r="Z174" i="18"/>
  <c r="U174" i="18"/>
  <c r="O174" i="18"/>
  <c r="AH174" i="18"/>
  <c r="AD125" i="15"/>
  <c r="F186" i="17"/>
  <c r="Y174" i="17"/>
  <c r="J174" i="17"/>
  <c r="O174" i="17"/>
  <c r="W150" i="13"/>
  <c r="S174" i="17"/>
  <c r="M131" i="17"/>
  <c r="P174" i="17"/>
  <c r="E174" i="18"/>
  <c r="W174" i="18"/>
  <c r="R174" i="18"/>
  <c r="AL174" i="18"/>
  <c r="AJ125" i="15"/>
  <c r="V174" i="17"/>
  <c r="W186" i="17"/>
  <c r="U174" i="17"/>
  <c r="AL174" i="17"/>
  <c r="G150" i="13"/>
  <c r="W174" i="17"/>
  <c r="E174" i="17"/>
  <c r="AF119" i="16"/>
  <c r="F174" i="18"/>
  <c r="L174" i="18"/>
  <c r="AB174" i="18"/>
  <c r="K174" i="18"/>
  <c r="Q174" i="17"/>
  <c r="AD174" i="17"/>
  <c r="H150" i="13"/>
  <c r="X131" i="17"/>
  <c r="Q119" i="16"/>
  <c r="AH174" i="17"/>
  <c r="AC119" i="16"/>
  <c r="T174" i="18"/>
  <c r="AE174" i="18"/>
  <c r="AI174" i="18"/>
  <c r="I174" i="18"/>
  <c r="H174" i="17"/>
  <c r="N174" i="17"/>
  <c r="T174" i="17"/>
  <c r="AB131" i="17"/>
  <c r="U119" i="16"/>
  <c r="AI119" i="16"/>
  <c r="AC174" i="17"/>
  <c r="H174" i="18"/>
  <c r="V174" i="18"/>
  <c r="G174" i="18"/>
  <c r="AK174" i="18"/>
  <c r="R119" i="13"/>
  <c r="AE137" i="18"/>
  <c r="M137" i="18"/>
  <c r="X119" i="13"/>
  <c r="M119" i="13"/>
  <c r="AA137" i="18"/>
  <c r="T137" i="18"/>
  <c r="AK174" i="14"/>
  <c r="O174" i="14"/>
  <c r="AC137" i="18"/>
  <c r="Q119" i="13"/>
  <c r="W174" i="14"/>
  <c r="L119" i="13"/>
  <c r="R174" i="14"/>
  <c r="J119" i="13"/>
  <c r="AJ137" i="18"/>
  <c r="AD119" i="13"/>
  <c r="E119" i="13"/>
  <c r="P137" i="18"/>
  <c r="F137" i="18"/>
  <c r="T174" i="14"/>
  <c r="AI174" i="14"/>
  <c r="K119" i="13"/>
  <c r="AJ119" i="13"/>
  <c r="AC174" i="14"/>
  <c r="AG119" i="13"/>
  <c r="V119" i="13"/>
  <c r="F119" i="13"/>
  <c r="Z137" i="18"/>
  <c r="AK137" i="18"/>
  <c r="V174" i="14"/>
  <c r="P174" i="14"/>
  <c r="N174" i="14"/>
  <c r="AJ174" i="14"/>
  <c r="AL174" i="14"/>
  <c r="AI119" i="13"/>
  <c r="H119" i="13"/>
  <c r="AA174" i="14"/>
  <c r="Y174" i="14"/>
  <c r="AC119" i="13"/>
  <c r="S119" i="13"/>
  <c r="AL137" i="18"/>
  <c r="H137" i="18"/>
  <c r="U174" i="14"/>
  <c r="X174" i="14"/>
  <c r="AH119" i="13"/>
  <c r="N137" i="18"/>
  <c r="AD174" i="14"/>
  <c r="E137" i="18"/>
  <c r="T119" i="13"/>
  <c r="U119" i="13"/>
  <c r="S137" i="18"/>
  <c r="K137" i="18"/>
  <c r="AB137" i="18"/>
  <c r="J174" i="14"/>
  <c r="F174" i="14"/>
  <c r="L174" i="14"/>
  <c r="V168" i="13"/>
  <c r="O168" i="13"/>
  <c r="J168" i="13"/>
  <c r="Z156" i="12"/>
  <c r="O168" i="18"/>
  <c r="AK143" i="17"/>
  <c r="J156" i="18"/>
  <c r="AA168" i="18"/>
  <c r="AL156" i="18"/>
  <c r="R162" i="18"/>
  <c r="W162" i="18"/>
  <c r="AI168" i="13"/>
  <c r="AJ156" i="18"/>
  <c r="Z168" i="18"/>
  <c r="AF156" i="18"/>
  <c r="F143" i="17"/>
  <c r="G180" i="12"/>
  <c r="P143" i="17"/>
  <c r="I168" i="13"/>
  <c r="S143" i="17"/>
  <c r="W168" i="13"/>
  <c r="AF168" i="13"/>
  <c r="T143" i="17"/>
  <c r="M168" i="13"/>
  <c r="R168" i="13"/>
  <c r="X168" i="13"/>
  <c r="AL143" i="17"/>
  <c r="AA143" i="17"/>
  <c r="S156" i="18"/>
  <c r="Y156" i="18"/>
  <c r="Z156" i="18"/>
  <c r="P156" i="18"/>
  <c r="AE180" i="12"/>
  <c r="U162" i="18"/>
  <c r="R156" i="18"/>
  <c r="M107" i="14"/>
  <c r="AB168" i="13"/>
  <c r="S168" i="18"/>
  <c r="AH143" i="17"/>
  <c r="AE143" i="17"/>
  <c r="R168" i="18"/>
  <c r="AD168" i="18"/>
  <c r="AI168" i="18"/>
  <c r="AG168" i="18"/>
  <c r="W168" i="18"/>
  <c r="I143" i="17"/>
  <c r="T168" i="13"/>
  <c r="Z168" i="13"/>
  <c r="AE168" i="13"/>
  <c r="L143" i="17"/>
  <c r="AF143" i="17"/>
  <c r="M156" i="18"/>
  <c r="T156" i="18"/>
  <c r="AC156" i="18"/>
  <c r="N156" i="18"/>
  <c r="I180" i="12"/>
  <c r="P168" i="18"/>
  <c r="AJ168" i="18"/>
  <c r="X168" i="18"/>
  <c r="AB143" i="17"/>
  <c r="O143" i="17"/>
  <c r="AK156" i="12"/>
  <c r="AF156" i="12"/>
  <c r="AD168" i="13"/>
  <c r="AG168" i="13"/>
  <c r="E168" i="13"/>
  <c r="AH107" i="14"/>
  <c r="H143" i="17"/>
  <c r="Z143" i="17"/>
  <c r="AB156" i="18"/>
  <c r="O156" i="18"/>
  <c r="AI156" i="18"/>
  <c r="E156" i="18"/>
  <c r="Q180" i="12"/>
  <c r="M162" i="18"/>
  <c r="S162" i="18"/>
  <c r="V180" i="12"/>
  <c r="F156" i="12"/>
  <c r="F168" i="18"/>
  <c r="U168" i="18"/>
  <c r="J168" i="18"/>
  <c r="AJ143" i="17"/>
  <c r="Y156" i="12"/>
  <c r="L168" i="13"/>
  <c r="AC143" i="17"/>
  <c r="Q168" i="13"/>
  <c r="AA168" i="13"/>
  <c r="V143" i="17"/>
  <c r="X143" i="17"/>
  <c r="AH156" i="18"/>
  <c r="U156" i="18"/>
  <c r="H156" i="18"/>
  <c r="AG156" i="18"/>
  <c r="AL180" i="12"/>
  <c r="AB168" i="18"/>
  <c r="V168" i="18"/>
  <c r="Q143" i="17"/>
  <c r="Y168" i="18"/>
  <c r="H168" i="18"/>
  <c r="AJ168" i="13"/>
  <c r="AG143" i="17"/>
  <c r="W107" i="14"/>
  <c r="AD143" i="17"/>
  <c r="N168" i="13"/>
  <c r="AL168" i="13"/>
  <c r="U168" i="13"/>
  <c r="P107" i="14"/>
  <c r="W143" i="17"/>
  <c r="E143" i="17"/>
  <c r="AC168" i="13"/>
  <c r="L156" i="18"/>
  <c r="X156" i="18"/>
  <c r="AE156" i="18"/>
  <c r="AK156" i="18"/>
  <c r="V156" i="12"/>
  <c r="M168" i="18"/>
  <c r="AE168" i="18"/>
  <c r="J143" i="17"/>
  <c r="G168" i="18"/>
  <c r="E168" i="18"/>
  <c r="AL168" i="18"/>
  <c r="AK107" i="14"/>
  <c r="AH168" i="13"/>
  <c r="U143" i="17"/>
  <c r="S168" i="13"/>
  <c r="AA156" i="18"/>
  <c r="AD156" i="18"/>
  <c r="V156" i="18"/>
  <c r="AD180" i="12"/>
  <c r="AC156" i="12"/>
  <c r="AD162" i="18"/>
  <c r="I156" i="18"/>
  <c r="K168" i="13"/>
  <c r="AH168" i="18"/>
  <c r="AK168" i="18"/>
  <c r="AI143" i="17"/>
  <c r="AJ162" i="18"/>
  <c r="P168" i="13"/>
  <c r="X107" i="14"/>
  <c r="N143" i="17"/>
  <c r="K156" i="12"/>
  <c r="M143" i="17"/>
  <c r="AK168" i="13"/>
  <c r="G168" i="13"/>
  <c r="F168" i="13"/>
  <c r="G143" i="17"/>
  <c r="K143" i="17"/>
  <c r="K107" i="14"/>
  <c r="Q156" i="18"/>
  <c r="W156" i="18"/>
  <c r="K156" i="18"/>
  <c r="W180" i="12"/>
  <c r="AE156" i="12"/>
  <c r="V162" i="18"/>
  <c r="F156" i="18"/>
  <c r="Y168" i="13"/>
  <c r="AC168" i="18"/>
  <c r="L168" i="18"/>
  <c r="Y143" i="17"/>
  <c r="T168" i="18"/>
  <c r="Q168" i="18"/>
  <c r="AF168" i="18"/>
  <c r="K168" i="18"/>
  <c r="I168" i="18"/>
  <c r="G162" i="15"/>
  <c r="AB125" i="15"/>
  <c r="Z125" i="15"/>
  <c r="AI125" i="15"/>
  <c r="G125" i="15"/>
  <c r="Q186" i="17"/>
  <c r="X186" i="17"/>
  <c r="AG150" i="13"/>
  <c r="L150" i="13"/>
  <c r="AI150" i="13"/>
  <c r="R186" i="17"/>
  <c r="U131" i="17"/>
  <c r="W131" i="17"/>
  <c r="AF162" i="15"/>
  <c r="P162" i="15"/>
  <c r="J186" i="17"/>
  <c r="L119" i="16"/>
  <c r="K119" i="16"/>
  <c r="I119" i="16"/>
  <c r="E119" i="16"/>
  <c r="AE131" i="17"/>
  <c r="O131" i="17"/>
  <c r="P150" i="13"/>
  <c r="S150" i="13"/>
  <c r="L162" i="15"/>
  <c r="Q162" i="15"/>
  <c r="F162" i="15"/>
  <c r="R125" i="15"/>
  <c r="AE125" i="15"/>
  <c r="F125" i="15"/>
  <c r="Y125" i="15"/>
  <c r="AD186" i="17"/>
  <c r="F150" i="13"/>
  <c r="AF186" i="17"/>
  <c r="AA186" i="17"/>
  <c r="AA150" i="13"/>
  <c r="I150" i="13"/>
  <c r="Z150" i="13"/>
  <c r="AL150" i="13"/>
  <c r="M150" i="13"/>
  <c r="AD131" i="17"/>
  <c r="M162" i="15"/>
  <c r="AH131" i="17"/>
  <c r="Z131" i="17"/>
  <c r="G131" i="17"/>
  <c r="AC162" i="15"/>
  <c r="H186" i="17"/>
  <c r="F119" i="16"/>
  <c r="AL119" i="16"/>
  <c r="AD119" i="16"/>
  <c r="AE162" i="15"/>
  <c r="K162" i="15"/>
  <c r="V125" i="15"/>
  <c r="P125" i="15"/>
  <c r="L125" i="15"/>
  <c r="U125" i="15"/>
  <c r="V186" i="17"/>
  <c r="AH186" i="17"/>
  <c r="R150" i="13"/>
  <c r="AK150" i="13"/>
  <c r="K150" i="13"/>
  <c r="AJ150" i="13"/>
  <c r="M186" i="17"/>
  <c r="T131" i="17"/>
  <c r="AJ131" i="17"/>
  <c r="J131" i="17"/>
  <c r="AG131" i="17"/>
  <c r="S162" i="15"/>
  <c r="AG162" i="15"/>
  <c r="AJ119" i="16"/>
  <c r="AK119" i="16"/>
  <c r="R119" i="16"/>
  <c r="V150" i="13"/>
  <c r="AD162" i="15"/>
  <c r="W125" i="15"/>
  <c r="N125" i="15"/>
  <c r="T125" i="15"/>
  <c r="AL125" i="15"/>
  <c r="H125" i="15"/>
  <c r="AK125" i="15"/>
  <c r="N150" i="13"/>
  <c r="AC186" i="17"/>
  <c r="AK186" i="17"/>
  <c r="I186" i="17"/>
  <c r="K186" i="17"/>
  <c r="AC150" i="13"/>
  <c r="AD150" i="13"/>
  <c r="S125" i="15"/>
  <c r="G186" i="17"/>
  <c r="Y131" i="17"/>
  <c r="AF131" i="17"/>
  <c r="K131" i="17"/>
  <c r="AK131" i="17"/>
  <c r="N162" i="15"/>
  <c r="AJ162" i="15"/>
  <c r="X162" i="15"/>
  <c r="G119" i="16"/>
  <c r="AB119" i="16"/>
  <c r="X119" i="16"/>
  <c r="Z119" i="16"/>
  <c r="S119" i="16"/>
  <c r="I162" i="15"/>
  <c r="J162" i="15"/>
  <c r="AG125" i="15"/>
  <c r="AF125" i="15"/>
  <c r="I125" i="15"/>
  <c r="Q125" i="15"/>
  <c r="E125" i="15"/>
  <c r="U150" i="13"/>
  <c r="T186" i="17"/>
  <c r="L186" i="17"/>
  <c r="AI186" i="17"/>
  <c r="S186" i="17"/>
  <c r="T150" i="13"/>
  <c r="O150" i="13"/>
  <c r="Y150" i="13"/>
  <c r="Y186" i="17"/>
  <c r="U186" i="17"/>
  <c r="AA125" i="15"/>
  <c r="F131" i="17"/>
  <c r="P131" i="17"/>
  <c r="R131" i="17"/>
  <c r="N131" i="17"/>
  <c r="AC131" i="17"/>
  <c r="AI162" i="15"/>
  <c r="E162" i="15"/>
  <c r="V119" i="16"/>
  <c r="N119" i="16"/>
  <c r="AE119" i="16"/>
  <c r="Q150" i="13"/>
  <c r="AH150" i="13"/>
  <c r="AB150" i="13"/>
  <c r="O162" i="15"/>
  <c r="T162" i="15"/>
  <c r="AK162" i="15"/>
  <c r="AH125" i="15"/>
  <c r="J125" i="15"/>
  <c r="P186" i="17"/>
  <c r="AJ186" i="17"/>
  <c r="Z186" i="17"/>
  <c r="E186" i="17"/>
  <c r="AF150" i="13"/>
  <c r="X150" i="13"/>
  <c r="E150" i="13"/>
  <c r="AE150" i="13"/>
  <c r="AG186" i="17"/>
  <c r="S131" i="17"/>
  <c r="AI131" i="17"/>
  <c r="AL131" i="17"/>
  <c r="AA162" i="15"/>
  <c r="W162" i="15"/>
  <c r="AH119" i="16"/>
  <c r="W119" i="16"/>
  <c r="T119" i="16"/>
  <c r="Y119" i="16"/>
  <c r="AA119" i="16"/>
  <c r="H119" i="16"/>
  <c r="G125" i="12"/>
  <c r="Q125" i="12"/>
  <c r="O125" i="12"/>
  <c r="AH125" i="12"/>
  <c r="AG125" i="12"/>
  <c r="Q131" i="13"/>
  <c r="T131" i="13"/>
  <c r="R150" i="16"/>
  <c r="K150" i="16"/>
  <c r="AI150" i="16"/>
  <c r="AL125" i="12"/>
  <c r="AJ131" i="13"/>
  <c r="AG156" i="16"/>
  <c r="U156" i="16"/>
  <c r="W137" i="13"/>
  <c r="K137" i="13"/>
  <c r="F137" i="13"/>
  <c r="Q156" i="16"/>
  <c r="E156" i="16"/>
  <c r="N156" i="16"/>
  <c r="E131" i="13"/>
  <c r="M156" i="16"/>
  <c r="AB125" i="12"/>
  <c r="F125" i="12"/>
  <c r="AI125" i="12"/>
  <c r="AE125" i="12"/>
  <c r="P131" i="13"/>
  <c r="AA131" i="13"/>
  <c r="W150" i="16"/>
  <c r="N150" i="16"/>
  <c r="AK131" i="13"/>
  <c r="L131" i="13"/>
  <c r="Z131" i="13"/>
  <c r="AH150" i="16"/>
  <c r="U150" i="16"/>
  <c r="Y125" i="12"/>
  <c r="Z150" i="16"/>
  <c r="J156" i="16"/>
  <c r="S137" i="13"/>
  <c r="H137" i="13"/>
  <c r="AL150" i="16"/>
  <c r="O156" i="16"/>
  <c r="R137" i="13"/>
  <c r="AG137" i="13"/>
  <c r="Z137" i="13"/>
  <c r="Z156" i="16"/>
  <c r="K156" i="16"/>
  <c r="U131" i="13"/>
  <c r="X156" i="16"/>
  <c r="AF125" i="12"/>
  <c r="V125" i="12"/>
  <c r="E125" i="12"/>
  <c r="AJ125" i="12"/>
  <c r="AI131" i="13"/>
  <c r="I131" i="13"/>
  <c r="M131" i="13"/>
  <c r="AK150" i="16"/>
  <c r="AB150" i="16"/>
  <c r="S131" i="13"/>
  <c r="AG150" i="16"/>
  <c r="J150" i="16"/>
  <c r="T137" i="13"/>
  <c r="AK137" i="13"/>
  <c r="M137" i="13"/>
  <c r="O137" i="13"/>
  <c r="R156" i="16"/>
  <c r="Y156" i="16"/>
  <c r="AE137" i="13"/>
  <c r="AH156" i="16"/>
  <c r="N137" i="13"/>
  <c r="J131" i="13"/>
  <c r="AB131" i="13"/>
  <c r="Q137" i="13"/>
  <c r="AA156" i="16"/>
  <c r="E137" i="13"/>
  <c r="L156" i="16"/>
  <c r="AA125" i="12"/>
  <c r="J125" i="12"/>
  <c r="U125" i="12"/>
  <c r="X131" i="13"/>
  <c r="T150" i="16"/>
  <c r="AF150" i="16"/>
  <c r="L150" i="16"/>
  <c r="V150" i="16"/>
  <c r="P150" i="16"/>
  <c r="M150" i="16"/>
  <c r="V137" i="13"/>
  <c r="AJ137" i="13"/>
  <c r="AB137" i="13"/>
  <c r="F156" i="16"/>
  <c r="I156" i="16"/>
  <c r="AC156" i="16"/>
  <c r="O131" i="13"/>
  <c r="AG131" i="13"/>
  <c r="Z125" i="12"/>
  <c r="I137" i="13"/>
  <c r="AI137" i="13"/>
  <c r="T156" i="16"/>
  <c r="W125" i="12"/>
  <c r="T125" i="12"/>
  <c r="AD125" i="12"/>
  <c r="N125" i="12"/>
  <c r="AD131" i="13"/>
  <c r="AE150" i="16"/>
  <c r="AC150" i="16"/>
  <c r="X150" i="16"/>
  <c r="Y131" i="13"/>
  <c r="U137" i="13"/>
  <c r="AH137" i="13"/>
  <c r="X137" i="13"/>
  <c r="AF137" i="13"/>
  <c r="AD137" i="13"/>
  <c r="W156" i="16"/>
  <c r="AL156" i="16"/>
  <c r="G150" i="16"/>
  <c r="K125" i="12"/>
  <c r="R125" i="12"/>
  <c r="AK125" i="12"/>
  <c r="H125" i="12"/>
  <c r="H131" i="13"/>
  <c r="F131" i="13"/>
  <c r="E150" i="16"/>
  <c r="F150" i="16"/>
  <c r="Q150" i="16"/>
  <c r="AD150" i="16"/>
  <c r="K131" i="13"/>
  <c r="AK156" i="16"/>
  <c r="AL137" i="13"/>
  <c r="J137" i="13"/>
  <c r="AC137" i="13"/>
  <c r="AI156" i="16"/>
  <c r="AJ156" i="16"/>
  <c r="S156" i="16"/>
  <c r="AD156" i="16"/>
  <c r="G156" i="16"/>
  <c r="X156" i="12"/>
  <c r="S107" i="14"/>
  <c r="AC107" i="14"/>
  <c r="T107" i="14"/>
  <c r="R150" i="15"/>
  <c r="R107" i="14"/>
  <c r="AD150" i="15"/>
  <c r="S180" i="12"/>
  <c r="E180" i="12"/>
  <c r="AB180" i="12"/>
  <c r="N180" i="12"/>
  <c r="M180" i="12"/>
  <c r="J156" i="12"/>
  <c r="E162" i="18"/>
  <c r="H174" i="13"/>
  <c r="T174" i="13"/>
  <c r="AI174" i="13"/>
  <c r="AH174" i="13"/>
  <c r="AI156" i="12"/>
  <c r="AB162" i="18"/>
  <c r="AE162" i="18"/>
  <c r="L180" i="12"/>
  <c r="AD107" i="14"/>
  <c r="AL107" i="14"/>
  <c r="P150" i="15"/>
  <c r="AG156" i="12"/>
  <c r="Q156" i="12"/>
  <c r="N107" i="14"/>
  <c r="L107" i="14"/>
  <c r="AB150" i="15"/>
  <c r="H107" i="14"/>
  <c r="M150" i="15"/>
  <c r="AE150" i="15"/>
  <c r="H180" i="12"/>
  <c r="P180" i="12"/>
  <c r="AF180" i="12"/>
  <c r="AB156" i="12"/>
  <c r="J162" i="18"/>
  <c r="I156" i="12"/>
  <c r="N162" i="18"/>
  <c r="U156" i="12"/>
  <c r="Y174" i="13"/>
  <c r="AA174" i="13"/>
  <c r="AK174" i="13"/>
  <c r="L162" i="18"/>
  <c r="T162" i="18"/>
  <c r="AD156" i="12"/>
  <c r="Y107" i="14"/>
  <c r="T150" i="15"/>
  <c r="AG162" i="18"/>
  <c r="P156" i="12"/>
  <c r="G156" i="12"/>
  <c r="G107" i="14"/>
  <c r="U107" i="14"/>
  <c r="L150" i="15"/>
  <c r="H150" i="15"/>
  <c r="F180" i="12"/>
  <c r="U180" i="12"/>
  <c r="AC180" i="12"/>
  <c r="F162" i="18"/>
  <c r="AA156" i="12"/>
  <c r="E174" i="13"/>
  <c r="Q162" i="18"/>
  <c r="U174" i="13"/>
  <c r="W174" i="13"/>
  <c r="O162" i="18"/>
  <c r="G162" i="18"/>
  <c r="AL174" i="13"/>
  <c r="F107" i="14"/>
  <c r="AA107" i="14"/>
  <c r="H162" i="18"/>
  <c r="J174" i="13"/>
  <c r="S156" i="12"/>
  <c r="E156" i="12"/>
  <c r="K150" i="15"/>
  <c r="AF150" i="15"/>
  <c r="AH150" i="15"/>
  <c r="AG107" i="14"/>
  <c r="E107" i="14"/>
  <c r="AC150" i="15"/>
  <c r="U150" i="15"/>
  <c r="N150" i="15"/>
  <c r="Y180" i="12"/>
  <c r="AK180" i="12"/>
  <c r="AI180" i="12"/>
  <c r="K162" i="18"/>
  <c r="T156" i="12"/>
  <c r="N174" i="13"/>
  <c r="AH162" i="18"/>
  <c r="AE174" i="13"/>
  <c r="F174" i="13"/>
  <c r="Y162" i="18"/>
  <c r="AA162" i="18"/>
  <c r="AF174" i="13"/>
  <c r="E150" i="15"/>
  <c r="O107" i="14"/>
  <c r="AA150" i="15"/>
  <c r="O156" i="12"/>
  <c r="AH156" i="12"/>
  <c r="AJ107" i="14"/>
  <c r="J150" i="15"/>
  <c r="J107" i="14"/>
  <c r="AE107" i="14"/>
  <c r="W150" i="15"/>
  <c r="AJ150" i="15"/>
  <c r="R180" i="12"/>
  <c r="AH180" i="12"/>
  <c r="AG180" i="12"/>
  <c r="K180" i="12"/>
  <c r="H156" i="12"/>
  <c r="L156" i="12"/>
  <c r="Q174" i="13"/>
  <c r="V174" i="13"/>
  <c r="AB174" i="13"/>
  <c r="L174" i="13"/>
  <c r="AL162" i="18"/>
  <c r="AK162" i="18"/>
  <c r="AC162" i="18"/>
  <c r="O180" i="12"/>
  <c r="AI150" i="15"/>
  <c r="Q107" i="14"/>
  <c r="O150" i="15"/>
  <c r="I107" i="14"/>
  <c r="AL156" i="12"/>
  <c r="W156" i="12"/>
  <c r="S150" i="15"/>
  <c r="V107" i="14"/>
  <c r="AI107" i="14"/>
  <c r="AB107" i="14"/>
  <c r="I150" i="15"/>
  <c r="Z180" i="12"/>
  <c r="AJ180" i="12"/>
  <c r="T180" i="12"/>
  <c r="J180" i="12"/>
  <c r="AA180" i="12"/>
  <c r="M156" i="12"/>
  <c r="R156" i="12"/>
  <c r="Z162" i="18"/>
  <c r="I162" i="18"/>
  <c r="N156" i="12"/>
  <c r="AD174" i="13"/>
  <c r="K174" i="13"/>
  <c r="AG174" i="13"/>
  <c r="P162" i="18"/>
  <c r="AF162" i="18"/>
  <c r="AI162" i="18"/>
  <c r="AF107" i="14"/>
  <c r="AG150" i="15"/>
  <c r="R174" i="13"/>
  <c r="J180" i="16"/>
  <c r="V180" i="16"/>
  <c r="F180" i="16"/>
  <c r="AI180" i="16"/>
  <c r="W113" i="18"/>
  <c r="AG113" i="18"/>
  <c r="E113" i="18"/>
  <c r="O113" i="18"/>
  <c r="X113" i="18"/>
  <c r="R180" i="16"/>
  <c r="E180" i="16"/>
  <c r="O180" i="16"/>
  <c r="U180" i="16"/>
  <c r="U113" i="18"/>
  <c r="U119" i="15"/>
  <c r="N180" i="16"/>
  <c r="Q180" i="16"/>
  <c r="M180" i="16"/>
  <c r="G180" i="16"/>
  <c r="AJ180" i="16"/>
  <c r="H180" i="16"/>
  <c r="K180" i="16"/>
  <c r="S180" i="16"/>
  <c r="Q174" i="15"/>
  <c r="U174" i="15"/>
  <c r="AK174" i="15"/>
  <c r="AJ174" i="15"/>
  <c r="E174" i="15"/>
  <c r="S174" i="15"/>
  <c r="AG174" i="15"/>
  <c r="I174" i="15"/>
  <c r="F174" i="15"/>
  <c r="L174" i="15"/>
  <c r="AF174" i="15"/>
  <c r="AL174" i="15"/>
  <c r="AC174" i="15"/>
  <c r="P174" i="15"/>
  <c r="AB174" i="15"/>
  <c r="R174" i="15"/>
  <c r="M174" i="15"/>
  <c r="J174" i="15"/>
  <c r="AH174" i="15"/>
  <c r="AD174" i="15"/>
  <c r="W174" i="15"/>
  <c r="AA174" i="15"/>
  <c r="AI174" i="15"/>
  <c r="H174" i="15"/>
  <c r="T174" i="15"/>
  <c r="AE174" i="15"/>
  <c r="G174" i="15"/>
  <c r="Y174" i="15"/>
  <c r="O174" i="15"/>
  <c r="Z174" i="15"/>
  <c r="V174" i="15"/>
  <c r="N174" i="15"/>
  <c r="X174" i="15"/>
  <c r="AC156" i="17"/>
  <c r="AD156" i="17"/>
  <c r="I156" i="17"/>
  <c r="U156" i="17"/>
  <c r="E156" i="17"/>
  <c r="M113" i="18"/>
  <c r="AC21" i="17"/>
  <c r="W119" i="15"/>
  <c r="M119" i="15"/>
  <c r="AL119" i="15"/>
  <c r="Q119" i="15"/>
  <c r="V119" i="15"/>
  <c r="AI119" i="15"/>
  <c r="Q113" i="18"/>
  <c r="T113" i="18"/>
  <c r="AJ113" i="18"/>
  <c r="AJ119" i="15"/>
  <c r="AD113" i="18"/>
  <c r="G113" i="18"/>
  <c r="H113" i="18"/>
  <c r="AD119" i="15"/>
  <c r="P180" i="16"/>
  <c r="Y180" i="16"/>
  <c r="T180" i="16"/>
  <c r="AB180" i="16"/>
  <c r="F119" i="15"/>
  <c r="L119" i="15"/>
  <c r="AK180" i="16"/>
  <c r="Z180" i="16"/>
  <c r="AF180" i="16"/>
  <c r="AE180" i="16"/>
  <c r="I119" i="15"/>
  <c r="R119" i="15"/>
  <c r="AH180" i="16"/>
  <c r="X180" i="16"/>
  <c r="AL180" i="16"/>
  <c r="AD180" i="16"/>
  <c r="AG119" i="15"/>
  <c r="AF119" i="15"/>
  <c r="AC180" i="16"/>
  <c r="K119" i="15"/>
  <c r="L180" i="16"/>
  <c r="W180" i="16"/>
  <c r="AG180" i="16"/>
  <c r="AA180" i="16"/>
  <c r="AE119" i="15"/>
  <c r="AK119" i="15"/>
  <c r="J119" i="15"/>
  <c r="O119" i="15"/>
  <c r="Z119" i="15"/>
  <c r="S119" i="15"/>
  <c r="AA119" i="15"/>
  <c r="AC119" i="15"/>
  <c r="H119" i="15"/>
  <c r="T119" i="15"/>
  <c r="AB119" i="15"/>
  <c r="Y119" i="15"/>
  <c r="N119" i="15"/>
  <c r="E119" i="15"/>
  <c r="P119" i="15"/>
  <c r="X119" i="15"/>
  <c r="G119" i="15"/>
  <c r="E21" i="12"/>
  <c r="AE113" i="18"/>
  <c r="AI113" i="18"/>
  <c r="V113" i="18"/>
  <c r="AC113" i="18"/>
  <c r="K113" i="18"/>
  <c r="AF113" i="18"/>
  <c r="F113" i="18"/>
  <c r="L113" i="18"/>
  <c r="AB113" i="18"/>
  <c r="Z113" i="18"/>
  <c r="P113" i="18"/>
  <c r="N113" i="18"/>
  <c r="R113" i="18"/>
  <c r="AK113" i="18"/>
  <c r="AL113" i="18"/>
  <c r="S113" i="18"/>
  <c r="J113" i="18"/>
  <c r="AA113" i="18"/>
  <c r="Y113" i="18"/>
  <c r="I113" i="18"/>
  <c r="O21" i="17"/>
  <c r="AA21" i="15"/>
  <c r="AG21" i="17"/>
  <c r="K21" i="12"/>
  <c r="AE21" i="13"/>
  <c r="Q21" i="12"/>
  <c r="Y21" i="13"/>
  <c r="AB21" i="13"/>
  <c r="P21" i="14"/>
  <c r="AG21" i="18"/>
  <c r="AF21" i="15"/>
  <c r="M21" i="16"/>
  <c r="P21" i="13"/>
  <c r="AD21" i="14"/>
  <c r="Z21" i="18"/>
  <c r="E26" i="12"/>
  <c r="R21" i="12"/>
  <c r="AD21" i="16"/>
  <c r="AG21" i="14"/>
  <c r="S21" i="12"/>
  <c r="AI21" i="12"/>
  <c r="P21" i="12"/>
  <c r="AH21" i="15"/>
  <c r="X21" i="12"/>
  <c r="F21" i="12"/>
  <c r="AI21" i="13"/>
  <c r="T21" i="17"/>
  <c r="P21" i="15"/>
  <c r="J21" i="12"/>
  <c r="H21" i="14"/>
  <c r="R21" i="14"/>
  <c r="AL21" i="18"/>
  <c r="AL21" i="12"/>
  <c r="W21" i="12"/>
  <c r="Z21" i="14"/>
  <c r="AC21" i="12"/>
  <c r="X21" i="18"/>
  <c r="AH21" i="12"/>
  <c r="M21" i="12"/>
  <c r="J21" i="17"/>
  <c r="Q21" i="14"/>
  <c r="L21" i="18"/>
  <c r="AA21" i="14"/>
  <c r="H21" i="15"/>
  <c r="E26" i="17"/>
  <c r="AH21" i="16"/>
  <c r="V21" i="15"/>
  <c r="P21" i="18"/>
  <c r="M21" i="17"/>
  <c r="J21" i="15"/>
  <c r="P21" i="16"/>
  <c r="AI21" i="15"/>
  <c r="AC21" i="14"/>
  <c r="K21" i="17"/>
  <c r="AD21" i="18"/>
  <c r="R21" i="16"/>
  <c r="J21" i="18"/>
  <c r="I21" i="18"/>
  <c r="S21" i="17"/>
  <c r="L21" i="14"/>
  <c r="Q21" i="17"/>
  <c r="E21" i="15"/>
  <c r="E21" i="18"/>
  <c r="I21" i="13"/>
  <c r="E21" i="13"/>
  <c r="AE21" i="15"/>
  <c r="AJ21" i="13"/>
  <c r="J21" i="16"/>
  <c r="L21" i="12"/>
  <c r="T21" i="18"/>
  <c r="X21" i="15"/>
  <c r="Z21" i="15"/>
  <c r="R21" i="13"/>
  <c r="AJ21" i="12"/>
  <c r="H21" i="16"/>
  <c r="J21" i="13"/>
  <c r="G26" i="12"/>
  <c r="Y21" i="12"/>
  <c r="AK21" i="14"/>
  <c r="N21" i="17"/>
  <c r="W21" i="18"/>
  <c r="AC21" i="13"/>
  <c r="S21" i="13"/>
  <c r="AF21" i="13"/>
  <c r="U21" i="15"/>
  <c r="I21" i="15"/>
  <c r="N21" i="14"/>
  <c r="K21" i="13"/>
  <c r="AF21" i="12"/>
  <c r="H21" i="13"/>
  <c r="Y21" i="15"/>
  <c r="AD21" i="12"/>
  <c r="AG21" i="12"/>
  <c r="AK21" i="16"/>
  <c r="AI21" i="14"/>
  <c r="O21" i="13"/>
  <c r="Y21" i="18"/>
  <c r="AK21" i="17"/>
  <c r="AJ21" i="15"/>
  <c r="R21" i="15"/>
  <c r="U21" i="17"/>
  <c r="H21" i="12"/>
  <c r="AF21" i="16"/>
  <c r="U21" i="18"/>
  <c r="AH21" i="18"/>
  <c r="AJ21" i="14"/>
  <c r="U21" i="13"/>
  <c r="E26" i="15"/>
  <c r="AK21" i="12"/>
  <c r="AA21" i="12"/>
  <c r="W21" i="16"/>
  <c r="Y21" i="14"/>
  <c r="M21" i="18"/>
  <c r="L21" i="17"/>
  <c r="Z21" i="13"/>
  <c r="AD21" i="13"/>
  <c r="AF21" i="18"/>
  <c r="V21" i="17"/>
  <c r="I21" i="17"/>
  <c r="AG21" i="16"/>
  <c r="M21" i="13"/>
  <c r="L21" i="16"/>
  <c r="AH21" i="14"/>
  <c r="X21" i="14"/>
  <c r="X21" i="17"/>
  <c r="AG21" i="13"/>
  <c r="AL21" i="13"/>
  <c r="O21" i="15"/>
  <c r="Q21" i="13"/>
  <c r="G21" i="15"/>
  <c r="T21" i="12"/>
  <c r="AK21" i="13"/>
  <c r="AA21" i="18"/>
  <c r="N21" i="12"/>
  <c r="K21" i="16"/>
  <c r="G21" i="18"/>
  <c r="F21" i="16"/>
  <c r="W21" i="17"/>
  <c r="T21" i="14"/>
  <c r="R21" i="18"/>
  <c r="L21" i="13"/>
  <c r="AL21" i="15"/>
  <c r="N21" i="18"/>
  <c r="E26" i="18"/>
  <c r="AG21" i="15"/>
  <c r="AE21" i="16"/>
  <c r="U21" i="16"/>
  <c r="AA21" i="17"/>
  <c r="Q21" i="16"/>
  <c r="M21" i="15"/>
  <c r="O21" i="12"/>
  <c r="AB21" i="18"/>
  <c r="S21" i="18"/>
  <c r="AI21" i="16"/>
  <c r="U21" i="12"/>
  <c r="Z21" i="12"/>
  <c r="G21" i="14"/>
  <c r="AH21" i="13"/>
  <c r="I21" i="12"/>
  <c r="V21" i="13"/>
  <c r="Z21" i="17"/>
  <c r="AB21" i="16"/>
  <c r="T21" i="15"/>
  <c r="AE21" i="12"/>
  <c r="AH21" i="17"/>
  <c r="AA21" i="16"/>
  <c r="AJ21" i="16"/>
  <c r="H21" i="18"/>
  <c r="K21" i="15"/>
  <c r="M21" i="14"/>
  <c r="AI21" i="17"/>
  <c r="O21" i="16"/>
  <c r="O21" i="18"/>
  <c r="W21" i="14"/>
  <c r="E21" i="14"/>
  <c r="S21" i="15"/>
  <c r="AK21" i="15"/>
  <c r="AB21" i="17"/>
  <c r="V21" i="16"/>
  <c r="N21" i="13"/>
  <c r="G21" i="16"/>
  <c r="N21" i="16"/>
  <c r="AD21" i="15"/>
  <c r="L21" i="15"/>
  <c r="AE21" i="14"/>
  <c r="Q21" i="18"/>
  <c r="AA21" i="13"/>
  <c r="F26" i="16"/>
  <c r="Z21" i="16"/>
  <c r="O21" i="14"/>
  <c r="G21" i="13"/>
  <c r="H21" i="17"/>
  <c r="AJ21" i="17"/>
  <c r="AE21" i="18"/>
  <c r="F21" i="18"/>
  <c r="W21" i="13"/>
  <c r="F21" i="17"/>
  <c r="AE21" i="17"/>
  <c r="AB21" i="15"/>
  <c r="E26" i="16"/>
  <c r="V21" i="12"/>
  <c r="I21" i="16"/>
  <c r="AJ21" i="18"/>
  <c r="X21" i="13"/>
  <c r="AB21" i="12"/>
  <c r="Q21" i="15"/>
  <c r="AF21" i="17"/>
  <c r="AL21" i="14"/>
  <c r="V21" i="18"/>
  <c r="Y21" i="17"/>
  <c r="T21" i="16"/>
  <c r="F21" i="13"/>
  <c r="F21" i="15"/>
  <c r="G21" i="17"/>
  <c r="R21" i="17"/>
  <c r="AC21" i="15"/>
  <c r="AK21" i="18"/>
  <c r="N21" i="15"/>
  <c r="P21" i="17"/>
  <c r="AL21" i="16"/>
  <c r="T21" i="13"/>
  <c r="AD21" i="17"/>
  <c r="AC21" i="18"/>
  <c r="X21" i="16"/>
  <c r="W21" i="15"/>
  <c r="G26" i="15"/>
  <c r="AC26" i="10"/>
  <c r="AA21" i="10"/>
  <c r="AK21" i="10"/>
  <c r="Y21" i="10"/>
  <c r="AC25" i="10"/>
  <c r="J26" i="10"/>
  <c r="AE21" i="10"/>
  <c r="L25" i="10"/>
  <c r="Y26" i="10"/>
  <c r="R21" i="10"/>
  <c r="AH25" i="10"/>
  <c r="U26" i="10"/>
  <c r="AJ21" i="10"/>
  <c r="R25" i="10"/>
  <c r="AL21" i="10"/>
  <c r="CS56" i="10"/>
  <c r="P21" i="10"/>
  <c r="U21" i="10"/>
  <c r="Q21" i="10"/>
  <c r="X21" i="10"/>
  <c r="S21" i="10"/>
  <c r="Z25" i="10"/>
  <c r="AD25" i="10"/>
  <c r="AF26" i="10"/>
  <c r="R26" i="10"/>
  <c r="O21" i="10"/>
  <c r="W21" i="10"/>
  <c r="T21" i="10"/>
  <c r="K25" i="10"/>
  <c r="O25" i="10"/>
  <c r="AD21" i="10"/>
  <c r="AB21" i="10"/>
  <c r="Z21" i="10"/>
  <c r="AK25" i="10"/>
  <c r="AH26" i="10"/>
  <c r="AA26" i="10"/>
  <c r="M26" i="10"/>
  <c r="Q26" i="10"/>
  <c r="M21" i="10"/>
  <c r="V21" i="10"/>
  <c r="AI21" i="10"/>
  <c r="AC21" i="10"/>
  <c r="G25" i="10"/>
  <c r="V26" i="10"/>
  <c r="AB26" i="10"/>
  <c r="AG26" i="10"/>
  <c r="F26" i="10"/>
  <c r="V25" i="10"/>
  <c r="I26" i="10"/>
  <c r="T26" i="10"/>
  <c r="W26" i="10"/>
  <c r="S26" i="10"/>
  <c r="J21" i="10"/>
  <c r="H21" i="10"/>
  <c r="AH21" i="10"/>
  <c r="AF21" i="10"/>
  <c r="AI25" i="10"/>
  <c r="G21" i="12"/>
  <c r="AC21" i="16"/>
  <c r="O26" i="10"/>
  <c r="AI26" i="10"/>
  <c r="AJ26" i="10"/>
  <c r="N26" i="10"/>
  <c r="AG21" i="10"/>
  <c r="K21" i="10"/>
  <c r="F21" i="10"/>
  <c r="G21" i="10"/>
  <c r="Q25" i="10"/>
  <c r="I25" i="10"/>
  <c r="AE25" i="10"/>
  <c r="J25" i="10"/>
  <c r="N25" i="10"/>
  <c r="G26" i="16"/>
  <c r="AK26" i="10"/>
  <c r="X26" i="10"/>
  <c r="Z26" i="10"/>
  <c r="E26" i="10"/>
  <c r="E21" i="10"/>
  <c r="I21" i="10"/>
  <c r="L21" i="10"/>
  <c r="T25" i="10"/>
  <c r="F25" i="10"/>
  <c r="U25" i="10"/>
  <c r="E25" i="10"/>
  <c r="H25" i="10"/>
  <c r="E26" i="13"/>
  <c r="E21" i="16"/>
  <c r="Y21" i="16"/>
  <c r="E26" i="14"/>
  <c r="Y25" i="10"/>
  <c r="P25" i="10"/>
  <c r="AB25" i="10"/>
  <c r="AG25" i="10"/>
  <c r="L26" i="10"/>
  <c r="AD26" i="10"/>
  <c r="K26" i="10"/>
  <c r="H26" i="10"/>
  <c r="W25" i="10"/>
  <c r="X25" i="10"/>
  <c r="AL25" i="10"/>
  <c r="CS60" i="10"/>
  <c r="S25" i="10"/>
  <c r="F26" i="15"/>
  <c r="S21" i="16"/>
  <c r="AL26" i="10"/>
  <c r="CS61" i="10"/>
  <c r="P26" i="10"/>
  <c r="AE26" i="10"/>
  <c r="AA25" i="10"/>
  <c r="AJ25" i="10"/>
  <c r="M25" i="10"/>
  <c r="W159" i="17"/>
  <c r="W110" i="17"/>
  <c r="W122" i="17"/>
  <c r="W171" i="17"/>
  <c r="W189" i="17"/>
  <c r="W183" i="17"/>
  <c r="W165" i="17"/>
  <c r="W140" i="17"/>
  <c r="W146" i="17"/>
  <c r="W116" i="17"/>
  <c r="W128" i="17"/>
  <c r="W134" i="17"/>
  <c r="W153" i="17"/>
  <c r="W177" i="17"/>
  <c r="AB140" i="17"/>
  <c r="AB189" i="17"/>
  <c r="AB134" i="17"/>
  <c r="AB128" i="17"/>
  <c r="AB110" i="17"/>
  <c r="AB122" i="17"/>
  <c r="AB177" i="17"/>
  <c r="AB116" i="17"/>
  <c r="AB159" i="17"/>
  <c r="AB165" i="17"/>
  <c r="AB146" i="17"/>
  <c r="AB183" i="17"/>
  <c r="AB153" i="17"/>
  <c r="AB171" i="17"/>
  <c r="O128" i="17"/>
  <c r="O122" i="17"/>
  <c r="O159" i="17"/>
  <c r="O134" i="17"/>
  <c r="O189" i="17"/>
  <c r="O171" i="17"/>
  <c r="O146" i="17"/>
  <c r="O165" i="17"/>
  <c r="O116" i="17"/>
  <c r="O177" i="17"/>
  <c r="O153" i="17"/>
  <c r="O110" i="17"/>
  <c r="O140" i="17"/>
  <c r="O183" i="17"/>
  <c r="AD122" i="17"/>
  <c r="AD140" i="17"/>
  <c r="AD153" i="17"/>
  <c r="AD110" i="17"/>
  <c r="AD146" i="17"/>
  <c r="AD177" i="17"/>
  <c r="AD189" i="17"/>
  <c r="AD171" i="17"/>
  <c r="AD134" i="17"/>
  <c r="AD159" i="17"/>
  <c r="AD183" i="17"/>
  <c r="AD116" i="17"/>
  <c r="AD128" i="17"/>
  <c r="AD165" i="17"/>
  <c r="J153" i="17"/>
  <c r="J183" i="17"/>
  <c r="J110" i="17"/>
  <c r="J146" i="17"/>
  <c r="J189" i="17"/>
  <c r="J122" i="17"/>
  <c r="J171" i="17"/>
  <c r="J140" i="17"/>
  <c r="J116" i="17"/>
  <c r="J177" i="17"/>
  <c r="J165" i="17"/>
  <c r="J134" i="17"/>
  <c r="J128" i="17"/>
  <c r="J159" i="17"/>
  <c r="E171" i="12"/>
  <c r="E116" i="12"/>
  <c r="E189" i="12"/>
  <c r="E153" i="12"/>
  <c r="E134" i="12"/>
  <c r="E122" i="12"/>
  <c r="E110" i="12"/>
  <c r="E128" i="12"/>
  <c r="E165" i="12"/>
  <c r="E146" i="12"/>
  <c r="E177" i="12"/>
  <c r="E183" i="12"/>
  <c r="E140" i="12"/>
  <c r="E159" i="12"/>
  <c r="R146" i="12"/>
  <c r="R159" i="12"/>
  <c r="R183" i="12"/>
  <c r="R134" i="12"/>
  <c r="R128" i="12"/>
  <c r="R165" i="12"/>
  <c r="R189" i="12"/>
  <c r="R177" i="12"/>
  <c r="R122" i="12"/>
  <c r="R116" i="12"/>
  <c r="R110" i="12"/>
  <c r="R140" i="12"/>
  <c r="R171" i="12"/>
  <c r="R153" i="12"/>
  <c r="I177" i="14"/>
  <c r="I116" i="14"/>
  <c r="I110" i="14"/>
  <c r="I171" i="14"/>
  <c r="I165" i="14"/>
  <c r="I134" i="14"/>
  <c r="I189" i="14"/>
  <c r="I140" i="14"/>
  <c r="I122" i="14"/>
  <c r="I153" i="14"/>
  <c r="I159" i="14"/>
  <c r="I146" i="14"/>
  <c r="I128" i="14"/>
  <c r="I183" i="14"/>
  <c r="AG146" i="14"/>
  <c r="AG171" i="14"/>
  <c r="AG140" i="14"/>
  <c r="AG134" i="14"/>
  <c r="AG165" i="14"/>
  <c r="AG183" i="14"/>
  <c r="AG110" i="14"/>
  <c r="AG177" i="14"/>
  <c r="AG128" i="14"/>
  <c r="AG153" i="14"/>
  <c r="AG159" i="14"/>
  <c r="AG116" i="14"/>
  <c r="AG122" i="14"/>
  <c r="AG189" i="14"/>
  <c r="N122" i="14"/>
  <c r="N171" i="14"/>
  <c r="N165" i="14"/>
  <c r="N128" i="14"/>
  <c r="N159" i="14"/>
  <c r="N140" i="14"/>
  <c r="N110" i="14"/>
  <c r="N183" i="14"/>
  <c r="N116" i="14"/>
  <c r="N134" i="14"/>
  <c r="N189" i="14"/>
  <c r="N146" i="14"/>
  <c r="N177" i="14"/>
  <c r="N153" i="14"/>
  <c r="J116" i="14"/>
  <c r="J177" i="14"/>
  <c r="J165" i="14"/>
  <c r="J159" i="14"/>
  <c r="J171" i="14"/>
  <c r="J140" i="14"/>
  <c r="J183" i="14"/>
  <c r="J122" i="14"/>
  <c r="J153" i="14"/>
  <c r="J128" i="14"/>
  <c r="J134" i="14"/>
  <c r="J189" i="14"/>
  <c r="J110" i="14"/>
  <c r="J146" i="14"/>
  <c r="AI134" i="14"/>
  <c r="AI165" i="14"/>
  <c r="AI140" i="14"/>
  <c r="AI128" i="14"/>
  <c r="AI183" i="14"/>
  <c r="AI159" i="14"/>
  <c r="AI153" i="14"/>
  <c r="AI171" i="14"/>
  <c r="AI122" i="14"/>
  <c r="AI146" i="14"/>
  <c r="AI177" i="14"/>
  <c r="AI189" i="14"/>
  <c r="AI110" i="14"/>
  <c r="AI116" i="14"/>
  <c r="H110" i="14"/>
  <c r="H171" i="14"/>
  <c r="H153" i="14"/>
  <c r="H146" i="14"/>
  <c r="H177" i="14"/>
  <c r="H159" i="14"/>
  <c r="H165" i="14"/>
  <c r="H116" i="14"/>
  <c r="H128" i="14"/>
  <c r="H122" i="14"/>
  <c r="H183" i="14"/>
  <c r="H134" i="14"/>
  <c r="H140" i="14"/>
  <c r="H189" i="14"/>
  <c r="H122" i="16"/>
  <c r="H110" i="16"/>
  <c r="H146" i="16"/>
  <c r="H128" i="16"/>
  <c r="H165" i="16"/>
  <c r="H159" i="16"/>
  <c r="H189" i="16"/>
  <c r="H171" i="16"/>
  <c r="H134" i="16"/>
  <c r="H153" i="16"/>
  <c r="H116" i="16"/>
  <c r="H140" i="16"/>
  <c r="H177" i="16"/>
  <c r="E177" i="16"/>
  <c r="E140" i="16"/>
  <c r="E134" i="16"/>
  <c r="E110" i="16"/>
  <c r="E146" i="16"/>
  <c r="E128" i="16"/>
  <c r="E153" i="16"/>
  <c r="E171" i="16"/>
  <c r="E116" i="16"/>
  <c r="E159" i="16"/>
  <c r="E165" i="16"/>
  <c r="E189" i="16"/>
  <c r="E122" i="16"/>
  <c r="AE110" i="16"/>
  <c r="AE140" i="16"/>
  <c r="AE165" i="16"/>
  <c r="AE177" i="16"/>
  <c r="AE134" i="16"/>
  <c r="AE159" i="16"/>
  <c r="AE122" i="16"/>
  <c r="AE128" i="16"/>
  <c r="AE116" i="16"/>
  <c r="AE153" i="16"/>
  <c r="AE171" i="16"/>
  <c r="AE189" i="16"/>
  <c r="AE146" i="16"/>
  <c r="Z189" i="16"/>
  <c r="Z110" i="16"/>
  <c r="Z134" i="16"/>
  <c r="Z146" i="16"/>
  <c r="Z140" i="16"/>
  <c r="Z153" i="16"/>
  <c r="Z116" i="16"/>
  <c r="Z159" i="16"/>
  <c r="Z177" i="16"/>
  <c r="Z128" i="16"/>
  <c r="Z171" i="16"/>
  <c r="Z165" i="16"/>
  <c r="Z122" i="16"/>
  <c r="W153" i="16"/>
  <c r="W146" i="16"/>
  <c r="W165" i="16"/>
  <c r="W134" i="16"/>
  <c r="W140" i="16"/>
  <c r="W159" i="16"/>
  <c r="W122" i="16"/>
  <c r="W177" i="16"/>
  <c r="W116" i="16"/>
  <c r="W189" i="16"/>
  <c r="W110" i="16"/>
  <c r="W128" i="16"/>
  <c r="W171" i="16"/>
  <c r="N171" i="18"/>
  <c r="N128" i="18"/>
  <c r="N177" i="18"/>
  <c r="N110" i="18"/>
  <c r="N116" i="18"/>
  <c r="N122" i="18"/>
  <c r="N189" i="18"/>
  <c r="N134" i="18"/>
  <c r="N183" i="18"/>
  <c r="N159" i="18"/>
  <c r="N140" i="18"/>
  <c r="N165" i="18"/>
  <c r="N153" i="18"/>
  <c r="N146" i="18"/>
  <c r="N165" i="15"/>
  <c r="N153" i="15"/>
  <c r="N134" i="15"/>
  <c r="N116" i="15"/>
  <c r="N177" i="15"/>
  <c r="N171" i="15"/>
  <c r="N128" i="15"/>
  <c r="N159" i="15"/>
  <c r="N189" i="15"/>
  <c r="N110" i="15"/>
  <c r="N122" i="15"/>
  <c r="N146" i="15"/>
  <c r="N183" i="15"/>
  <c r="N140" i="15"/>
  <c r="Q146" i="17"/>
  <c r="Q134" i="17"/>
  <c r="Q159" i="17"/>
  <c r="Q183" i="17"/>
  <c r="Q171" i="17"/>
  <c r="Q116" i="17"/>
  <c r="Q153" i="17"/>
  <c r="Q128" i="17"/>
  <c r="Q122" i="17"/>
  <c r="Q165" i="17"/>
  <c r="Q189" i="17"/>
  <c r="Q140" i="17"/>
  <c r="Q177" i="17"/>
  <c r="Q110" i="17"/>
  <c r="AA177" i="17"/>
  <c r="AA153" i="17"/>
  <c r="AA171" i="17"/>
  <c r="AA110" i="17"/>
  <c r="AA146" i="17"/>
  <c r="AA183" i="17"/>
  <c r="AA122" i="17"/>
  <c r="AA116" i="17"/>
  <c r="AA165" i="17"/>
  <c r="AA189" i="17"/>
  <c r="AA140" i="17"/>
  <c r="AA134" i="17"/>
  <c r="AA159" i="17"/>
  <c r="AA128" i="17"/>
  <c r="U165" i="17"/>
  <c r="U189" i="17"/>
  <c r="U146" i="17"/>
  <c r="U183" i="17"/>
  <c r="U128" i="17"/>
  <c r="U134" i="17"/>
  <c r="U110" i="17"/>
  <c r="U159" i="17"/>
  <c r="U116" i="17"/>
  <c r="U153" i="17"/>
  <c r="U140" i="17"/>
  <c r="U171" i="17"/>
  <c r="U122" i="17"/>
  <c r="U177" i="17"/>
  <c r="M128" i="12"/>
  <c r="M134" i="12"/>
  <c r="M165" i="12"/>
  <c r="M153" i="12"/>
  <c r="M116" i="12"/>
  <c r="M183" i="12"/>
  <c r="M110" i="12"/>
  <c r="M140" i="12"/>
  <c r="M159" i="12"/>
  <c r="M171" i="12"/>
  <c r="M189" i="12"/>
  <c r="M122" i="12"/>
  <c r="M177" i="12"/>
  <c r="M146" i="12"/>
  <c r="AB189" i="12"/>
  <c r="AB171" i="12"/>
  <c r="AB159" i="12"/>
  <c r="AB110" i="12"/>
  <c r="AB153" i="12"/>
  <c r="AB140" i="12"/>
  <c r="AB128" i="12"/>
  <c r="AB183" i="12"/>
  <c r="AB146" i="12"/>
  <c r="AB177" i="12"/>
  <c r="AB165" i="12"/>
  <c r="AB122" i="12"/>
  <c r="AB134" i="12"/>
  <c r="AB116" i="12"/>
  <c r="AL110" i="12"/>
  <c r="AL183" i="12"/>
  <c r="AL116" i="12"/>
  <c r="AL134" i="12"/>
  <c r="AL159" i="12"/>
  <c r="AL140" i="12"/>
  <c r="AL122" i="12"/>
  <c r="AL189" i="12"/>
  <c r="AL153" i="12"/>
  <c r="AL146" i="12"/>
  <c r="AL128" i="12"/>
  <c r="AL177" i="12"/>
  <c r="AL165" i="12"/>
  <c r="AL171" i="12"/>
  <c r="L189" i="12"/>
  <c r="L183" i="12"/>
  <c r="L134" i="12"/>
  <c r="L146" i="12"/>
  <c r="L140" i="12"/>
  <c r="L122" i="12"/>
  <c r="L159" i="12"/>
  <c r="L110" i="12"/>
  <c r="L165" i="12"/>
  <c r="L116" i="12"/>
  <c r="L171" i="12"/>
  <c r="L153" i="12"/>
  <c r="L177" i="12"/>
  <c r="L128" i="12"/>
  <c r="AE116" i="18"/>
  <c r="AE128" i="18"/>
  <c r="AE159" i="18"/>
  <c r="AE110" i="18"/>
  <c r="AE183" i="18"/>
  <c r="AE171" i="18"/>
  <c r="AE146" i="18"/>
  <c r="AE165" i="18"/>
  <c r="AE189" i="18"/>
  <c r="AE153" i="18"/>
  <c r="AE140" i="18"/>
  <c r="AE134" i="18"/>
  <c r="AE122" i="18"/>
  <c r="AE177" i="18"/>
  <c r="Q159" i="18"/>
  <c r="Q183" i="18"/>
  <c r="Q189" i="18"/>
  <c r="Q128" i="18"/>
  <c r="Q134" i="18"/>
  <c r="Q116" i="18"/>
  <c r="Q153" i="18"/>
  <c r="Q165" i="18"/>
  <c r="Q146" i="18"/>
  <c r="Q110" i="18"/>
  <c r="Q171" i="18"/>
  <c r="Q122" i="18"/>
  <c r="Q140" i="18"/>
  <c r="Q177" i="18"/>
  <c r="U128" i="13"/>
  <c r="U165" i="13"/>
  <c r="U134" i="13"/>
  <c r="U189" i="13"/>
  <c r="U177" i="13"/>
  <c r="U159" i="13"/>
  <c r="U122" i="13"/>
  <c r="U171" i="13"/>
  <c r="U153" i="13"/>
  <c r="U146" i="13"/>
  <c r="U110" i="13"/>
  <c r="U183" i="13"/>
  <c r="U140" i="13"/>
  <c r="U116" i="13"/>
  <c r="AJ153" i="13"/>
  <c r="AJ122" i="13"/>
  <c r="AJ146" i="13"/>
  <c r="AJ134" i="13"/>
  <c r="AJ165" i="13"/>
  <c r="AJ110" i="13"/>
  <c r="AJ177" i="13"/>
  <c r="AJ189" i="13"/>
  <c r="AJ183" i="13"/>
  <c r="AJ159" i="13"/>
  <c r="AJ171" i="13"/>
  <c r="AJ140" i="13"/>
  <c r="AJ128" i="13"/>
  <c r="AJ116" i="13"/>
  <c r="S116" i="15"/>
  <c r="S122" i="15"/>
  <c r="S177" i="15"/>
  <c r="S159" i="15"/>
  <c r="S146" i="15"/>
  <c r="S183" i="15"/>
  <c r="S165" i="15"/>
  <c r="S110" i="15"/>
  <c r="S171" i="15"/>
  <c r="S128" i="15"/>
  <c r="S140" i="15"/>
  <c r="S153" i="15"/>
  <c r="S134" i="15"/>
  <c r="S189" i="15"/>
  <c r="AD128" i="12"/>
  <c r="AD110" i="12"/>
  <c r="AD171" i="12"/>
  <c r="AD146" i="12"/>
  <c r="AD116" i="12"/>
  <c r="AD177" i="12"/>
  <c r="AD159" i="12"/>
  <c r="AD183" i="12"/>
  <c r="AD189" i="12"/>
  <c r="AD140" i="12"/>
  <c r="AD134" i="12"/>
  <c r="AD165" i="12"/>
  <c r="AD153" i="12"/>
  <c r="AD122" i="12"/>
  <c r="V128" i="14"/>
  <c r="V183" i="14"/>
  <c r="V177" i="14"/>
  <c r="V146" i="14"/>
  <c r="V171" i="14"/>
  <c r="V134" i="14"/>
  <c r="V140" i="14"/>
  <c r="V159" i="14"/>
  <c r="V165" i="14"/>
  <c r="V189" i="14"/>
  <c r="V110" i="14"/>
  <c r="V122" i="14"/>
  <c r="V116" i="14"/>
  <c r="V153" i="14"/>
  <c r="AK189" i="14"/>
  <c r="AK110" i="14"/>
  <c r="AK153" i="14"/>
  <c r="AK183" i="14"/>
  <c r="AK159" i="14"/>
  <c r="AK165" i="14"/>
  <c r="AK171" i="14"/>
  <c r="AK140" i="14"/>
  <c r="AK134" i="14"/>
  <c r="AK146" i="14"/>
  <c r="AK122" i="14"/>
  <c r="AK116" i="14"/>
  <c r="AK128" i="14"/>
  <c r="AK177" i="14"/>
  <c r="T171" i="14"/>
  <c r="T153" i="14"/>
  <c r="T165" i="14"/>
  <c r="T177" i="14"/>
  <c r="T122" i="14"/>
  <c r="T110" i="14"/>
  <c r="T183" i="14"/>
  <c r="T146" i="14"/>
  <c r="T140" i="14"/>
  <c r="T159" i="14"/>
  <c r="T128" i="14"/>
  <c r="T134" i="14"/>
  <c r="T189" i="14"/>
  <c r="T116" i="14"/>
  <c r="Z177" i="14"/>
  <c r="Z146" i="14"/>
  <c r="Z159" i="14"/>
  <c r="Z171" i="14"/>
  <c r="Z116" i="14"/>
  <c r="Z140" i="14"/>
  <c r="Z189" i="14"/>
  <c r="Z165" i="14"/>
  <c r="Z153" i="14"/>
  <c r="Z122" i="14"/>
  <c r="Z134" i="14"/>
  <c r="Z183" i="14"/>
  <c r="Z110" i="14"/>
  <c r="Z128" i="14"/>
  <c r="L153" i="14"/>
  <c r="L116" i="14"/>
  <c r="L165" i="14"/>
  <c r="L177" i="14"/>
  <c r="L110" i="14"/>
  <c r="L128" i="14"/>
  <c r="L146" i="14"/>
  <c r="L140" i="14"/>
  <c r="L134" i="14"/>
  <c r="L183" i="14"/>
  <c r="L159" i="14"/>
  <c r="L189" i="14"/>
  <c r="L171" i="14"/>
  <c r="L122" i="14"/>
  <c r="U146" i="14"/>
  <c r="U183" i="14"/>
  <c r="U122" i="14"/>
  <c r="U134" i="14"/>
  <c r="U128" i="14"/>
  <c r="U110" i="14"/>
  <c r="U165" i="14"/>
  <c r="U159" i="14"/>
  <c r="U153" i="14"/>
  <c r="U116" i="14"/>
  <c r="U140" i="14"/>
  <c r="U177" i="14"/>
  <c r="U171" i="14"/>
  <c r="U189" i="14"/>
  <c r="G189" i="14"/>
  <c r="G110" i="14"/>
  <c r="G165" i="14"/>
  <c r="G153" i="14"/>
  <c r="G134" i="14"/>
  <c r="G146" i="14"/>
  <c r="G140" i="14"/>
  <c r="G116" i="14"/>
  <c r="G159" i="14"/>
  <c r="G183" i="14"/>
  <c r="G128" i="14"/>
  <c r="G122" i="14"/>
  <c r="G171" i="14"/>
  <c r="G177" i="14"/>
  <c r="AD134" i="16"/>
  <c r="AD146" i="16"/>
  <c r="AD171" i="16"/>
  <c r="AD128" i="16"/>
  <c r="AD165" i="16"/>
  <c r="AD110" i="16"/>
  <c r="AD122" i="16"/>
  <c r="AD140" i="16"/>
  <c r="AD189" i="16"/>
  <c r="AD159" i="16"/>
  <c r="AD177" i="16"/>
  <c r="AD153" i="16"/>
  <c r="AD116" i="16"/>
  <c r="U110" i="16"/>
  <c r="U189" i="16"/>
  <c r="U122" i="16"/>
  <c r="U171" i="16"/>
  <c r="U165" i="16"/>
  <c r="U146" i="16"/>
  <c r="U134" i="16"/>
  <c r="U128" i="16"/>
  <c r="U116" i="16"/>
  <c r="U177" i="16"/>
  <c r="U153" i="16"/>
  <c r="U140" i="16"/>
  <c r="U159" i="16"/>
  <c r="AJ146" i="16"/>
  <c r="AJ140" i="16"/>
  <c r="AJ159" i="16"/>
  <c r="AJ128" i="16"/>
  <c r="AJ110" i="16"/>
  <c r="AJ189" i="16"/>
  <c r="AJ122" i="16"/>
  <c r="AJ116" i="16"/>
  <c r="AJ171" i="16"/>
  <c r="AJ134" i="16"/>
  <c r="AJ177" i="16"/>
  <c r="AJ153" i="16"/>
  <c r="AJ165" i="16"/>
  <c r="V171" i="16"/>
  <c r="V177" i="16"/>
  <c r="V134" i="16"/>
  <c r="V189" i="16"/>
  <c r="V140" i="16"/>
  <c r="V146" i="16"/>
  <c r="V110" i="16"/>
  <c r="V159" i="16"/>
  <c r="V128" i="16"/>
  <c r="V122" i="16"/>
  <c r="V153" i="16"/>
  <c r="V116" i="16"/>
  <c r="V165" i="16"/>
  <c r="P122" i="16"/>
  <c r="P116" i="16"/>
  <c r="P159" i="16"/>
  <c r="P189" i="16"/>
  <c r="P165" i="16"/>
  <c r="P134" i="16"/>
  <c r="P171" i="16"/>
  <c r="P128" i="16"/>
  <c r="P110" i="16"/>
  <c r="P153" i="16"/>
  <c r="P140" i="16"/>
  <c r="P146" i="16"/>
  <c r="P177" i="16"/>
  <c r="AI189" i="16"/>
  <c r="AI171" i="16"/>
  <c r="AI134" i="16"/>
  <c r="AI116" i="16"/>
  <c r="AI153" i="16"/>
  <c r="AI165" i="16"/>
  <c r="AI128" i="16"/>
  <c r="AI110" i="16"/>
  <c r="AI159" i="16"/>
  <c r="AI140" i="16"/>
  <c r="AI122" i="16"/>
  <c r="AI177" i="16"/>
  <c r="AI146" i="16"/>
  <c r="AL110" i="15"/>
  <c r="AL140" i="15"/>
  <c r="AL171" i="15"/>
  <c r="AL189" i="15"/>
  <c r="AL122" i="15"/>
  <c r="AL153" i="15"/>
  <c r="AL134" i="15"/>
  <c r="AL146" i="15"/>
  <c r="AL177" i="15"/>
  <c r="AL128" i="15"/>
  <c r="AL183" i="15"/>
  <c r="AL165" i="15"/>
  <c r="AL159" i="15"/>
  <c r="AL116" i="15"/>
  <c r="AD189" i="15"/>
  <c r="AD177" i="15"/>
  <c r="AD171" i="15"/>
  <c r="AD134" i="15"/>
  <c r="AD153" i="15"/>
  <c r="AD116" i="15"/>
  <c r="AD165" i="15"/>
  <c r="AD183" i="15"/>
  <c r="AD146" i="15"/>
  <c r="AD110" i="15"/>
  <c r="AD159" i="15"/>
  <c r="AD140" i="15"/>
  <c r="AD128" i="15"/>
  <c r="AD122" i="15"/>
  <c r="I122" i="15"/>
  <c r="I189" i="15"/>
  <c r="I171" i="15"/>
  <c r="I165" i="15"/>
  <c r="I183" i="15"/>
  <c r="I153" i="15"/>
  <c r="I110" i="15"/>
  <c r="I159" i="15"/>
  <c r="I128" i="15"/>
  <c r="I116" i="15"/>
  <c r="I140" i="15"/>
  <c r="I146" i="15"/>
  <c r="I177" i="15"/>
  <c r="I134" i="15"/>
  <c r="V146" i="15"/>
  <c r="V177" i="15"/>
  <c r="V171" i="15"/>
  <c r="V134" i="15"/>
  <c r="V128" i="15"/>
  <c r="V122" i="15"/>
  <c r="V189" i="15"/>
  <c r="V165" i="15"/>
  <c r="V153" i="15"/>
  <c r="V159" i="15"/>
  <c r="V110" i="15"/>
  <c r="V183" i="15"/>
  <c r="V140" i="15"/>
  <c r="V116" i="15"/>
  <c r="K128" i="14"/>
  <c r="K183" i="14"/>
  <c r="K189" i="14"/>
  <c r="K153" i="14"/>
  <c r="K171" i="14"/>
  <c r="K146" i="14"/>
  <c r="K140" i="14"/>
  <c r="K110" i="14"/>
  <c r="K134" i="14"/>
  <c r="K165" i="14"/>
  <c r="K116" i="14"/>
  <c r="K159" i="14"/>
  <c r="K177" i="14"/>
  <c r="K122" i="14"/>
  <c r="P122" i="14"/>
  <c r="P134" i="14"/>
  <c r="P177" i="14"/>
  <c r="P110" i="14"/>
  <c r="P159" i="14"/>
  <c r="P146" i="14"/>
  <c r="P116" i="14"/>
  <c r="P183" i="14"/>
  <c r="P128" i="14"/>
  <c r="P153" i="14"/>
  <c r="P189" i="14"/>
  <c r="P140" i="14"/>
  <c r="P165" i="14"/>
  <c r="P171" i="14"/>
  <c r="AF171" i="18"/>
  <c r="AF189" i="18"/>
  <c r="AF153" i="18"/>
  <c r="AF122" i="18"/>
  <c r="AF159" i="18"/>
  <c r="AF177" i="18"/>
  <c r="AF165" i="18"/>
  <c r="AF134" i="18"/>
  <c r="AF183" i="18"/>
  <c r="AF128" i="18"/>
  <c r="AF140" i="18"/>
  <c r="AF146" i="18"/>
  <c r="AF110" i="18"/>
  <c r="AF116" i="18"/>
  <c r="H128" i="18"/>
  <c r="H189" i="18"/>
  <c r="H110" i="18"/>
  <c r="H122" i="18"/>
  <c r="H146" i="18"/>
  <c r="H153" i="18"/>
  <c r="H165" i="18"/>
  <c r="H134" i="18"/>
  <c r="H159" i="18"/>
  <c r="H116" i="18"/>
  <c r="H183" i="18"/>
  <c r="H177" i="18"/>
  <c r="H171" i="18"/>
  <c r="H140" i="18"/>
  <c r="K153" i="18"/>
  <c r="K146" i="18"/>
  <c r="K140" i="18"/>
  <c r="K134" i="18"/>
  <c r="K171" i="18"/>
  <c r="K183" i="18"/>
  <c r="K189" i="18"/>
  <c r="K128" i="18"/>
  <c r="K177" i="18"/>
  <c r="K122" i="18"/>
  <c r="K165" i="18"/>
  <c r="K159" i="18"/>
  <c r="K116" i="18"/>
  <c r="K110" i="18"/>
  <c r="V153" i="13"/>
  <c r="V189" i="13"/>
  <c r="V134" i="13"/>
  <c r="V177" i="13"/>
  <c r="V110" i="13"/>
  <c r="V122" i="13"/>
  <c r="V116" i="13"/>
  <c r="V140" i="13"/>
  <c r="V159" i="13"/>
  <c r="V165" i="13"/>
  <c r="V128" i="13"/>
  <c r="V183" i="13"/>
  <c r="V146" i="13"/>
  <c r="V171" i="13"/>
  <c r="H171" i="13"/>
  <c r="H159" i="13"/>
  <c r="H177" i="13"/>
  <c r="H146" i="13"/>
  <c r="H183" i="13"/>
  <c r="H153" i="13"/>
  <c r="H134" i="13"/>
  <c r="H110" i="13"/>
  <c r="H122" i="13"/>
  <c r="H116" i="13"/>
  <c r="H140" i="13"/>
  <c r="H189" i="13"/>
  <c r="H128" i="13"/>
  <c r="H165" i="13"/>
  <c r="AE165" i="13"/>
  <c r="AE189" i="13"/>
  <c r="AE171" i="13"/>
  <c r="AE159" i="13"/>
  <c r="AE122" i="13"/>
  <c r="AE183" i="13"/>
  <c r="AE110" i="13"/>
  <c r="AE177" i="13"/>
  <c r="AE140" i="13"/>
  <c r="AE146" i="13"/>
  <c r="AE134" i="13"/>
  <c r="AE153" i="13"/>
  <c r="AE128" i="13"/>
  <c r="AE116" i="13"/>
  <c r="H128" i="15"/>
  <c r="H171" i="15"/>
  <c r="H134" i="15"/>
  <c r="H159" i="15"/>
  <c r="H183" i="15"/>
  <c r="H153" i="15"/>
  <c r="H177" i="15"/>
  <c r="H116" i="15"/>
  <c r="H189" i="15"/>
  <c r="H110" i="15"/>
  <c r="H165" i="15"/>
  <c r="H140" i="15"/>
  <c r="H122" i="15"/>
  <c r="H146" i="15"/>
  <c r="AD159" i="14"/>
  <c r="AD110" i="14"/>
  <c r="AD165" i="14"/>
  <c r="AD177" i="14"/>
  <c r="AD146" i="14"/>
  <c r="AD122" i="14"/>
  <c r="AD183" i="14"/>
  <c r="AD116" i="14"/>
  <c r="AD140" i="14"/>
  <c r="AD153" i="14"/>
  <c r="AD171" i="14"/>
  <c r="AD128" i="14"/>
  <c r="AD134" i="14"/>
  <c r="AD189" i="14"/>
  <c r="AF110" i="14"/>
  <c r="AF159" i="14"/>
  <c r="AF165" i="14"/>
  <c r="AF177" i="14"/>
  <c r="AF146" i="14"/>
  <c r="AF153" i="14"/>
  <c r="AF122" i="14"/>
  <c r="AF183" i="14"/>
  <c r="AF134" i="14"/>
  <c r="AF140" i="14"/>
  <c r="AF128" i="14"/>
  <c r="AF171" i="14"/>
  <c r="AF116" i="14"/>
  <c r="AF189" i="14"/>
  <c r="F116" i="18"/>
  <c r="F110" i="18"/>
  <c r="F171" i="18"/>
  <c r="F134" i="18"/>
  <c r="F189" i="18"/>
  <c r="F165" i="18"/>
  <c r="F183" i="18"/>
  <c r="F153" i="18"/>
  <c r="F177" i="18"/>
  <c r="F146" i="18"/>
  <c r="F122" i="18"/>
  <c r="F140" i="18"/>
  <c r="F159" i="18"/>
  <c r="F128" i="18"/>
  <c r="AL183" i="18"/>
  <c r="AL110" i="18"/>
  <c r="AL146" i="18"/>
  <c r="AL122" i="18"/>
  <c r="AL116" i="18"/>
  <c r="AL140" i="18"/>
  <c r="AL134" i="18"/>
  <c r="AL171" i="18"/>
  <c r="AL128" i="18"/>
  <c r="AL153" i="18"/>
  <c r="AL189" i="18"/>
  <c r="AL159" i="18"/>
  <c r="AL165" i="18"/>
  <c r="AL177" i="18"/>
  <c r="G116" i="18"/>
  <c r="G128" i="18"/>
  <c r="G165" i="18"/>
  <c r="G159" i="18"/>
  <c r="G171" i="18"/>
  <c r="G146" i="18"/>
  <c r="G153" i="18"/>
  <c r="G110" i="18"/>
  <c r="G122" i="18"/>
  <c r="G183" i="18"/>
  <c r="G134" i="18"/>
  <c r="G140" i="18"/>
  <c r="G189" i="18"/>
  <c r="G177" i="18"/>
  <c r="AA171" i="18"/>
  <c r="AA128" i="18"/>
  <c r="AA177" i="18"/>
  <c r="AA110" i="18"/>
  <c r="AA183" i="18"/>
  <c r="AA134" i="18"/>
  <c r="AA165" i="18"/>
  <c r="AA153" i="18"/>
  <c r="AA140" i="18"/>
  <c r="AA116" i="18"/>
  <c r="AA159" i="18"/>
  <c r="AA189" i="18"/>
  <c r="AA146" i="18"/>
  <c r="AA122" i="18"/>
  <c r="E140" i="18"/>
  <c r="E128" i="18"/>
  <c r="E165" i="18"/>
  <c r="E189" i="18"/>
  <c r="E159" i="18"/>
  <c r="E110" i="18"/>
  <c r="E116" i="18"/>
  <c r="E122" i="18"/>
  <c r="E177" i="18"/>
  <c r="E134" i="18"/>
  <c r="E171" i="18"/>
  <c r="E146" i="18"/>
  <c r="E153" i="18"/>
  <c r="E183" i="18"/>
  <c r="N134" i="13"/>
  <c r="N159" i="13"/>
  <c r="N171" i="13"/>
  <c r="N183" i="13"/>
  <c r="N177" i="13"/>
  <c r="N140" i="13"/>
  <c r="N116" i="13"/>
  <c r="N189" i="13"/>
  <c r="N110" i="13"/>
  <c r="N128" i="13"/>
  <c r="N122" i="13"/>
  <c r="N146" i="13"/>
  <c r="N165" i="13"/>
  <c r="N153" i="13"/>
  <c r="E189" i="13"/>
  <c r="E116" i="13"/>
  <c r="E134" i="13"/>
  <c r="E122" i="13"/>
  <c r="E183" i="13"/>
  <c r="E140" i="13"/>
  <c r="E177" i="13"/>
  <c r="E146" i="13"/>
  <c r="E153" i="13"/>
  <c r="E171" i="13"/>
  <c r="E110" i="13"/>
  <c r="E159" i="13"/>
  <c r="E128" i="13"/>
  <c r="E165" i="13"/>
  <c r="AG171" i="13"/>
  <c r="AG134" i="13"/>
  <c r="AG128" i="13"/>
  <c r="AG159" i="13"/>
  <c r="AG189" i="13"/>
  <c r="AG110" i="13"/>
  <c r="AG146" i="13"/>
  <c r="AG116" i="13"/>
  <c r="AG122" i="13"/>
  <c r="AG165" i="13"/>
  <c r="AG153" i="13"/>
  <c r="AG177" i="13"/>
  <c r="AG140" i="13"/>
  <c r="AG183" i="13"/>
  <c r="G35" i="13"/>
  <c r="G34" i="13"/>
  <c r="G36" i="13"/>
  <c r="G37" i="13"/>
  <c r="G33" i="13"/>
  <c r="G38" i="13"/>
  <c r="G32" i="13"/>
  <c r="H153" i="17"/>
  <c r="H189" i="17"/>
  <c r="H171" i="17"/>
  <c r="H146" i="17"/>
  <c r="H128" i="17"/>
  <c r="H116" i="17"/>
  <c r="H165" i="17"/>
  <c r="H177" i="17"/>
  <c r="H122" i="17"/>
  <c r="H183" i="17"/>
  <c r="H159" i="17"/>
  <c r="H140" i="17"/>
  <c r="H134" i="17"/>
  <c r="H110" i="17"/>
  <c r="F189" i="17"/>
  <c r="F128" i="17"/>
  <c r="F134" i="17"/>
  <c r="F153" i="17"/>
  <c r="F116" i="17"/>
  <c r="F110" i="17"/>
  <c r="F171" i="17"/>
  <c r="F146" i="17"/>
  <c r="F183" i="17"/>
  <c r="F159" i="17"/>
  <c r="F140" i="17"/>
  <c r="F122" i="17"/>
  <c r="F177" i="17"/>
  <c r="F165" i="17"/>
  <c r="AG110" i="17"/>
  <c r="AG165" i="17"/>
  <c r="AG146" i="17"/>
  <c r="AG122" i="17"/>
  <c r="AG128" i="17"/>
  <c r="AG134" i="17"/>
  <c r="AG189" i="17"/>
  <c r="AG140" i="17"/>
  <c r="AG171" i="17"/>
  <c r="AG153" i="17"/>
  <c r="AG116" i="17"/>
  <c r="AG183" i="17"/>
  <c r="AG159" i="17"/>
  <c r="AG177" i="17"/>
  <c r="AH153" i="17"/>
  <c r="AH134" i="17"/>
  <c r="AH189" i="17"/>
  <c r="AH183" i="17"/>
  <c r="AH116" i="17"/>
  <c r="AH146" i="17"/>
  <c r="AH110" i="17"/>
  <c r="AH128" i="17"/>
  <c r="AH165" i="17"/>
  <c r="AH122" i="17"/>
  <c r="AH140" i="17"/>
  <c r="AH159" i="17"/>
  <c r="AH171" i="17"/>
  <c r="AH177" i="17"/>
  <c r="V165" i="17"/>
  <c r="V134" i="17"/>
  <c r="V146" i="17"/>
  <c r="V110" i="17"/>
  <c r="V189" i="17"/>
  <c r="V140" i="17"/>
  <c r="V171" i="17"/>
  <c r="V116" i="17"/>
  <c r="V128" i="17"/>
  <c r="V159" i="17"/>
  <c r="V153" i="17"/>
  <c r="V122" i="17"/>
  <c r="V177" i="17"/>
  <c r="V183" i="17"/>
  <c r="H177" i="12"/>
  <c r="H159" i="12"/>
  <c r="H189" i="12"/>
  <c r="H134" i="12"/>
  <c r="H171" i="12"/>
  <c r="H165" i="12"/>
  <c r="H128" i="12"/>
  <c r="H116" i="12"/>
  <c r="H110" i="12"/>
  <c r="H153" i="12"/>
  <c r="H146" i="12"/>
  <c r="H140" i="12"/>
  <c r="H122" i="12"/>
  <c r="H183" i="12"/>
  <c r="S122" i="12"/>
  <c r="S165" i="12"/>
  <c r="S116" i="12"/>
  <c r="S153" i="12"/>
  <c r="S159" i="12"/>
  <c r="S146" i="12"/>
  <c r="S110" i="12"/>
  <c r="S140" i="12"/>
  <c r="S128" i="12"/>
  <c r="S177" i="12"/>
  <c r="S189" i="12"/>
  <c r="S134" i="12"/>
  <c r="S183" i="12"/>
  <c r="S171" i="12"/>
  <c r="AH122" i="12"/>
  <c r="AH189" i="12"/>
  <c r="AH159" i="12"/>
  <c r="AH183" i="12"/>
  <c r="AH134" i="12"/>
  <c r="AH128" i="12"/>
  <c r="AH140" i="12"/>
  <c r="AH177" i="12"/>
  <c r="AH116" i="12"/>
  <c r="AH153" i="12"/>
  <c r="AH146" i="12"/>
  <c r="AH110" i="12"/>
  <c r="AH171" i="12"/>
  <c r="AH165" i="12"/>
  <c r="AI110" i="12"/>
  <c r="AI177" i="12"/>
  <c r="AI140" i="12"/>
  <c r="AI165" i="12"/>
  <c r="AI146" i="12"/>
  <c r="AI159" i="12"/>
  <c r="AI171" i="12"/>
  <c r="AI153" i="12"/>
  <c r="AI189" i="12"/>
  <c r="AI183" i="12"/>
  <c r="AI122" i="12"/>
  <c r="AI116" i="12"/>
  <c r="AI134" i="12"/>
  <c r="AI128" i="12"/>
  <c r="X146" i="14"/>
  <c r="X140" i="14"/>
  <c r="X177" i="14"/>
  <c r="X165" i="14"/>
  <c r="X183" i="14"/>
  <c r="X171" i="14"/>
  <c r="X134" i="14"/>
  <c r="X128" i="14"/>
  <c r="X159" i="14"/>
  <c r="X116" i="14"/>
  <c r="X122" i="14"/>
  <c r="X189" i="14"/>
  <c r="X153" i="14"/>
  <c r="X110" i="14"/>
  <c r="Q159" i="16"/>
  <c r="Q140" i="16"/>
  <c r="Q128" i="16"/>
  <c r="Q146" i="16"/>
  <c r="Q134" i="16"/>
  <c r="Q110" i="16"/>
  <c r="Q153" i="16"/>
  <c r="Q189" i="16"/>
  <c r="Q122" i="16"/>
  <c r="Q116" i="16"/>
  <c r="Q165" i="16"/>
  <c r="Q171" i="16"/>
  <c r="Q177" i="16"/>
  <c r="S110" i="16"/>
  <c r="S189" i="16"/>
  <c r="S140" i="16"/>
  <c r="S153" i="16"/>
  <c r="S165" i="16"/>
  <c r="S134" i="16"/>
  <c r="S116" i="16"/>
  <c r="S177" i="16"/>
  <c r="S159" i="16"/>
  <c r="S128" i="16"/>
  <c r="S122" i="16"/>
  <c r="S146" i="16"/>
  <c r="S171" i="16"/>
  <c r="AH134" i="16"/>
  <c r="AH146" i="16"/>
  <c r="AH140" i="16"/>
  <c r="AH159" i="16"/>
  <c r="AH122" i="16"/>
  <c r="AH153" i="16"/>
  <c r="AH110" i="16"/>
  <c r="AH171" i="16"/>
  <c r="AH177" i="16"/>
  <c r="AH128" i="16"/>
  <c r="AH189" i="16"/>
  <c r="AH165" i="16"/>
  <c r="AH116" i="16"/>
  <c r="J134" i="16"/>
  <c r="J140" i="16"/>
  <c r="J165" i="16"/>
  <c r="J171" i="16"/>
  <c r="J159" i="16"/>
  <c r="J116" i="16"/>
  <c r="J189" i="16"/>
  <c r="J110" i="16"/>
  <c r="J153" i="16"/>
  <c r="J146" i="16"/>
  <c r="J177" i="16"/>
  <c r="J122" i="16"/>
  <c r="J128" i="16"/>
  <c r="Y165" i="18"/>
  <c r="Y110" i="18"/>
  <c r="Y116" i="18"/>
  <c r="Y140" i="18"/>
  <c r="Y159" i="18"/>
  <c r="Y189" i="18"/>
  <c r="Y122" i="18"/>
  <c r="Y128" i="18"/>
  <c r="Y171" i="18"/>
  <c r="Y183" i="18"/>
  <c r="Y177" i="18"/>
  <c r="Y146" i="18"/>
  <c r="Y134" i="18"/>
  <c r="Y153" i="18"/>
  <c r="X183" i="18"/>
  <c r="X110" i="18"/>
  <c r="X189" i="18"/>
  <c r="X140" i="18"/>
  <c r="X122" i="18"/>
  <c r="X134" i="18"/>
  <c r="X171" i="18"/>
  <c r="X128" i="18"/>
  <c r="X116" i="18"/>
  <c r="X177" i="18"/>
  <c r="X159" i="18"/>
  <c r="X153" i="18"/>
  <c r="X146" i="18"/>
  <c r="X165" i="18"/>
  <c r="J140" i="18"/>
  <c r="J134" i="18"/>
  <c r="J177" i="18"/>
  <c r="J189" i="18"/>
  <c r="J116" i="18"/>
  <c r="J165" i="18"/>
  <c r="J171" i="18"/>
  <c r="J183" i="18"/>
  <c r="J146" i="18"/>
  <c r="J110" i="18"/>
  <c r="J122" i="18"/>
  <c r="J159" i="18"/>
  <c r="J128" i="18"/>
  <c r="J153" i="18"/>
  <c r="AJ134" i="18"/>
  <c r="AJ189" i="18"/>
  <c r="AJ146" i="18"/>
  <c r="AJ128" i="18"/>
  <c r="AJ177" i="18"/>
  <c r="AJ122" i="18"/>
  <c r="AJ153" i="18"/>
  <c r="AJ171" i="18"/>
  <c r="AJ140" i="18"/>
  <c r="AJ159" i="18"/>
  <c r="AJ110" i="18"/>
  <c r="AJ165" i="18"/>
  <c r="AJ183" i="18"/>
  <c r="AJ116" i="18"/>
  <c r="AD183" i="13"/>
  <c r="AD128" i="13"/>
  <c r="AD122" i="13"/>
  <c r="AD146" i="13"/>
  <c r="AD116" i="13"/>
  <c r="AD171" i="13"/>
  <c r="AD165" i="13"/>
  <c r="AD189" i="13"/>
  <c r="AD134" i="13"/>
  <c r="AD110" i="13"/>
  <c r="AD140" i="13"/>
  <c r="AD177" i="13"/>
  <c r="AD153" i="13"/>
  <c r="AD159" i="13"/>
  <c r="J153" i="13"/>
  <c r="J165" i="13"/>
  <c r="J128" i="13"/>
  <c r="J110" i="13"/>
  <c r="J159" i="13"/>
  <c r="J116" i="13"/>
  <c r="J134" i="13"/>
  <c r="J146" i="13"/>
  <c r="J122" i="13"/>
  <c r="J189" i="13"/>
  <c r="J140" i="13"/>
  <c r="J183" i="13"/>
  <c r="J177" i="13"/>
  <c r="J171" i="13"/>
  <c r="L146" i="13"/>
  <c r="L134" i="13"/>
  <c r="L110" i="13"/>
  <c r="L122" i="13"/>
  <c r="L140" i="13"/>
  <c r="L116" i="13"/>
  <c r="L189" i="13"/>
  <c r="L171" i="13"/>
  <c r="L183" i="13"/>
  <c r="L177" i="13"/>
  <c r="L153" i="13"/>
  <c r="L159" i="13"/>
  <c r="L128" i="13"/>
  <c r="L165" i="13"/>
  <c r="R140" i="15"/>
  <c r="R171" i="15"/>
  <c r="R146" i="15"/>
  <c r="R189" i="15"/>
  <c r="R134" i="15"/>
  <c r="R110" i="15"/>
  <c r="R159" i="15"/>
  <c r="R128" i="15"/>
  <c r="R153" i="15"/>
  <c r="R183" i="15"/>
  <c r="R122" i="15"/>
  <c r="R177" i="15"/>
  <c r="R116" i="15"/>
  <c r="R165" i="15"/>
  <c r="AI183" i="15"/>
  <c r="AI146" i="15"/>
  <c r="AI165" i="15"/>
  <c r="AI177" i="15"/>
  <c r="AI116" i="15"/>
  <c r="AI110" i="15"/>
  <c r="AI153" i="15"/>
  <c r="AI171" i="15"/>
  <c r="AI122" i="15"/>
  <c r="AI134" i="15"/>
  <c r="AI140" i="15"/>
  <c r="AI128" i="15"/>
  <c r="AI159" i="15"/>
  <c r="AI189" i="15"/>
  <c r="AJ183" i="15"/>
  <c r="AJ153" i="15"/>
  <c r="AJ146" i="15"/>
  <c r="AJ128" i="15"/>
  <c r="AJ122" i="15"/>
  <c r="AJ134" i="15"/>
  <c r="AJ116" i="15"/>
  <c r="AJ165" i="15"/>
  <c r="AJ140" i="15"/>
  <c r="AJ159" i="15"/>
  <c r="AJ110" i="15"/>
  <c r="AJ171" i="15"/>
  <c r="AJ177" i="15"/>
  <c r="AJ189" i="15"/>
  <c r="X177" i="15"/>
  <c r="X140" i="15"/>
  <c r="X165" i="15"/>
  <c r="X110" i="15"/>
  <c r="X189" i="15"/>
  <c r="X128" i="15"/>
  <c r="X171" i="15"/>
  <c r="X159" i="15"/>
  <c r="X116" i="15"/>
  <c r="X146" i="15"/>
  <c r="X183" i="15"/>
  <c r="X153" i="15"/>
  <c r="X134" i="15"/>
  <c r="X122" i="15"/>
  <c r="W153" i="12"/>
  <c r="W122" i="12"/>
  <c r="W134" i="12"/>
  <c r="W146" i="12"/>
  <c r="W128" i="12"/>
  <c r="W171" i="12"/>
  <c r="W183" i="12"/>
  <c r="W110" i="12"/>
  <c r="W159" i="12"/>
  <c r="W189" i="12"/>
  <c r="W177" i="12"/>
  <c r="W116" i="12"/>
  <c r="W140" i="12"/>
  <c r="W165" i="12"/>
  <c r="AG146" i="18"/>
  <c r="AG177" i="18"/>
  <c r="AG153" i="18"/>
  <c r="AG159" i="18"/>
  <c r="AG189" i="18"/>
  <c r="AG140" i="18"/>
  <c r="AG171" i="18"/>
  <c r="AG134" i="18"/>
  <c r="AG122" i="18"/>
  <c r="AG165" i="18"/>
  <c r="AG128" i="18"/>
  <c r="AG116" i="18"/>
  <c r="AG183" i="18"/>
  <c r="AG110" i="18"/>
  <c r="AB183" i="18"/>
  <c r="AB177" i="18"/>
  <c r="AB189" i="18"/>
  <c r="AB128" i="18"/>
  <c r="AB159" i="18"/>
  <c r="AB171" i="18"/>
  <c r="AB146" i="18"/>
  <c r="AB122" i="18"/>
  <c r="AB165" i="18"/>
  <c r="AB140" i="18"/>
  <c r="AB116" i="18"/>
  <c r="AB134" i="18"/>
  <c r="AB110" i="18"/>
  <c r="AB153" i="18"/>
  <c r="Z128" i="18"/>
  <c r="Z189" i="18"/>
  <c r="Z110" i="18"/>
  <c r="Z159" i="18"/>
  <c r="Z153" i="18"/>
  <c r="Z183" i="18"/>
  <c r="Z146" i="18"/>
  <c r="Z171" i="18"/>
  <c r="Z177" i="18"/>
  <c r="Z140" i="18"/>
  <c r="Z122" i="18"/>
  <c r="Z116" i="18"/>
  <c r="Z165" i="18"/>
  <c r="Z134" i="18"/>
  <c r="AI183" i="13"/>
  <c r="AI122" i="13"/>
  <c r="AI116" i="13"/>
  <c r="AI140" i="13"/>
  <c r="AI110" i="13"/>
  <c r="AI165" i="13"/>
  <c r="AI134" i="13"/>
  <c r="AI153" i="13"/>
  <c r="AI189" i="13"/>
  <c r="AI177" i="13"/>
  <c r="AI159" i="13"/>
  <c r="AI171" i="13"/>
  <c r="AI146" i="13"/>
  <c r="AI128" i="13"/>
  <c r="W159" i="13"/>
  <c r="W122" i="13"/>
  <c r="W171" i="13"/>
  <c r="W140" i="13"/>
  <c r="W153" i="13"/>
  <c r="W110" i="13"/>
  <c r="W183" i="13"/>
  <c r="W165" i="13"/>
  <c r="W177" i="13"/>
  <c r="W116" i="13"/>
  <c r="W189" i="13"/>
  <c r="W128" i="13"/>
  <c r="W134" i="13"/>
  <c r="W146" i="13"/>
  <c r="I177" i="13"/>
  <c r="I122" i="13"/>
  <c r="I134" i="13"/>
  <c r="I116" i="13"/>
  <c r="I183" i="13"/>
  <c r="I153" i="13"/>
  <c r="I140" i="13"/>
  <c r="I146" i="13"/>
  <c r="I189" i="13"/>
  <c r="I159" i="13"/>
  <c r="I128" i="13"/>
  <c r="I165" i="13"/>
  <c r="I171" i="13"/>
  <c r="I110" i="13"/>
  <c r="T140" i="13"/>
  <c r="T177" i="13"/>
  <c r="T159" i="13"/>
  <c r="T171" i="13"/>
  <c r="T189" i="13"/>
  <c r="T128" i="13"/>
  <c r="T134" i="13"/>
  <c r="T153" i="13"/>
  <c r="T183" i="13"/>
  <c r="T122" i="13"/>
  <c r="T116" i="13"/>
  <c r="T165" i="13"/>
  <c r="T110" i="13"/>
  <c r="T146" i="13"/>
  <c r="G26" i="14"/>
  <c r="AK134" i="15"/>
  <c r="AK116" i="15"/>
  <c r="AK177" i="15"/>
  <c r="AK165" i="15"/>
  <c r="AK146" i="15"/>
  <c r="AK159" i="15"/>
  <c r="AK171" i="15"/>
  <c r="AK183" i="15"/>
  <c r="AK189" i="15"/>
  <c r="AK122" i="15"/>
  <c r="AK128" i="15"/>
  <c r="AK153" i="15"/>
  <c r="AK140" i="15"/>
  <c r="AK110" i="15"/>
  <c r="P177" i="15"/>
  <c r="P110" i="15"/>
  <c r="P122" i="15"/>
  <c r="P116" i="15"/>
  <c r="P159" i="15"/>
  <c r="P134" i="15"/>
  <c r="P189" i="15"/>
  <c r="P171" i="15"/>
  <c r="P153" i="15"/>
  <c r="P140" i="15"/>
  <c r="P165" i="15"/>
  <c r="P183" i="15"/>
  <c r="P146" i="15"/>
  <c r="P128" i="15"/>
  <c r="K171" i="15"/>
  <c r="K153" i="15"/>
  <c r="K159" i="15"/>
  <c r="K165" i="15"/>
  <c r="K128" i="15"/>
  <c r="K177" i="15"/>
  <c r="K183" i="15"/>
  <c r="K134" i="15"/>
  <c r="K140" i="15"/>
  <c r="K146" i="15"/>
  <c r="K122" i="15"/>
  <c r="K110" i="15"/>
  <c r="K189" i="15"/>
  <c r="K116" i="15"/>
  <c r="AE134" i="15"/>
  <c r="AE110" i="15"/>
  <c r="AE171" i="15"/>
  <c r="AE189" i="15"/>
  <c r="AE153" i="15"/>
  <c r="AE159" i="15"/>
  <c r="AE146" i="15"/>
  <c r="AE116" i="15"/>
  <c r="AE122" i="15"/>
  <c r="AE128" i="15"/>
  <c r="AE140" i="15"/>
  <c r="AE183" i="15"/>
  <c r="AE177" i="15"/>
  <c r="AE165" i="15"/>
  <c r="W153" i="14"/>
  <c r="W128" i="14"/>
  <c r="W116" i="14"/>
  <c r="W171" i="14"/>
  <c r="W165" i="14"/>
  <c r="W146" i="14"/>
  <c r="W122" i="14"/>
  <c r="W189" i="14"/>
  <c r="W183" i="14"/>
  <c r="W159" i="14"/>
  <c r="W134" i="14"/>
  <c r="W140" i="14"/>
  <c r="W177" i="14"/>
  <c r="W110" i="14"/>
  <c r="M165" i="18"/>
  <c r="M177" i="18"/>
  <c r="M159" i="18"/>
  <c r="M153" i="18"/>
  <c r="M110" i="18"/>
  <c r="M189" i="18"/>
  <c r="M122" i="18"/>
  <c r="M134" i="18"/>
  <c r="M140" i="18"/>
  <c r="M116" i="18"/>
  <c r="M171" i="18"/>
  <c r="M146" i="18"/>
  <c r="M183" i="18"/>
  <c r="M128" i="18"/>
  <c r="AB116" i="13"/>
  <c r="AB171" i="13"/>
  <c r="AB159" i="13"/>
  <c r="AB128" i="13"/>
  <c r="AB153" i="13"/>
  <c r="AB165" i="13"/>
  <c r="AB140" i="13"/>
  <c r="AB177" i="13"/>
  <c r="AB110" i="13"/>
  <c r="AB122" i="13"/>
  <c r="AB134" i="13"/>
  <c r="AB189" i="13"/>
  <c r="AB183" i="13"/>
  <c r="AB146" i="13"/>
  <c r="AF146" i="15"/>
  <c r="AF183" i="15"/>
  <c r="AF165" i="15"/>
  <c r="AF128" i="15"/>
  <c r="AF159" i="15"/>
  <c r="AF171" i="15"/>
  <c r="AF110" i="15"/>
  <c r="AF140" i="15"/>
  <c r="AF134" i="15"/>
  <c r="AF116" i="15"/>
  <c r="AF153" i="15"/>
  <c r="AF177" i="15"/>
  <c r="AF122" i="15"/>
  <c r="AF189" i="15"/>
  <c r="Z116" i="15"/>
  <c r="Z171" i="15"/>
  <c r="Z146" i="15"/>
  <c r="Z159" i="15"/>
  <c r="Z165" i="15"/>
  <c r="Z177" i="15"/>
  <c r="Z189" i="15"/>
  <c r="Z134" i="15"/>
  <c r="Z183" i="15"/>
  <c r="Z110" i="15"/>
  <c r="Z140" i="15"/>
  <c r="Z128" i="15"/>
  <c r="Z122" i="15"/>
  <c r="Z153" i="15"/>
  <c r="U171" i="15"/>
  <c r="U140" i="15"/>
  <c r="U134" i="15"/>
  <c r="U128" i="15"/>
  <c r="U153" i="15"/>
  <c r="U146" i="15"/>
  <c r="U122" i="15"/>
  <c r="U159" i="15"/>
  <c r="U183" i="15"/>
  <c r="U165" i="15"/>
  <c r="U116" i="15"/>
  <c r="U189" i="15"/>
  <c r="U110" i="15"/>
  <c r="U177" i="15"/>
  <c r="AH189" i="15"/>
  <c r="AH140" i="15"/>
  <c r="AH171" i="15"/>
  <c r="AH153" i="15"/>
  <c r="AH146" i="15"/>
  <c r="AH134" i="15"/>
  <c r="AH177" i="15"/>
  <c r="AH159" i="15"/>
  <c r="AH110" i="15"/>
  <c r="AH122" i="15"/>
  <c r="AH128" i="15"/>
  <c r="AH116" i="15"/>
  <c r="AH165" i="15"/>
  <c r="AH183" i="15"/>
  <c r="O177" i="15"/>
  <c r="O134" i="15"/>
  <c r="O165" i="15"/>
  <c r="O128" i="15"/>
  <c r="O122" i="15"/>
  <c r="O171" i="15"/>
  <c r="O183" i="15"/>
  <c r="O140" i="15"/>
  <c r="O189" i="15"/>
  <c r="O159" i="15"/>
  <c r="O116" i="15"/>
  <c r="O153" i="15"/>
  <c r="O146" i="15"/>
  <c r="O110" i="15"/>
  <c r="AI116" i="17"/>
  <c r="AI122" i="17"/>
  <c r="AI140" i="17"/>
  <c r="AI153" i="17"/>
  <c r="AI171" i="17"/>
  <c r="AI159" i="17"/>
  <c r="AI128" i="17"/>
  <c r="AI165" i="17"/>
  <c r="AI146" i="17"/>
  <c r="AI189" i="17"/>
  <c r="AI134" i="17"/>
  <c r="AI177" i="17"/>
  <c r="AI110" i="17"/>
  <c r="AI183" i="17"/>
  <c r="AL153" i="17"/>
  <c r="AL177" i="17"/>
  <c r="AL128" i="17"/>
  <c r="AL146" i="17"/>
  <c r="AL165" i="17"/>
  <c r="AL122" i="17"/>
  <c r="AL171" i="17"/>
  <c r="AL183" i="17"/>
  <c r="AL189" i="17"/>
  <c r="AL140" i="17"/>
  <c r="AL134" i="17"/>
  <c r="AL110" i="17"/>
  <c r="AL159" i="17"/>
  <c r="AL116" i="17"/>
  <c r="E177" i="17"/>
  <c r="E171" i="17"/>
  <c r="E183" i="17"/>
  <c r="E165" i="17"/>
  <c r="E110" i="17"/>
  <c r="E153" i="17"/>
  <c r="E189" i="17"/>
  <c r="E146" i="17"/>
  <c r="E116" i="17"/>
  <c r="E122" i="17"/>
  <c r="E128" i="17"/>
  <c r="E134" i="17"/>
  <c r="E159" i="17"/>
  <c r="E140" i="17"/>
  <c r="K128" i="17"/>
  <c r="K140" i="17"/>
  <c r="K134" i="17"/>
  <c r="K146" i="17"/>
  <c r="K110" i="17"/>
  <c r="K171" i="17"/>
  <c r="K159" i="17"/>
  <c r="K183" i="17"/>
  <c r="K189" i="17"/>
  <c r="K116" i="17"/>
  <c r="K153" i="17"/>
  <c r="K177" i="17"/>
  <c r="K165" i="17"/>
  <c r="K122" i="17"/>
  <c r="P146" i="17"/>
  <c r="P159" i="17"/>
  <c r="P134" i="17"/>
  <c r="P165" i="17"/>
  <c r="P140" i="17"/>
  <c r="P177" i="17"/>
  <c r="P110" i="17"/>
  <c r="P189" i="17"/>
  <c r="P122" i="17"/>
  <c r="P116" i="17"/>
  <c r="P128" i="17"/>
  <c r="P153" i="17"/>
  <c r="P171" i="17"/>
  <c r="P183" i="17"/>
  <c r="Y128" i="17"/>
  <c r="Y171" i="17"/>
  <c r="Y153" i="17"/>
  <c r="Y177" i="17"/>
  <c r="Y146" i="17"/>
  <c r="Y165" i="17"/>
  <c r="Y122" i="17"/>
  <c r="Y183" i="17"/>
  <c r="Y159" i="17"/>
  <c r="Y140" i="17"/>
  <c r="Y110" i="17"/>
  <c r="Y134" i="17"/>
  <c r="Y116" i="17"/>
  <c r="Y189" i="17"/>
  <c r="AK116" i="17"/>
  <c r="AK159" i="17"/>
  <c r="AK110" i="17"/>
  <c r="AK189" i="17"/>
  <c r="AK171" i="17"/>
  <c r="AK128" i="17"/>
  <c r="AK146" i="17"/>
  <c r="AK183" i="17"/>
  <c r="AK165" i="17"/>
  <c r="AK153" i="17"/>
  <c r="AK140" i="17"/>
  <c r="AK177" i="17"/>
  <c r="AK122" i="17"/>
  <c r="AK134" i="17"/>
  <c r="Z153" i="17"/>
  <c r="Z122" i="17"/>
  <c r="Z171" i="17"/>
  <c r="Z189" i="17"/>
  <c r="Z110" i="17"/>
  <c r="Z134" i="17"/>
  <c r="Z116" i="17"/>
  <c r="Z165" i="17"/>
  <c r="Z183" i="17"/>
  <c r="Z128" i="17"/>
  <c r="Z140" i="17"/>
  <c r="Z159" i="17"/>
  <c r="Z146" i="17"/>
  <c r="Z177" i="17"/>
  <c r="F26" i="14"/>
  <c r="AC122" i="12"/>
  <c r="AC183" i="12"/>
  <c r="AC171" i="12"/>
  <c r="AC134" i="12"/>
  <c r="AC177" i="12"/>
  <c r="AC110" i="12"/>
  <c r="AC165" i="12"/>
  <c r="AC189" i="12"/>
  <c r="AC146" i="12"/>
  <c r="AC159" i="12"/>
  <c r="AC140" i="12"/>
  <c r="AC116" i="12"/>
  <c r="AC128" i="12"/>
  <c r="AC153" i="12"/>
  <c r="X110" i="12"/>
  <c r="X159" i="12"/>
  <c r="X128" i="12"/>
  <c r="X165" i="12"/>
  <c r="X116" i="12"/>
  <c r="X134" i="12"/>
  <c r="X189" i="12"/>
  <c r="X171" i="12"/>
  <c r="X177" i="12"/>
  <c r="X122" i="12"/>
  <c r="X183" i="12"/>
  <c r="X140" i="12"/>
  <c r="X146" i="12"/>
  <c r="X153" i="12"/>
  <c r="AF134" i="12"/>
  <c r="AF189" i="12"/>
  <c r="AF140" i="12"/>
  <c r="AF165" i="12"/>
  <c r="AF159" i="12"/>
  <c r="AF122" i="12"/>
  <c r="AF171" i="12"/>
  <c r="AF116" i="12"/>
  <c r="AF146" i="12"/>
  <c r="AF183" i="12"/>
  <c r="AF128" i="12"/>
  <c r="AF110" i="12"/>
  <c r="AF177" i="12"/>
  <c r="AF153" i="12"/>
  <c r="P177" i="12"/>
  <c r="P146" i="12"/>
  <c r="P183" i="12"/>
  <c r="P171" i="12"/>
  <c r="P189" i="12"/>
  <c r="P165" i="12"/>
  <c r="P134" i="12"/>
  <c r="P140" i="12"/>
  <c r="P122" i="12"/>
  <c r="P128" i="12"/>
  <c r="P116" i="12"/>
  <c r="P110" i="12"/>
  <c r="P153" i="12"/>
  <c r="P159" i="12"/>
  <c r="AC122" i="18"/>
  <c r="AC146" i="18"/>
  <c r="AC183" i="18"/>
  <c r="AC171" i="18"/>
  <c r="AC140" i="18"/>
  <c r="AC165" i="18"/>
  <c r="AC159" i="18"/>
  <c r="AC110" i="18"/>
  <c r="AC116" i="18"/>
  <c r="AC128" i="18"/>
  <c r="AC134" i="18"/>
  <c r="AC177" i="18"/>
  <c r="AC189" i="18"/>
  <c r="AC153" i="18"/>
  <c r="R189" i="18"/>
  <c r="R110" i="18"/>
  <c r="R134" i="18"/>
  <c r="R153" i="18"/>
  <c r="R177" i="18"/>
  <c r="R116" i="18"/>
  <c r="R171" i="18"/>
  <c r="R159" i="18"/>
  <c r="R146" i="18"/>
  <c r="R122" i="18"/>
  <c r="R128" i="18"/>
  <c r="R140" i="18"/>
  <c r="R165" i="18"/>
  <c r="R183" i="18"/>
  <c r="AH177" i="18"/>
  <c r="AH134" i="18"/>
  <c r="AH110" i="18"/>
  <c r="AH122" i="18"/>
  <c r="AH146" i="18"/>
  <c r="AH165" i="18"/>
  <c r="AH128" i="18"/>
  <c r="AH171" i="18"/>
  <c r="AH159" i="18"/>
  <c r="AH116" i="18"/>
  <c r="AH183" i="18"/>
  <c r="AH189" i="18"/>
  <c r="AH153" i="18"/>
  <c r="AH140" i="18"/>
  <c r="S140" i="18"/>
  <c r="S171" i="18"/>
  <c r="S110" i="18"/>
  <c r="S122" i="18"/>
  <c r="S177" i="18"/>
  <c r="S128" i="18"/>
  <c r="S159" i="18"/>
  <c r="S153" i="18"/>
  <c r="S134" i="18"/>
  <c r="S146" i="18"/>
  <c r="S165" i="18"/>
  <c r="S116" i="18"/>
  <c r="S189" i="18"/>
  <c r="S183" i="18"/>
  <c r="AA140" i="13"/>
  <c r="AA128" i="13"/>
  <c r="AA122" i="13"/>
  <c r="AA159" i="13"/>
  <c r="AA177" i="13"/>
  <c r="AA116" i="13"/>
  <c r="AA165" i="13"/>
  <c r="AA153" i="13"/>
  <c r="AA171" i="13"/>
  <c r="AA189" i="13"/>
  <c r="AA110" i="13"/>
  <c r="AA183" i="13"/>
  <c r="AA134" i="13"/>
  <c r="AA146" i="13"/>
  <c r="AH146" i="13"/>
  <c r="AH134" i="13"/>
  <c r="AH153" i="13"/>
  <c r="AH183" i="13"/>
  <c r="AH128" i="13"/>
  <c r="AH116" i="13"/>
  <c r="AH140" i="13"/>
  <c r="AH122" i="13"/>
  <c r="AH177" i="13"/>
  <c r="AH171" i="13"/>
  <c r="AH110" i="13"/>
  <c r="AH165" i="13"/>
  <c r="AH159" i="13"/>
  <c r="AH189" i="13"/>
  <c r="AC183" i="13"/>
  <c r="AC128" i="13"/>
  <c r="AC116" i="13"/>
  <c r="AC165" i="13"/>
  <c r="AC140" i="13"/>
  <c r="AC189" i="13"/>
  <c r="AC159" i="13"/>
  <c r="AC153" i="13"/>
  <c r="AC171" i="13"/>
  <c r="AC122" i="13"/>
  <c r="AC134" i="13"/>
  <c r="AC146" i="13"/>
  <c r="AC177" i="13"/>
  <c r="AC110" i="13"/>
  <c r="AL116" i="13"/>
  <c r="AL122" i="13"/>
  <c r="AL171" i="13"/>
  <c r="AL110" i="13"/>
  <c r="AL183" i="13"/>
  <c r="AL159" i="13"/>
  <c r="AL165" i="13"/>
  <c r="AL140" i="13"/>
  <c r="AL128" i="13"/>
  <c r="AL189" i="13"/>
  <c r="AL134" i="13"/>
  <c r="AL146" i="13"/>
  <c r="AL177" i="13"/>
  <c r="AL153" i="13"/>
  <c r="P177" i="13"/>
  <c r="P116" i="13"/>
  <c r="P189" i="13"/>
  <c r="P122" i="13"/>
  <c r="P183" i="13"/>
  <c r="P159" i="13"/>
  <c r="P128" i="13"/>
  <c r="P110" i="13"/>
  <c r="P153" i="13"/>
  <c r="P134" i="13"/>
  <c r="P171" i="13"/>
  <c r="P165" i="13"/>
  <c r="P146" i="13"/>
  <c r="P140" i="13"/>
  <c r="Z140" i="13"/>
  <c r="Z116" i="13"/>
  <c r="Z165" i="13"/>
  <c r="Z183" i="13"/>
  <c r="Z128" i="13"/>
  <c r="Z146" i="13"/>
  <c r="Z134" i="13"/>
  <c r="Z159" i="13"/>
  <c r="Z122" i="13"/>
  <c r="Z171" i="13"/>
  <c r="Z153" i="13"/>
  <c r="Z189" i="13"/>
  <c r="Z177" i="13"/>
  <c r="Z110" i="13"/>
  <c r="K177" i="13"/>
  <c r="K116" i="13"/>
  <c r="K171" i="13"/>
  <c r="K159" i="13"/>
  <c r="K122" i="13"/>
  <c r="K165" i="13"/>
  <c r="K128" i="13"/>
  <c r="K153" i="13"/>
  <c r="K183" i="13"/>
  <c r="K189" i="13"/>
  <c r="K140" i="13"/>
  <c r="K110" i="13"/>
  <c r="K134" i="13"/>
  <c r="K146" i="13"/>
  <c r="V189" i="18"/>
  <c r="V140" i="18"/>
  <c r="V146" i="18"/>
  <c r="V159" i="18"/>
  <c r="V183" i="18"/>
  <c r="V171" i="18"/>
  <c r="V134" i="18"/>
  <c r="V122" i="18"/>
  <c r="V128" i="18"/>
  <c r="V110" i="18"/>
  <c r="V165" i="18"/>
  <c r="V177" i="18"/>
  <c r="V153" i="18"/>
  <c r="V116" i="18"/>
  <c r="L189" i="15"/>
  <c r="L110" i="15"/>
  <c r="L134" i="15"/>
  <c r="L171" i="15"/>
  <c r="L177" i="15"/>
  <c r="L159" i="15"/>
  <c r="L153" i="15"/>
  <c r="L140" i="15"/>
  <c r="L128" i="15"/>
  <c r="L183" i="15"/>
  <c r="L165" i="15"/>
  <c r="L116" i="15"/>
  <c r="L122" i="15"/>
  <c r="L146" i="15"/>
  <c r="X128" i="17"/>
  <c r="X140" i="17"/>
  <c r="X177" i="17"/>
  <c r="X134" i="17"/>
  <c r="X122" i="17"/>
  <c r="X159" i="17"/>
  <c r="X116" i="17"/>
  <c r="X110" i="17"/>
  <c r="X171" i="17"/>
  <c r="X146" i="17"/>
  <c r="X189" i="17"/>
  <c r="X153" i="17"/>
  <c r="X165" i="17"/>
  <c r="X183" i="17"/>
  <c r="L189" i="17"/>
  <c r="L128" i="17"/>
  <c r="L171" i="17"/>
  <c r="L110" i="17"/>
  <c r="L153" i="17"/>
  <c r="L159" i="17"/>
  <c r="L177" i="17"/>
  <c r="L183" i="17"/>
  <c r="L116" i="17"/>
  <c r="L146" i="17"/>
  <c r="L140" i="17"/>
  <c r="L122" i="17"/>
  <c r="L134" i="17"/>
  <c r="L165" i="17"/>
  <c r="T165" i="17"/>
  <c r="T177" i="17"/>
  <c r="T110" i="17"/>
  <c r="T171" i="17"/>
  <c r="T146" i="17"/>
  <c r="T134" i="17"/>
  <c r="T153" i="17"/>
  <c r="T189" i="17"/>
  <c r="T140" i="17"/>
  <c r="T183" i="17"/>
  <c r="T159" i="17"/>
  <c r="T116" i="17"/>
  <c r="T128" i="17"/>
  <c r="T122" i="17"/>
  <c r="R189" i="17"/>
  <c r="R165" i="17"/>
  <c r="R159" i="17"/>
  <c r="R116" i="17"/>
  <c r="R171" i="17"/>
  <c r="R146" i="17"/>
  <c r="R122" i="17"/>
  <c r="R110" i="17"/>
  <c r="R153" i="17"/>
  <c r="R134" i="17"/>
  <c r="R140" i="17"/>
  <c r="R177" i="17"/>
  <c r="R128" i="17"/>
  <c r="R183" i="17"/>
  <c r="AG153" i="12"/>
  <c r="AG171" i="12"/>
  <c r="AG140" i="12"/>
  <c r="AG189" i="12"/>
  <c r="AG116" i="12"/>
  <c r="AG110" i="12"/>
  <c r="AG183" i="12"/>
  <c r="AG128" i="12"/>
  <c r="AG165" i="12"/>
  <c r="AG159" i="12"/>
  <c r="AG134" i="12"/>
  <c r="AG177" i="12"/>
  <c r="AG122" i="12"/>
  <c r="AG146" i="12"/>
  <c r="AE146" i="12"/>
  <c r="AE159" i="12"/>
  <c r="AE128" i="12"/>
  <c r="AE122" i="12"/>
  <c r="AE110" i="12"/>
  <c r="AE165" i="12"/>
  <c r="AE171" i="12"/>
  <c r="AE153" i="12"/>
  <c r="AE140" i="12"/>
  <c r="AE134" i="12"/>
  <c r="AE189" i="12"/>
  <c r="AE116" i="12"/>
  <c r="AE183" i="12"/>
  <c r="AE177" i="12"/>
  <c r="I153" i="12"/>
  <c r="I122" i="12"/>
  <c r="I116" i="12"/>
  <c r="I177" i="12"/>
  <c r="I171" i="12"/>
  <c r="I134" i="12"/>
  <c r="I146" i="12"/>
  <c r="I183" i="12"/>
  <c r="I110" i="12"/>
  <c r="I159" i="12"/>
  <c r="I128" i="12"/>
  <c r="I189" i="12"/>
  <c r="I140" i="12"/>
  <c r="I165" i="12"/>
  <c r="V146" i="12"/>
  <c r="V122" i="12"/>
  <c r="V189" i="12"/>
  <c r="V128" i="12"/>
  <c r="V183" i="12"/>
  <c r="V134" i="12"/>
  <c r="V171" i="12"/>
  <c r="V159" i="12"/>
  <c r="V116" i="12"/>
  <c r="V110" i="12"/>
  <c r="V177" i="12"/>
  <c r="V140" i="12"/>
  <c r="V153" i="12"/>
  <c r="V165" i="12"/>
  <c r="J146" i="12"/>
  <c r="J153" i="12"/>
  <c r="J116" i="12"/>
  <c r="J134" i="12"/>
  <c r="J183" i="12"/>
  <c r="J165" i="12"/>
  <c r="J171" i="12"/>
  <c r="J128" i="12"/>
  <c r="J110" i="12"/>
  <c r="J140" i="12"/>
  <c r="J159" i="12"/>
  <c r="J177" i="12"/>
  <c r="J189" i="12"/>
  <c r="J122" i="12"/>
  <c r="AK183" i="12"/>
  <c r="AK159" i="12"/>
  <c r="AK153" i="12"/>
  <c r="AK128" i="12"/>
  <c r="AK177" i="12"/>
  <c r="AK146" i="12"/>
  <c r="AK122" i="12"/>
  <c r="AK171" i="12"/>
  <c r="AK189" i="12"/>
  <c r="AK110" i="12"/>
  <c r="AK116" i="12"/>
  <c r="AK140" i="12"/>
  <c r="AK165" i="12"/>
  <c r="AK134" i="12"/>
  <c r="AJ177" i="12"/>
  <c r="AJ165" i="12"/>
  <c r="AJ146" i="12"/>
  <c r="AJ189" i="12"/>
  <c r="AJ153" i="12"/>
  <c r="AJ116" i="12"/>
  <c r="AJ128" i="12"/>
  <c r="AJ159" i="12"/>
  <c r="AJ183" i="12"/>
  <c r="AJ171" i="12"/>
  <c r="AJ134" i="12"/>
  <c r="AJ140" i="12"/>
  <c r="AJ122" i="12"/>
  <c r="AJ110" i="12"/>
  <c r="N189" i="12"/>
  <c r="N110" i="12"/>
  <c r="N159" i="12"/>
  <c r="N122" i="12"/>
  <c r="N134" i="12"/>
  <c r="N171" i="12"/>
  <c r="N140" i="12"/>
  <c r="N116" i="12"/>
  <c r="N177" i="12"/>
  <c r="N153" i="12"/>
  <c r="N183" i="12"/>
  <c r="N165" i="12"/>
  <c r="N146" i="12"/>
  <c r="N128" i="12"/>
  <c r="AA153" i="14"/>
  <c r="AA189" i="14"/>
  <c r="AA128" i="14"/>
  <c r="AA146" i="14"/>
  <c r="AA110" i="14"/>
  <c r="AA116" i="14"/>
  <c r="AA122" i="14"/>
  <c r="AA183" i="14"/>
  <c r="AA171" i="14"/>
  <c r="AA165" i="14"/>
  <c r="AA177" i="14"/>
  <c r="AA159" i="14"/>
  <c r="AA134" i="14"/>
  <c r="AA140" i="14"/>
  <c r="M116" i="14"/>
  <c r="M177" i="14"/>
  <c r="M183" i="14"/>
  <c r="M153" i="14"/>
  <c r="M146" i="14"/>
  <c r="M159" i="14"/>
  <c r="M171" i="14"/>
  <c r="M140" i="14"/>
  <c r="M122" i="14"/>
  <c r="M134" i="14"/>
  <c r="M110" i="14"/>
  <c r="M165" i="14"/>
  <c r="M128" i="14"/>
  <c r="M189" i="14"/>
  <c r="AJ177" i="14"/>
  <c r="AJ189" i="14"/>
  <c r="AJ110" i="14"/>
  <c r="AJ146" i="14"/>
  <c r="AJ153" i="14"/>
  <c r="AJ116" i="14"/>
  <c r="AJ128" i="14"/>
  <c r="AJ134" i="14"/>
  <c r="AJ171" i="14"/>
  <c r="AJ165" i="14"/>
  <c r="AJ122" i="14"/>
  <c r="AJ140" i="14"/>
  <c r="AJ159" i="14"/>
  <c r="AJ183" i="14"/>
  <c r="R146" i="14"/>
  <c r="R134" i="14"/>
  <c r="R189" i="14"/>
  <c r="R140" i="14"/>
  <c r="R153" i="14"/>
  <c r="R171" i="14"/>
  <c r="R110" i="14"/>
  <c r="R122" i="14"/>
  <c r="R177" i="14"/>
  <c r="R165" i="14"/>
  <c r="R159" i="14"/>
  <c r="R116" i="14"/>
  <c r="R183" i="14"/>
  <c r="R128" i="14"/>
  <c r="O122" i="14"/>
  <c r="O153" i="14"/>
  <c r="O128" i="14"/>
  <c r="O183" i="14"/>
  <c r="O171" i="14"/>
  <c r="O177" i="14"/>
  <c r="O134" i="14"/>
  <c r="O110" i="14"/>
  <c r="O140" i="14"/>
  <c r="O159" i="14"/>
  <c r="O189" i="14"/>
  <c r="O165" i="14"/>
  <c r="O116" i="14"/>
  <c r="O146" i="14"/>
  <c r="AA128" i="16"/>
  <c r="AA153" i="16"/>
  <c r="AA146" i="16"/>
  <c r="AA134" i="16"/>
  <c r="AA122" i="16"/>
  <c r="AA110" i="16"/>
  <c r="AA116" i="16"/>
  <c r="AA165" i="16"/>
  <c r="AA159" i="16"/>
  <c r="AA189" i="16"/>
  <c r="AA140" i="16"/>
  <c r="AA177" i="16"/>
  <c r="AA171" i="16"/>
  <c r="O146" i="16"/>
  <c r="O128" i="16"/>
  <c r="O159" i="16"/>
  <c r="O165" i="16"/>
  <c r="O189" i="16"/>
  <c r="O171" i="16"/>
  <c r="O177" i="16"/>
  <c r="O153" i="16"/>
  <c r="O140" i="16"/>
  <c r="O134" i="16"/>
  <c r="O110" i="16"/>
  <c r="O122" i="16"/>
  <c r="O116" i="16"/>
  <c r="N116" i="16"/>
  <c r="N134" i="16"/>
  <c r="N146" i="16"/>
  <c r="N165" i="16"/>
  <c r="N189" i="16"/>
  <c r="N153" i="16"/>
  <c r="N140" i="16"/>
  <c r="N159" i="16"/>
  <c r="N110" i="16"/>
  <c r="N128" i="16"/>
  <c r="N171" i="16"/>
  <c r="N177" i="16"/>
  <c r="N122" i="16"/>
  <c r="M134" i="16"/>
  <c r="M128" i="16"/>
  <c r="M165" i="16"/>
  <c r="M171" i="16"/>
  <c r="M153" i="16"/>
  <c r="M177" i="16"/>
  <c r="M140" i="16"/>
  <c r="M159" i="16"/>
  <c r="M116" i="16"/>
  <c r="M122" i="16"/>
  <c r="M110" i="16"/>
  <c r="M189" i="16"/>
  <c r="M146" i="16"/>
  <c r="AE153" i="17"/>
  <c r="AE140" i="17"/>
  <c r="AE116" i="17"/>
  <c r="AE171" i="17"/>
  <c r="AE177" i="17"/>
  <c r="AE146" i="17"/>
  <c r="AE183" i="17"/>
  <c r="AE110" i="17"/>
  <c r="AE128" i="17"/>
  <c r="AE189" i="17"/>
  <c r="AE159" i="17"/>
  <c r="AE134" i="17"/>
  <c r="AE165" i="17"/>
  <c r="AE122" i="17"/>
  <c r="AF159" i="17"/>
  <c r="AF165" i="17"/>
  <c r="AF153" i="17"/>
  <c r="AF171" i="17"/>
  <c r="AF146" i="17"/>
  <c r="AF122" i="17"/>
  <c r="AF189" i="17"/>
  <c r="AF128" i="17"/>
  <c r="AF116" i="17"/>
  <c r="AF183" i="17"/>
  <c r="AF134" i="17"/>
  <c r="AF140" i="17"/>
  <c r="AF110" i="17"/>
  <c r="AF177" i="17"/>
  <c r="G189" i="12"/>
  <c r="G165" i="12"/>
  <c r="G171" i="12"/>
  <c r="G183" i="12"/>
  <c r="G177" i="12"/>
  <c r="G134" i="12"/>
  <c r="G159" i="12"/>
  <c r="G110" i="12"/>
  <c r="G128" i="12"/>
  <c r="G140" i="12"/>
  <c r="G146" i="12"/>
  <c r="G116" i="12"/>
  <c r="G153" i="12"/>
  <c r="G122" i="12"/>
  <c r="Q177" i="12"/>
  <c r="Q128" i="12"/>
  <c r="Q122" i="12"/>
  <c r="Q134" i="12"/>
  <c r="Q165" i="12"/>
  <c r="Q171" i="12"/>
  <c r="Q140" i="12"/>
  <c r="Q146" i="12"/>
  <c r="Q153" i="12"/>
  <c r="Q159" i="12"/>
  <c r="Q189" i="12"/>
  <c r="Q116" i="12"/>
  <c r="Q183" i="12"/>
  <c r="Q110" i="12"/>
  <c r="Z177" i="12"/>
  <c r="Z122" i="12"/>
  <c r="Z171" i="12"/>
  <c r="Z153" i="12"/>
  <c r="Z189" i="12"/>
  <c r="Z140" i="12"/>
  <c r="Z134" i="12"/>
  <c r="Z116" i="12"/>
  <c r="Z183" i="12"/>
  <c r="Z128" i="12"/>
  <c r="Z165" i="12"/>
  <c r="Z159" i="12"/>
  <c r="Z110" i="12"/>
  <c r="Z146" i="12"/>
  <c r="Y165" i="14"/>
  <c r="Y153" i="14"/>
  <c r="Y110" i="14"/>
  <c r="Y171" i="14"/>
  <c r="Y116" i="14"/>
  <c r="Y140" i="14"/>
  <c r="Y134" i="14"/>
  <c r="Y183" i="14"/>
  <c r="Y128" i="14"/>
  <c r="Y189" i="14"/>
  <c r="Y122" i="14"/>
  <c r="Y146" i="14"/>
  <c r="Y177" i="14"/>
  <c r="Y159" i="14"/>
  <c r="S146" i="14"/>
  <c r="S189" i="14"/>
  <c r="S110" i="14"/>
  <c r="S183" i="14"/>
  <c r="S159" i="14"/>
  <c r="S122" i="14"/>
  <c r="S165" i="14"/>
  <c r="S134" i="14"/>
  <c r="S171" i="14"/>
  <c r="S153" i="14"/>
  <c r="S140" i="14"/>
  <c r="S128" i="14"/>
  <c r="S177" i="14"/>
  <c r="S116" i="14"/>
  <c r="Q177" i="14"/>
  <c r="Q128" i="14"/>
  <c r="Q159" i="14"/>
  <c r="Q153" i="14"/>
  <c r="Q110" i="14"/>
  <c r="Q146" i="14"/>
  <c r="Q140" i="14"/>
  <c r="Q183" i="14"/>
  <c r="Q171" i="14"/>
  <c r="Q165" i="14"/>
  <c r="Q122" i="14"/>
  <c r="Q116" i="14"/>
  <c r="Q189" i="14"/>
  <c r="Q134" i="14"/>
  <c r="I134" i="16"/>
  <c r="I122" i="16"/>
  <c r="I146" i="16"/>
  <c r="I171" i="16"/>
  <c r="I159" i="16"/>
  <c r="I116" i="16"/>
  <c r="I153" i="16"/>
  <c r="I189" i="16"/>
  <c r="I140" i="16"/>
  <c r="I177" i="16"/>
  <c r="I128" i="16"/>
  <c r="I165" i="16"/>
  <c r="I110" i="16"/>
  <c r="AF128" i="16"/>
  <c r="AF134" i="16"/>
  <c r="AF159" i="16"/>
  <c r="AF189" i="16"/>
  <c r="AF122" i="16"/>
  <c r="AF140" i="16"/>
  <c r="AF171" i="16"/>
  <c r="AF116" i="16"/>
  <c r="AF110" i="16"/>
  <c r="AF153" i="16"/>
  <c r="AF146" i="16"/>
  <c r="AF165" i="16"/>
  <c r="AF177" i="16"/>
  <c r="AB189" i="16"/>
  <c r="AB116" i="16"/>
  <c r="AB159" i="16"/>
  <c r="AB128" i="16"/>
  <c r="AB140" i="16"/>
  <c r="AB134" i="16"/>
  <c r="AB110" i="16"/>
  <c r="AB122" i="16"/>
  <c r="AB177" i="16"/>
  <c r="AB153" i="16"/>
  <c r="AB146" i="16"/>
  <c r="AB165" i="16"/>
  <c r="AB171" i="16"/>
  <c r="G128" i="16"/>
  <c r="G159" i="16"/>
  <c r="G134" i="16"/>
  <c r="G177" i="16"/>
  <c r="G171" i="16"/>
  <c r="G116" i="16"/>
  <c r="G189" i="16"/>
  <c r="G140" i="16"/>
  <c r="G110" i="16"/>
  <c r="G146" i="16"/>
  <c r="G122" i="16"/>
  <c r="G165" i="16"/>
  <c r="G153" i="16"/>
  <c r="U116" i="18"/>
  <c r="U146" i="18"/>
  <c r="U134" i="18"/>
  <c r="U110" i="18"/>
  <c r="U177" i="18"/>
  <c r="U189" i="18"/>
  <c r="U140" i="18"/>
  <c r="U171" i="18"/>
  <c r="U122" i="18"/>
  <c r="U159" i="18"/>
  <c r="U153" i="18"/>
  <c r="U183" i="18"/>
  <c r="U128" i="18"/>
  <c r="U165" i="18"/>
  <c r="I153" i="18"/>
  <c r="I183" i="18"/>
  <c r="I110" i="18"/>
  <c r="I189" i="18"/>
  <c r="I177" i="18"/>
  <c r="I122" i="18"/>
  <c r="I140" i="18"/>
  <c r="I171" i="18"/>
  <c r="I159" i="18"/>
  <c r="I116" i="18"/>
  <c r="I134" i="18"/>
  <c r="I146" i="18"/>
  <c r="I165" i="18"/>
  <c r="I128" i="18"/>
  <c r="O159" i="18"/>
  <c r="O165" i="18"/>
  <c r="O140" i="18"/>
  <c r="O146" i="18"/>
  <c r="O171" i="18"/>
  <c r="O122" i="18"/>
  <c r="O183" i="18"/>
  <c r="O134" i="18"/>
  <c r="O128" i="18"/>
  <c r="O153" i="18"/>
  <c r="O177" i="18"/>
  <c r="O110" i="18"/>
  <c r="O116" i="18"/>
  <c r="O189" i="18"/>
  <c r="W116" i="18"/>
  <c r="W183" i="18"/>
  <c r="W110" i="18"/>
  <c r="W122" i="18"/>
  <c r="W165" i="18"/>
  <c r="W177" i="18"/>
  <c r="W128" i="18"/>
  <c r="W140" i="18"/>
  <c r="W159" i="18"/>
  <c r="W134" i="18"/>
  <c r="W171" i="18"/>
  <c r="W146" i="18"/>
  <c r="W153" i="18"/>
  <c r="W189" i="18"/>
  <c r="L153" i="18"/>
  <c r="L116" i="18"/>
  <c r="L183" i="18"/>
  <c r="L171" i="18"/>
  <c r="L177" i="18"/>
  <c r="L122" i="18"/>
  <c r="L146" i="18"/>
  <c r="L110" i="18"/>
  <c r="L134" i="18"/>
  <c r="L140" i="18"/>
  <c r="L189" i="18"/>
  <c r="L128" i="18"/>
  <c r="L165" i="18"/>
  <c r="L159" i="18"/>
  <c r="AK122" i="13"/>
  <c r="AK177" i="13"/>
  <c r="AK116" i="13"/>
  <c r="AK146" i="13"/>
  <c r="AK183" i="13"/>
  <c r="AK159" i="13"/>
  <c r="AK189" i="13"/>
  <c r="AK134" i="13"/>
  <c r="AK153" i="13"/>
  <c r="AK171" i="13"/>
  <c r="AK165" i="13"/>
  <c r="AK140" i="13"/>
  <c r="AK128" i="13"/>
  <c r="AK110" i="13"/>
  <c r="O183" i="13"/>
  <c r="O122" i="13"/>
  <c r="O146" i="13"/>
  <c r="O116" i="13"/>
  <c r="O134" i="13"/>
  <c r="O153" i="13"/>
  <c r="O189" i="13"/>
  <c r="O165" i="13"/>
  <c r="O128" i="13"/>
  <c r="O110" i="13"/>
  <c r="O177" i="13"/>
  <c r="O140" i="13"/>
  <c r="O159" i="13"/>
  <c r="O171" i="13"/>
  <c r="F110" i="13"/>
  <c r="F153" i="13"/>
  <c r="F122" i="13"/>
  <c r="F128" i="13"/>
  <c r="F165" i="13"/>
  <c r="F177" i="13"/>
  <c r="F116" i="13"/>
  <c r="F189" i="13"/>
  <c r="F146" i="13"/>
  <c r="F171" i="13"/>
  <c r="F183" i="13"/>
  <c r="F159" i="13"/>
  <c r="F134" i="13"/>
  <c r="F140" i="13"/>
  <c r="Q110" i="13"/>
  <c r="Q146" i="13"/>
  <c r="Q159" i="13"/>
  <c r="Q189" i="13"/>
  <c r="Q116" i="13"/>
  <c r="Q165" i="13"/>
  <c r="Q134" i="13"/>
  <c r="Q183" i="13"/>
  <c r="Q122" i="13"/>
  <c r="Q140" i="13"/>
  <c r="Q177" i="13"/>
  <c r="Q153" i="13"/>
  <c r="Q171" i="13"/>
  <c r="Q128" i="13"/>
  <c r="AG110" i="15"/>
  <c r="AG177" i="15"/>
  <c r="AG116" i="15"/>
  <c r="AG159" i="15"/>
  <c r="AG183" i="15"/>
  <c r="AG153" i="15"/>
  <c r="AG128" i="15"/>
  <c r="AG165" i="15"/>
  <c r="AG189" i="15"/>
  <c r="AG122" i="15"/>
  <c r="AG146" i="15"/>
  <c r="AG134" i="15"/>
  <c r="AG140" i="15"/>
  <c r="AG171" i="15"/>
  <c r="M128" i="15"/>
  <c r="M122" i="15"/>
  <c r="M153" i="15"/>
  <c r="M189" i="15"/>
  <c r="M116" i="15"/>
  <c r="M177" i="15"/>
  <c r="M134" i="15"/>
  <c r="M146" i="15"/>
  <c r="M140" i="15"/>
  <c r="M171" i="15"/>
  <c r="M165" i="15"/>
  <c r="M159" i="15"/>
  <c r="M110" i="15"/>
  <c r="M183" i="15"/>
  <c r="Y134" i="15"/>
  <c r="Y177" i="15"/>
  <c r="Y146" i="15"/>
  <c r="Y189" i="15"/>
  <c r="Y122" i="15"/>
  <c r="Y153" i="15"/>
  <c r="Y183" i="15"/>
  <c r="Y159" i="15"/>
  <c r="Y165" i="15"/>
  <c r="Y116" i="15"/>
  <c r="Y171" i="15"/>
  <c r="Y128" i="15"/>
  <c r="Y110" i="15"/>
  <c r="Y140" i="15"/>
  <c r="T122" i="15"/>
  <c r="T189" i="15"/>
  <c r="T153" i="15"/>
  <c r="T171" i="15"/>
  <c r="T116" i="15"/>
  <c r="T110" i="15"/>
  <c r="T128" i="15"/>
  <c r="T165" i="15"/>
  <c r="T146" i="15"/>
  <c r="T134" i="15"/>
  <c r="T177" i="15"/>
  <c r="T140" i="15"/>
  <c r="T159" i="15"/>
  <c r="T183" i="15"/>
  <c r="G122" i="15"/>
  <c r="G110" i="15"/>
  <c r="G189" i="15"/>
  <c r="G128" i="15"/>
  <c r="G171" i="15"/>
  <c r="G177" i="15"/>
  <c r="G134" i="15"/>
  <c r="G116" i="15"/>
  <c r="G159" i="15"/>
  <c r="G165" i="15"/>
  <c r="G183" i="15"/>
  <c r="G140" i="15"/>
  <c r="G146" i="15"/>
  <c r="G153" i="15"/>
  <c r="G26" i="18"/>
  <c r="AE116" i="14"/>
  <c r="AE128" i="14"/>
  <c r="AE159" i="14"/>
  <c r="AE153" i="14"/>
  <c r="AE189" i="14"/>
  <c r="AE110" i="14"/>
  <c r="AE140" i="14"/>
  <c r="AE122" i="14"/>
  <c r="AE177" i="14"/>
  <c r="AE171" i="14"/>
  <c r="AE134" i="14"/>
  <c r="AE183" i="14"/>
  <c r="AE146" i="14"/>
  <c r="AE165" i="14"/>
  <c r="AC134" i="16"/>
  <c r="AC159" i="16"/>
  <c r="AC171" i="16"/>
  <c r="AC116" i="16"/>
  <c r="AC128" i="16"/>
  <c r="AC165" i="16"/>
  <c r="AC140" i="16"/>
  <c r="AC110" i="16"/>
  <c r="AC177" i="16"/>
  <c r="AC146" i="16"/>
  <c r="AC189" i="16"/>
  <c r="AC153" i="16"/>
  <c r="AC122" i="16"/>
  <c r="F146" i="16"/>
  <c r="F140" i="16"/>
  <c r="F116" i="16"/>
  <c r="F134" i="16"/>
  <c r="F122" i="16"/>
  <c r="F110" i="16"/>
  <c r="F153" i="16"/>
  <c r="F165" i="16"/>
  <c r="F128" i="16"/>
  <c r="F159" i="16"/>
  <c r="F177" i="16"/>
  <c r="F171" i="16"/>
  <c r="F189" i="16"/>
  <c r="AG128" i="16"/>
  <c r="AG189" i="16"/>
  <c r="AG177" i="16"/>
  <c r="AG140" i="16"/>
  <c r="AG171" i="16"/>
  <c r="AG110" i="16"/>
  <c r="AG159" i="16"/>
  <c r="AG116" i="16"/>
  <c r="AG134" i="16"/>
  <c r="AG153" i="16"/>
  <c r="AG122" i="16"/>
  <c r="AG165" i="16"/>
  <c r="AG146" i="16"/>
  <c r="T177" i="16"/>
  <c r="T159" i="16"/>
  <c r="T189" i="16"/>
  <c r="T128" i="16"/>
  <c r="T140" i="16"/>
  <c r="T146" i="16"/>
  <c r="T171" i="16"/>
  <c r="T153" i="16"/>
  <c r="T134" i="16"/>
  <c r="T122" i="16"/>
  <c r="T116" i="16"/>
  <c r="T110" i="16"/>
  <c r="T165" i="16"/>
  <c r="AD122" i="18"/>
  <c r="AD177" i="18"/>
  <c r="AD153" i="18"/>
  <c r="AD171" i="18"/>
  <c r="AD134" i="18"/>
  <c r="AD146" i="18"/>
  <c r="AD183" i="18"/>
  <c r="AD140" i="18"/>
  <c r="AD128" i="18"/>
  <c r="AD189" i="18"/>
  <c r="AD116" i="18"/>
  <c r="AD110" i="18"/>
  <c r="AD159" i="18"/>
  <c r="AD165" i="18"/>
  <c r="S140" i="13"/>
  <c r="S183" i="13"/>
  <c r="S116" i="13"/>
  <c r="S146" i="13"/>
  <c r="S171" i="13"/>
  <c r="S110" i="13"/>
  <c r="S128" i="13"/>
  <c r="S165" i="13"/>
  <c r="S189" i="13"/>
  <c r="S153" i="13"/>
  <c r="S134" i="13"/>
  <c r="S177" i="13"/>
  <c r="S122" i="13"/>
  <c r="S159" i="13"/>
  <c r="G146" i="13"/>
  <c r="G183" i="13"/>
  <c r="G159" i="13"/>
  <c r="G128" i="13"/>
  <c r="G189" i="13"/>
  <c r="G165" i="13"/>
  <c r="G153" i="13"/>
  <c r="G134" i="13"/>
  <c r="G110" i="13"/>
  <c r="G122" i="13"/>
  <c r="G171" i="13"/>
  <c r="G140" i="13"/>
  <c r="G116" i="13"/>
  <c r="G177" i="13"/>
  <c r="G140" i="17"/>
  <c r="G110" i="17"/>
  <c r="G134" i="17"/>
  <c r="G159" i="17"/>
  <c r="G171" i="17"/>
  <c r="G177" i="17"/>
  <c r="G153" i="17"/>
  <c r="G183" i="17"/>
  <c r="G146" i="17"/>
  <c r="G128" i="17"/>
  <c r="G116" i="17"/>
  <c r="G122" i="17"/>
  <c r="G189" i="17"/>
  <c r="G165" i="17"/>
  <c r="S171" i="17"/>
  <c r="S189" i="17"/>
  <c r="S153" i="17"/>
  <c r="S140" i="17"/>
  <c r="S110" i="17"/>
  <c r="S146" i="17"/>
  <c r="S122" i="17"/>
  <c r="S177" i="17"/>
  <c r="S134" i="17"/>
  <c r="S183" i="17"/>
  <c r="S159" i="17"/>
  <c r="S116" i="17"/>
  <c r="S128" i="17"/>
  <c r="S165" i="17"/>
  <c r="M122" i="17"/>
  <c r="M159" i="17"/>
  <c r="M140" i="17"/>
  <c r="M165" i="17"/>
  <c r="M183" i="17"/>
  <c r="M134" i="17"/>
  <c r="M146" i="17"/>
  <c r="M153" i="17"/>
  <c r="M116" i="17"/>
  <c r="M171" i="17"/>
  <c r="M177" i="17"/>
  <c r="M110" i="17"/>
  <c r="M189" i="17"/>
  <c r="M128" i="17"/>
  <c r="O183" i="12"/>
  <c r="O153" i="12"/>
  <c r="O140" i="12"/>
  <c r="O116" i="12"/>
  <c r="O134" i="12"/>
  <c r="O122" i="12"/>
  <c r="O165" i="12"/>
  <c r="O128" i="12"/>
  <c r="O159" i="12"/>
  <c r="O177" i="12"/>
  <c r="O189" i="12"/>
  <c r="O171" i="12"/>
  <c r="O146" i="12"/>
  <c r="O110" i="12"/>
  <c r="AA171" i="12"/>
  <c r="AA110" i="12"/>
  <c r="AA140" i="12"/>
  <c r="AA189" i="12"/>
  <c r="AA153" i="12"/>
  <c r="AA183" i="12"/>
  <c r="AA116" i="12"/>
  <c r="AA122" i="12"/>
  <c r="AA159" i="12"/>
  <c r="AA165" i="12"/>
  <c r="AA134" i="12"/>
  <c r="AA128" i="12"/>
  <c r="AA146" i="12"/>
  <c r="AA177" i="12"/>
  <c r="T134" i="12"/>
  <c r="T116" i="12"/>
  <c r="T110" i="12"/>
  <c r="T171" i="12"/>
  <c r="T153" i="12"/>
  <c r="T128" i="12"/>
  <c r="T189" i="12"/>
  <c r="T140" i="12"/>
  <c r="T122" i="12"/>
  <c r="T159" i="12"/>
  <c r="T165" i="12"/>
  <c r="T146" i="12"/>
  <c r="T183" i="12"/>
  <c r="T177" i="12"/>
  <c r="Y171" i="12"/>
  <c r="Y177" i="12"/>
  <c r="Y165" i="12"/>
  <c r="Y146" i="12"/>
  <c r="Y116" i="12"/>
  <c r="Y110" i="12"/>
  <c r="Y183" i="12"/>
  <c r="Y153" i="12"/>
  <c r="Y189" i="12"/>
  <c r="Y122" i="12"/>
  <c r="Y140" i="12"/>
  <c r="Y134" i="12"/>
  <c r="Y159" i="12"/>
  <c r="Y128" i="12"/>
  <c r="K153" i="12"/>
  <c r="K110" i="12"/>
  <c r="K165" i="12"/>
  <c r="K177" i="12"/>
  <c r="K134" i="12"/>
  <c r="K171" i="12"/>
  <c r="K116" i="12"/>
  <c r="K183" i="12"/>
  <c r="K189" i="12"/>
  <c r="K146" i="12"/>
  <c r="K128" i="12"/>
  <c r="K122" i="12"/>
  <c r="K159" i="12"/>
  <c r="K140" i="12"/>
  <c r="AB183" i="14"/>
  <c r="AB140" i="14"/>
  <c r="AB153" i="14"/>
  <c r="AB128" i="14"/>
  <c r="AB159" i="14"/>
  <c r="AB122" i="14"/>
  <c r="AB110" i="14"/>
  <c r="AB116" i="14"/>
  <c r="AB165" i="14"/>
  <c r="AB134" i="14"/>
  <c r="AB171" i="14"/>
  <c r="AB146" i="14"/>
  <c r="AB189" i="14"/>
  <c r="AB177" i="14"/>
  <c r="AH122" i="14"/>
  <c r="AH189" i="14"/>
  <c r="AH110" i="14"/>
  <c r="AH171" i="14"/>
  <c r="AH128" i="14"/>
  <c r="AH153" i="14"/>
  <c r="AH146" i="14"/>
  <c r="AH159" i="14"/>
  <c r="AH116" i="14"/>
  <c r="AH177" i="14"/>
  <c r="AH140" i="14"/>
  <c r="AH165" i="14"/>
  <c r="AH134" i="14"/>
  <c r="AH183" i="14"/>
  <c r="E134" i="14"/>
  <c r="E140" i="14"/>
  <c r="E110" i="14"/>
  <c r="E122" i="14"/>
  <c r="E165" i="14"/>
  <c r="E146" i="14"/>
  <c r="E153" i="14"/>
  <c r="E177" i="14"/>
  <c r="E159" i="14"/>
  <c r="E189" i="14"/>
  <c r="E128" i="14"/>
  <c r="E183" i="14"/>
  <c r="E116" i="14"/>
  <c r="E171" i="14"/>
  <c r="AC122" i="14"/>
  <c r="AC159" i="14"/>
  <c r="AC189" i="14"/>
  <c r="AC110" i="14"/>
  <c r="AC128" i="14"/>
  <c r="AC165" i="14"/>
  <c r="AC116" i="14"/>
  <c r="AC177" i="14"/>
  <c r="AC134" i="14"/>
  <c r="AC140" i="14"/>
  <c r="AC146" i="14"/>
  <c r="AC183" i="14"/>
  <c r="AC153" i="14"/>
  <c r="AC171" i="14"/>
  <c r="AK140" i="16"/>
  <c r="AK159" i="16"/>
  <c r="AK128" i="16"/>
  <c r="AK177" i="16"/>
  <c r="AK153" i="16"/>
  <c r="AK171" i="16"/>
  <c r="AK116" i="16"/>
  <c r="AK134" i="16"/>
  <c r="AK146" i="16"/>
  <c r="AK165" i="16"/>
  <c r="AK189" i="16"/>
  <c r="AK122" i="16"/>
  <c r="AK110" i="16"/>
  <c r="Y146" i="16"/>
  <c r="Y159" i="16"/>
  <c r="Y122" i="16"/>
  <c r="Y153" i="16"/>
  <c r="Y165" i="16"/>
  <c r="Y110" i="16"/>
  <c r="Y171" i="16"/>
  <c r="Y189" i="16"/>
  <c r="Y116" i="16"/>
  <c r="Y177" i="16"/>
  <c r="Y134" i="16"/>
  <c r="Y128" i="16"/>
  <c r="Y140" i="16"/>
  <c r="R177" i="16"/>
  <c r="R165" i="16"/>
  <c r="R110" i="16"/>
  <c r="R159" i="16"/>
  <c r="R140" i="16"/>
  <c r="R171" i="16"/>
  <c r="R128" i="16"/>
  <c r="R153" i="16"/>
  <c r="R146" i="16"/>
  <c r="R116" i="16"/>
  <c r="R122" i="16"/>
  <c r="R189" i="16"/>
  <c r="R134" i="16"/>
  <c r="X134" i="16"/>
  <c r="X171" i="16"/>
  <c r="X140" i="16"/>
  <c r="X146" i="16"/>
  <c r="X153" i="16"/>
  <c r="X159" i="16"/>
  <c r="X122" i="16"/>
  <c r="X110" i="16"/>
  <c r="X165" i="16"/>
  <c r="X177" i="16"/>
  <c r="X116" i="16"/>
  <c r="X189" i="16"/>
  <c r="X128" i="16"/>
  <c r="L128" i="16"/>
  <c r="L177" i="16"/>
  <c r="L146" i="16"/>
  <c r="L159" i="16"/>
  <c r="L189" i="16"/>
  <c r="L171" i="16"/>
  <c r="L165" i="16"/>
  <c r="L153" i="16"/>
  <c r="L140" i="16"/>
  <c r="L116" i="16"/>
  <c r="L122" i="16"/>
  <c r="L134" i="16"/>
  <c r="L110" i="16"/>
  <c r="AA177" i="15"/>
  <c r="AA140" i="15"/>
  <c r="AA183" i="15"/>
  <c r="AA171" i="15"/>
  <c r="AA159" i="15"/>
  <c r="AA153" i="15"/>
  <c r="AA165" i="15"/>
  <c r="AA116" i="15"/>
  <c r="AA189" i="15"/>
  <c r="AA122" i="15"/>
  <c r="AA146" i="15"/>
  <c r="AA110" i="15"/>
  <c r="AA128" i="15"/>
  <c r="AA134" i="15"/>
  <c r="F110" i="15"/>
  <c r="F134" i="15"/>
  <c r="F153" i="15"/>
  <c r="F140" i="15"/>
  <c r="F116" i="15"/>
  <c r="F128" i="15"/>
  <c r="F165" i="15"/>
  <c r="F159" i="15"/>
  <c r="F189" i="15"/>
  <c r="F146" i="15"/>
  <c r="F177" i="15"/>
  <c r="F183" i="15"/>
  <c r="F122" i="15"/>
  <c r="F171" i="15"/>
  <c r="AC110" i="15"/>
  <c r="AC159" i="15"/>
  <c r="AC183" i="15"/>
  <c r="AC177" i="15"/>
  <c r="AC116" i="15"/>
  <c r="AC122" i="15"/>
  <c r="AC153" i="15"/>
  <c r="AC146" i="15"/>
  <c r="AC189" i="15"/>
  <c r="AC134" i="15"/>
  <c r="AC140" i="15"/>
  <c r="AC165" i="15"/>
  <c r="AC171" i="15"/>
  <c r="AC128" i="15"/>
  <c r="R189" i="13"/>
  <c r="R122" i="13"/>
  <c r="R177" i="13"/>
  <c r="R140" i="13"/>
  <c r="R134" i="13"/>
  <c r="R171" i="13"/>
  <c r="R110" i="13"/>
  <c r="R116" i="13"/>
  <c r="R165" i="13"/>
  <c r="R183" i="13"/>
  <c r="R153" i="13"/>
  <c r="R159" i="13"/>
  <c r="R146" i="13"/>
  <c r="R128" i="13"/>
  <c r="F26" i="18"/>
  <c r="Q140" i="15"/>
  <c r="Q128" i="15"/>
  <c r="Q183" i="15"/>
  <c r="Q189" i="15"/>
  <c r="Q146" i="15"/>
  <c r="Q171" i="15"/>
  <c r="Q116" i="15"/>
  <c r="Q122" i="15"/>
  <c r="Q159" i="15"/>
  <c r="Q110" i="15"/>
  <c r="Q177" i="15"/>
  <c r="Q134" i="15"/>
  <c r="Q153" i="15"/>
  <c r="Q165" i="15"/>
  <c r="E146" i="15"/>
  <c r="E177" i="15"/>
  <c r="E171" i="15"/>
  <c r="E128" i="15"/>
  <c r="E189" i="15"/>
  <c r="E116" i="15"/>
  <c r="E183" i="15"/>
  <c r="E140" i="15"/>
  <c r="E159" i="15"/>
  <c r="E165" i="15"/>
  <c r="E110" i="15"/>
  <c r="E153" i="15"/>
  <c r="E122" i="15"/>
  <c r="E134" i="15"/>
  <c r="AB177" i="15"/>
  <c r="AB183" i="15"/>
  <c r="AB110" i="15"/>
  <c r="AB134" i="15"/>
  <c r="AB153" i="15"/>
  <c r="AB128" i="15"/>
  <c r="AB159" i="15"/>
  <c r="AB165" i="15"/>
  <c r="AB122" i="15"/>
  <c r="AB189" i="15"/>
  <c r="AB116" i="15"/>
  <c r="AB146" i="15"/>
  <c r="AB171" i="15"/>
  <c r="AB140" i="15"/>
  <c r="AJ159" i="17"/>
  <c r="AJ189" i="17"/>
  <c r="AJ110" i="17"/>
  <c r="AJ128" i="17"/>
  <c r="AJ183" i="17"/>
  <c r="AJ140" i="17"/>
  <c r="AJ134" i="17"/>
  <c r="AJ153" i="17"/>
  <c r="AJ116" i="17"/>
  <c r="AJ171" i="17"/>
  <c r="AJ165" i="17"/>
  <c r="AJ146" i="17"/>
  <c r="AJ122" i="17"/>
  <c r="AJ177" i="17"/>
  <c r="N171" i="17"/>
  <c r="N165" i="17"/>
  <c r="N140" i="17"/>
  <c r="N183" i="17"/>
  <c r="N116" i="17"/>
  <c r="N189" i="17"/>
  <c r="N146" i="17"/>
  <c r="N134" i="17"/>
  <c r="N128" i="17"/>
  <c r="N153" i="17"/>
  <c r="N177" i="17"/>
  <c r="N122" i="17"/>
  <c r="N110" i="17"/>
  <c r="N159" i="17"/>
  <c r="I171" i="17"/>
  <c r="I128" i="17"/>
  <c r="I122" i="17"/>
  <c r="I146" i="17"/>
  <c r="I140" i="17"/>
  <c r="I134" i="17"/>
  <c r="I153" i="17"/>
  <c r="I159" i="17"/>
  <c r="I183" i="17"/>
  <c r="I177" i="17"/>
  <c r="I116" i="17"/>
  <c r="I110" i="17"/>
  <c r="I165" i="17"/>
  <c r="I189" i="17"/>
  <c r="AC110" i="17"/>
  <c r="AC116" i="17"/>
  <c r="AC134" i="17"/>
  <c r="AC159" i="17"/>
  <c r="AC189" i="17"/>
  <c r="AC171" i="17"/>
  <c r="AC140" i="17"/>
  <c r="AC122" i="17"/>
  <c r="AC128" i="17"/>
  <c r="AC183" i="17"/>
  <c r="AC177" i="17"/>
  <c r="AC165" i="17"/>
  <c r="AC153" i="17"/>
  <c r="AC146" i="17"/>
  <c r="U183" i="12"/>
  <c r="U153" i="12"/>
  <c r="U116" i="12"/>
  <c r="U128" i="12"/>
  <c r="U159" i="12"/>
  <c r="U110" i="12"/>
  <c r="U146" i="12"/>
  <c r="U177" i="12"/>
  <c r="U165" i="12"/>
  <c r="U134" i="12"/>
  <c r="U171" i="12"/>
  <c r="U122" i="12"/>
  <c r="U140" i="12"/>
  <c r="U189" i="12"/>
  <c r="F171" i="12"/>
  <c r="F189" i="12"/>
  <c r="F177" i="12"/>
  <c r="F183" i="12"/>
  <c r="F128" i="12"/>
  <c r="F116" i="12"/>
  <c r="F110" i="12"/>
  <c r="F134" i="12"/>
  <c r="F153" i="12"/>
  <c r="F140" i="12"/>
  <c r="F122" i="12"/>
  <c r="F146" i="12"/>
  <c r="F159" i="12"/>
  <c r="F165" i="12"/>
  <c r="F36" i="13"/>
  <c r="F38" i="13"/>
  <c r="F35" i="13"/>
  <c r="F34" i="13"/>
  <c r="F37" i="13"/>
  <c r="F32" i="13"/>
  <c r="F33" i="13"/>
  <c r="F159" i="14"/>
  <c r="F189" i="14"/>
  <c r="F153" i="14"/>
  <c r="F110" i="14"/>
  <c r="F165" i="14"/>
  <c r="F177" i="14"/>
  <c r="F183" i="14"/>
  <c r="F171" i="14"/>
  <c r="F116" i="14"/>
  <c r="F140" i="14"/>
  <c r="F128" i="14"/>
  <c r="F146" i="14"/>
  <c r="F122" i="14"/>
  <c r="F134" i="14"/>
  <c r="AL183" i="14"/>
  <c r="AL165" i="14"/>
  <c r="AL177" i="14"/>
  <c r="AL146" i="14"/>
  <c r="AL110" i="14"/>
  <c r="AL140" i="14"/>
  <c r="AL134" i="14"/>
  <c r="AL116" i="14"/>
  <c r="AL189" i="14"/>
  <c r="AL159" i="14"/>
  <c r="AL171" i="14"/>
  <c r="AL122" i="14"/>
  <c r="AL153" i="14"/>
  <c r="AL128" i="14"/>
  <c r="K128" i="16"/>
  <c r="K153" i="16"/>
  <c r="K171" i="16"/>
  <c r="K177" i="16"/>
  <c r="K140" i="16"/>
  <c r="K122" i="16"/>
  <c r="K110" i="16"/>
  <c r="K134" i="16"/>
  <c r="K165" i="16"/>
  <c r="K116" i="16"/>
  <c r="K189" i="16"/>
  <c r="K146" i="16"/>
  <c r="K159" i="16"/>
  <c r="AL140" i="16"/>
  <c r="AL159" i="16"/>
  <c r="AL134" i="16"/>
  <c r="AL153" i="16"/>
  <c r="AL122" i="16"/>
  <c r="AL128" i="16"/>
  <c r="AL189" i="16"/>
  <c r="AL116" i="16"/>
  <c r="AL146" i="16"/>
  <c r="AL165" i="16"/>
  <c r="AL110" i="16"/>
  <c r="AL177" i="16"/>
  <c r="AL171" i="16"/>
  <c r="AK165" i="18"/>
  <c r="AK128" i="18"/>
  <c r="AK146" i="18"/>
  <c r="AK110" i="18"/>
  <c r="AK140" i="18"/>
  <c r="AK177" i="18"/>
  <c r="AK159" i="18"/>
  <c r="AK116" i="18"/>
  <c r="AK183" i="18"/>
  <c r="AK189" i="18"/>
  <c r="AK122" i="18"/>
  <c r="AK153" i="18"/>
  <c r="AK134" i="18"/>
  <c r="AK171" i="18"/>
  <c r="P177" i="18"/>
  <c r="P189" i="18"/>
  <c r="P165" i="18"/>
  <c r="P128" i="18"/>
  <c r="P146" i="18"/>
  <c r="P159" i="18"/>
  <c r="P122" i="18"/>
  <c r="P171" i="18"/>
  <c r="P183" i="18"/>
  <c r="P140" i="18"/>
  <c r="P110" i="18"/>
  <c r="P116" i="18"/>
  <c r="P153" i="18"/>
  <c r="P134" i="18"/>
  <c r="T183" i="18"/>
  <c r="T165" i="18"/>
  <c r="T153" i="18"/>
  <c r="T177" i="18"/>
  <c r="T171" i="18"/>
  <c r="T122" i="18"/>
  <c r="T159" i="18"/>
  <c r="T146" i="18"/>
  <c r="T189" i="18"/>
  <c r="T116" i="18"/>
  <c r="T128" i="18"/>
  <c r="T110" i="18"/>
  <c r="T140" i="18"/>
  <c r="T134" i="18"/>
  <c r="AI171" i="18"/>
  <c r="AI159" i="18"/>
  <c r="AI177" i="18"/>
  <c r="AI189" i="18"/>
  <c r="AI110" i="18"/>
  <c r="AI134" i="18"/>
  <c r="AI183" i="18"/>
  <c r="AI140" i="18"/>
  <c r="AI122" i="18"/>
  <c r="AI128" i="18"/>
  <c r="AI116" i="18"/>
  <c r="AI165" i="18"/>
  <c r="AI146" i="18"/>
  <c r="AI153" i="18"/>
  <c r="AF183" i="13"/>
  <c r="AF140" i="13"/>
  <c r="AF116" i="13"/>
  <c r="AF153" i="13"/>
  <c r="AF128" i="13"/>
  <c r="AF134" i="13"/>
  <c r="AF110" i="13"/>
  <c r="AF146" i="13"/>
  <c r="AF159" i="13"/>
  <c r="AF171" i="13"/>
  <c r="AF189" i="13"/>
  <c r="AF122" i="13"/>
  <c r="AF165" i="13"/>
  <c r="AF177" i="13"/>
  <c r="X171" i="13"/>
  <c r="X177" i="13"/>
  <c r="X153" i="13"/>
  <c r="X159" i="13"/>
  <c r="X134" i="13"/>
  <c r="X110" i="13"/>
  <c r="X116" i="13"/>
  <c r="X128" i="13"/>
  <c r="X140" i="13"/>
  <c r="X165" i="13"/>
  <c r="X122" i="13"/>
  <c r="X183" i="13"/>
  <c r="X146" i="13"/>
  <c r="X189" i="13"/>
  <c r="M140" i="13"/>
  <c r="M134" i="13"/>
  <c r="M110" i="13"/>
  <c r="M146" i="13"/>
  <c r="M177" i="13"/>
  <c r="M128" i="13"/>
  <c r="M183" i="13"/>
  <c r="M159" i="13"/>
  <c r="M116" i="13"/>
  <c r="M153" i="13"/>
  <c r="M165" i="13"/>
  <c r="M189" i="13"/>
  <c r="M122" i="13"/>
  <c r="M171" i="13"/>
  <c r="Y189" i="13"/>
  <c r="Y110" i="13"/>
  <c r="Y165" i="13"/>
  <c r="Y116" i="13"/>
  <c r="Y128" i="13"/>
  <c r="Y159" i="13"/>
  <c r="Y171" i="13"/>
  <c r="Y177" i="13"/>
  <c r="Y146" i="13"/>
  <c r="Y122" i="13"/>
  <c r="Y140" i="13"/>
  <c r="Y183" i="13"/>
  <c r="Y153" i="13"/>
  <c r="Y134" i="13"/>
  <c r="J116" i="15"/>
  <c r="J183" i="15"/>
  <c r="J140" i="15"/>
  <c r="J189" i="15"/>
  <c r="J146" i="15"/>
  <c r="J165" i="15"/>
  <c r="J134" i="15"/>
  <c r="J122" i="15"/>
  <c r="J128" i="15"/>
  <c r="J153" i="15"/>
  <c r="J110" i="15"/>
  <c r="J177" i="15"/>
  <c r="J171" i="15"/>
  <c r="J159" i="15"/>
  <c r="W116" i="15"/>
  <c r="W189" i="15"/>
  <c r="W177" i="15"/>
  <c r="W183" i="15"/>
  <c r="W140" i="15"/>
  <c r="W128" i="15"/>
  <c r="W134" i="15"/>
  <c r="W110" i="15"/>
  <c r="W153" i="15"/>
  <c r="W165" i="15"/>
  <c r="W159" i="15"/>
  <c r="W171" i="15"/>
  <c r="W122" i="15"/>
  <c r="W146" i="15"/>
  <c r="CQ58" i="10"/>
  <c r="CQ59" i="10"/>
  <c r="CK58" i="10"/>
  <c r="CR58" i="10"/>
  <c r="CH59" i="10"/>
  <c r="CO59" i="10"/>
  <c r="CC58" i="10"/>
  <c r="BR58" i="10"/>
  <c r="CN58" i="10"/>
  <c r="BX59" i="10"/>
  <c r="BY58" i="10"/>
  <c r="CF58" i="10"/>
  <c r="AK32" i="16" a="1"/>
  <c r="AH32" i="16" a="1"/>
  <c r="Y32" i="16" a="1"/>
  <c r="V32" i="16" a="1"/>
  <c r="N32" i="16" a="1"/>
  <c r="K32" i="16" a="1"/>
  <c r="AJ32" i="16" a="1"/>
  <c r="AA32" i="16" a="1"/>
  <c r="X32" i="16" a="1"/>
  <c r="P32" i="16" a="1"/>
  <c r="M32" i="16" a="1"/>
  <c r="U32" i="16" a="1"/>
  <c r="AL32" i="16" a="1"/>
  <c r="R32" i="16" a="1"/>
  <c r="J32" i="16" a="1"/>
  <c r="AF32" i="16" a="1"/>
  <c r="Q32" i="16" a="1"/>
  <c r="AG32" i="16" a="1"/>
  <c r="T32" i="16" a="1"/>
  <c r="W32" i="16" a="1"/>
  <c r="AC32" i="16" a="1"/>
  <c r="O32" i="16" a="1"/>
  <c r="AH58" i="10"/>
  <c r="L58" i="10"/>
  <c r="N58" i="10"/>
  <c r="Z58" i="10"/>
  <c r="BC58" i="10"/>
  <c r="AM58" i="10"/>
  <c r="K58" i="10"/>
  <c r="AI32" i="16" a="1"/>
  <c r="L32" i="16" a="1"/>
  <c r="AO58" i="10"/>
  <c r="R58" i="10"/>
  <c r="AU58" i="10"/>
  <c r="AC58" i="10"/>
  <c r="J58" i="10"/>
  <c r="BB58" i="10"/>
  <c r="AI58" i="10"/>
  <c r="V58" i="10"/>
  <c r="AD32" i="16" a="1"/>
  <c r="AX58" i="10"/>
  <c r="W58" i="10"/>
  <c r="G58" i="10"/>
  <c r="O58" i="10"/>
  <c r="BI58" i="10"/>
  <c r="AB32" i="16" a="1"/>
  <c r="H32" i="16" a="1"/>
  <c r="AW58" i="10"/>
  <c r="AY58" i="10"/>
  <c r="BF58" i="10"/>
  <c r="AL58" i="10"/>
  <c r="AS58" i="10"/>
  <c r="S32" i="16" a="1"/>
  <c r="BL58" i="10"/>
  <c r="BJ58" i="10"/>
  <c r="I58" i="10"/>
  <c r="AD58" i="10"/>
  <c r="Q58" i="10"/>
  <c r="BD58" i="10"/>
  <c r="T58" i="10"/>
  <c r="AN58" i="10"/>
  <c r="AB58" i="10"/>
  <c r="Y58" i="10"/>
  <c r="AE58" i="10"/>
  <c r="AJ58" i="10"/>
  <c r="AA58" i="10"/>
  <c r="AZ58" i="10"/>
  <c r="BA58" i="10"/>
  <c r="BH58" i="10"/>
  <c r="U58" i="10"/>
  <c r="Z32" i="16" a="1"/>
  <c r="AT58" i="10"/>
  <c r="P58" i="10"/>
  <c r="AR58" i="10"/>
  <c r="AQ58" i="10"/>
  <c r="S58" i="10"/>
  <c r="M58" i="10"/>
  <c r="I32" i="16" a="1"/>
  <c r="H58" i="10"/>
  <c r="BE58" i="10"/>
  <c r="AP58" i="10"/>
  <c r="BG58" i="10"/>
  <c r="BK58" i="10"/>
  <c r="AK58" i="10"/>
  <c r="E58" i="10"/>
  <c r="AV58" i="10"/>
  <c r="AF58" i="10"/>
  <c r="AG58" i="10"/>
  <c r="AE32" i="16" a="1"/>
  <c r="F58" i="10"/>
  <c r="X58" i="10"/>
  <c r="CL58" i="10"/>
  <c r="CL59" i="10"/>
  <c r="BZ59" i="10"/>
  <c r="AK32" i="15" a="1"/>
  <c r="AH32" i="15" a="1"/>
  <c r="U32" i="15" a="1"/>
  <c r="R32" i="15" a="1"/>
  <c r="AJ32" i="15" a="1"/>
  <c r="W32" i="15" a="1"/>
  <c r="T32" i="15" a="1"/>
  <c r="Y32" i="15" a="1"/>
  <c r="K32" i="15" a="1"/>
  <c r="AL32" i="15" a="1"/>
  <c r="AD32" i="15" a="1"/>
  <c r="V32" i="15" a="1"/>
  <c r="N32" i="15" a="1"/>
  <c r="AI32" i="15" a="1"/>
  <c r="AB32" i="15" a="1"/>
  <c r="J32" i="15" a="1"/>
  <c r="H32" i="15" a="1"/>
  <c r="Z32" i="15" a="1"/>
  <c r="M32" i="15" a="1"/>
  <c r="L32" i="15" a="1"/>
  <c r="X32" i="15" a="1"/>
  <c r="O32" i="15" a="1"/>
  <c r="AA32" i="15" a="1"/>
  <c r="T59" i="10"/>
  <c r="AL59" i="10"/>
  <c r="H59" i="10"/>
  <c r="W59" i="10"/>
  <c r="AX59" i="10"/>
  <c r="AF59" i="10"/>
  <c r="Q59" i="10"/>
  <c r="J59" i="10"/>
  <c r="AM59" i="10"/>
  <c r="V59" i="10"/>
  <c r="BL59" i="10"/>
  <c r="Z59" i="10"/>
  <c r="AH59" i="10"/>
  <c r="BD59" i="10"/>
  <c r="BH59" i="10"/>
  <c r="S32" i="15" a="1"/>
  <c r="AG59" i="10"/>
  <c r="BB59" i="10"/>
  <c r="BG59" i="10"/>
  <c r="AU59" i="10"/>
  <c r="L59" i="10"/>
  <c r="AJ59" i="10"/>
  <c r="Q32" i="15" a="1"/>
  <c r="M59" i="10"/>
  <c r="F59" i="10"/>
  <c r="AA59" i="10"/>
  <c r="AE59" i="10"/>
  <c r="P59" i="10"/>
  <c r="BC59" i="10"/>
  <c r="P32" i="15" a="1"/>
  <c r="I32" i="15" a="1"/>
  <c r="AC59" i="10"/>
  <c r="I59" i="10"/>
  <c r="BK59" i="10"/>
  <c r="AQ59" i="10"/>
  <c r="AY59" i="10"/>
  <c r="AV59" i="10"/>
  <c r="R59" i="10"/>
  <c r="N59" i="10"/>
  <c r="BE59" i="10"/>
  <c r="AS59" i="10"/>
  <c r="AW59" i="10"/>
  <c r="AO59" i="10"/>
  <c r="O59" i="10"/>
  <c r="AN59" i="10"/>
  <c r="AR59" i="10"/>
  <c r="AD59" i="10"/>
  <c r="G59" i="10"/>
  <c r="AG32" i="15" a="1"/>
  <c r="S59" i="10"/>
  <c r="AK59" i="10"/>
  <c r="AE32" i="15" a="1"/>
  <c r="AC32" i="15" a="1"/>
  <c r="K59" i="10"/>
  <c r="BF59" i="10"/>
  <c r="BJ59" i="10"/>
  <c r="AP59" i="10"/>
  <c r="AI59" i="10"/>
  <c r="AT59" i="10"/>
  <c r="Y59" i="10"/>
  <c r="AB59" i="10"/>
  <c r="BI59" i="10"/>
  <c r="X59" i="10"/>
  <c r="BA59" i="10"/>
  <c r="E59" i="10"/>
  <c r="AF32" i="15" a="1"/>
  <c r="U59" i="10"/>
  <c r="AZ59" i="10"/>
  <c r="BQ58" i="10"/>
  <c r="CG59" i="10"/>
  <c r="CM58" i="10"/>
  <c r="BM59" i="10"/>
  <c r="CJ58" i="10"/>
  <c r="BV58" i="10"/>
  <c r="CE58" i="10"/>
  <c r="CA58" i="10"/>
  <c r="CE59" i="10"/>
  <c r="CR59" i="10"/>
  <c r="BQ59" i="10"/>
  <c r="CD59" i="10"/>
  <c r="BS59" i="10"/>
  <c r="J44" i="10"/>
  <c r="E44" i="10"/>
  <c r="BT44" i="10"/>
  <c r="CQ44" i="10"/>
  <c r="AH44" i="10"/>
  <c r="BV44" i="10"/>
  <c r="BE44" i="10"/>
  <c r="CG44" i="10"/>
  <c r="CJ44" i="10"/>
  <c r="AF44" i="10"/>
  <c r="L44" i="10"/>
  <c r="BO44" i="10"/>
  <c r="CN44" i="10"/>
  <c r="K44" i="10"/>
  <c r="AG44" i="10"/>
  <c r="AJ44" i="10"/>
  <c r="AV44" i="10"/>
  <c r="N44" i="10"/>
  <c r="S44" i="10"/>
  <c r="BZ44" i="10"/>
  <c r="I44" i="10"/>
  <c r="CF44" i="10"/>
  <c r="AZ44" i="10"/>
  <c r="BY44" i="10"/>
  <c r="CB44" i="10"/>
  <c r="AB44" i="10"/>
  <c r="CE44" i="10"/>
  <c r="BP44" i="10"/>
  <c r="BI44" i="10"/>
  <c r="AA44" i="10"/>
  <c r="AT44" i="10"/>
  <c r="AL44" i="10"/>
  <c r="X44" i="10"/>
  <c r="BW44" i="10"/>
  <c r="BS44" i="10"/>
  <c r="AI44" i="10"/>
  <c r="Y44" i="10"/>
  <c r="BU44" i="10"/>
  <c r="BG44" i="10"/>
  <c r="CL44" i="10"/>
  <c r="BF44" i="10"/>
  <c r="BD44" i="10"/>
  <c r="T44" i="10"/>
  <c r="AU44" i="10"/>
  <c r="CA44" i="10"/>
  <c r="H44" i="10"/>
  <c r="AM44" i="10"/>
  <c r="AN44" i="10"/>
  <c r="BQ44" i="10"/>
  <c r="BR44" i="10"/>
  <c r="CM44" i="10"/>
  <c r="G44" i="10"/>
  <c r="AP44" i="10"/>
  <c r="AE44" i="10"/>
  <c r="AD44" i="10"/>
  <c r="AC44" i="10"/>
  <c r="AO44" i="10"/>
  <c r="V44" i="10"/>
  <c r="BK44" i="10"/>
  <c r="AX44" i="10"/>
  <c r="U44" i="10"/>
  <c r="BJ44" i="10"/>
  <c r="BM44" i="10"/>
  <c r="AS44" i="10"/>
  <c r="CD44" i="10"/>
  <c r="AW44" i="10"/>
  <c r="R44" i="10"/>
  <c r="F44" i="10"/>
  <c r="BN44" i="10"/>
  <c r="BC44" i="10"/>
  <c r="CC44" i="10"/>
  <c r="AY44" i="10"/>
  <c r="BA44" i="10"/>
  <c r="Z44" i="10"/>
  <c r="CK44" i="10"/>
  <c r="BH44" i="10"/>
  <c r="AR44" i="10"/>
  <c r="CI44" i="10"/>
  <c r="W44" i="10"/>
  <c r="Q44" i="10"/>
  <c r="CO44" i="10"/>
  <c r="BB44" i="10"/>
  <c r="CP44" i="10"/>
  <c r="AK44" i="10"/>
  <c r="P44" i="10"/>
  <c r="BX44" i="10"/>
  <c r="O44" i="10"/>
  <c r="CR44" i="10"/>
  <c r="BL44" i="10"/>
  <c r="M44" i="10"/>
  <c r="AQ44" i="10"/>
  <c r="CH44" i="10"/>
  <c r="CS44" i="10"/>
  <c r="BM58" i="10"/>
  <c r="BN59" i="10"/>
  <c r="CM59" i="10"/>
  <c r="BP58" i="10"/>
  <c r="BN58" i="10"/>
  <c r="BU58" i="10"/>
  <c r="CC59" i="10"/>
  <c r="BW59" i="10"/>
  <c r="CI59" i="10"/>
  <c r="CK59" i="10"/>
  <c r="BZ58" i="10"/>
  <c r="CO58" i="10"/>
  <c r="CB58" i="10"/>
  <c r="CJ59" i="10"/>
  <c r="BY59" i="10"/>
  <c r="BV59" i="10"/>
  <c r="BR59" i="10"/>
  <c r="CN59" i="10"/>
  <c r="BS58" i="10"/>
  <c r="CG58" i="10"/>
  <c r="BX58" i="10"/>
  <c r="CH58" i="10"/>
  <c r="CD58" i="10"/>
  <c r="CA59" i="10"/>
  <c r="CB59" i="10"/>
  <c r="CF59" i="10"/>
  <c r="BU59" i="10"/>
  <c r="BT58" i="10"/>
  <c r="CP58" i="10"/>
  <c r="CI58" i="10"/>
  <c r="BO58" i="10"/>
  <c r="BW58" i="10"/>
  <c r="BO59" i="10"/>
  <c r="BP59" i="10"/>
  <c r="CP59" i="10"/>
  <c r="BT59" i="10"/>
  <c r="F26" i="17"/>
  <c r="G26" i="17"/>
  <c r="F26" i="12"/>
  <c r="F57" i="10"/>
  <c r="BR62" i="10"/>
  <c r="M57" i="10"/>
  <c r="CN57" i="10"/>
  <c r="BN62" i="10"/>
  <c r="AM62" i="10"/>
  <c r="H62" i="10"/>
  <c r="AI32" i="12" a="1"/>
  <c r="AI35" i="12"/>
  <c r="AO62" i="10"/>
  <c r="E62" i="10"/>
  <c r="CI62" i="10"/>
  <c r="CB62" i="10"/>
  <c r="CQ62" i="10"/>
  <c r="Z32" i="12" a="1"/>
  <c r="Z36" i="12"/>
  <c r="U62" i="10"/>
  <c r="BT62" i="10"/>
  <c r="CG62" i="10"/>
  <c r="CD62" i="10"/>
  <c r="CF62" i="10"/>
  <c r="CP62" i="10"/>
  <c r="X32" i="12" a="1"/>
  <c r="X34" i="12"/>
  <c r="BY62" i="10"/>
  <c r="AJ62" i="10"/>
  <c r="BO62" i="10"/>
  <c r="BQ62" i="10"/>
  <c r="CO62" i="10"/>
  <c r="BI62" i="10"/>
  <c r="T32" i="12" a="1"/>
  <c r="T37" i="12"/>
  <c r="O32" i="12" a="1"/>
  <c r="O38" i="12"/>
  <c r="S32" i="12" a="1"/>
  <c r="S33" i="12"/>
  <c r="CH62" i="10"/>
  <c r="BD62" i="10"/>
  <c r="AE62" i="10"/>
  <c r="BK62" i="10"/>
  <c r="BB62" i="10"/>
  <c r="BP62" i="10"/>
  <c r="V32" i="12" a="1"/>
  <c r="V33" i="12"/>
  <c r="W62" i="10"/>
  <c r="AK32" i="12" a="1"/>
  <c r="AK34" i="12"/>
  <c r="CM62" i="10"/>
  <c r="L62" i="10"/>
  <c r="Q62" i="10"/>
  <c r="AK62" i="10"/>
  <c r="W32" i="12" a="1"/>
  <c r="W34" i="12"/>
  <c r="CK62" i="10"/>
  <c r="CJ62" i="10"/>
  <c r="AB32" i="12" a="1"/>
  <c r="AB35" i="12"/>
  <c r="AL32" i="12" a="1"/>
  <c r="AL38" i="12"/>
  <c r="BS62" i="10"/>
  <c r="CA62" i="10"/>
  <c r="CL62" i="10"/>
  <c r="BF62" i="10"/>
  <c r="R62" i="10"/>
  <c r="N62" i="10"/>
  <c r="M62" i="10"/>
  <c r="AF62" i="10"/>
  <c r="I62" i="10"/>
  <c r="AS62" i="10"/>
  <c r="AD62" i="10"/>
  <c r="U32" i="12" a="1"/>
  <c r="U38" i="12"/>
  <c r="AD32" i="12" a="1"/>
  <c r="AD37" i="12"/>
  <c r="AG32" i="12" a="1"/>
  <c r="AG33" i="12"/>
  <c r="BM62" i="10"/>
  <c r="BU62" i="10"/>
  <c r="CN62" i="10"/>
  <c r="BJ62" i="10"/>
  <c r="X62" i="10"/>
  <c r="AW62" i="10"/>
  <c r="BA62" i="10"/>
  <c r="AZ62" i="10"/>
  <c r="Y62" i="10"/>
  <c r="AP62" i="10"/>
  <c r="Q32" i="12" a="1"/>
  <c r="Q37" i="12"/>
  <c r="Y32" i="12" a="1"/>
  <c r="Y35" i="12"/>
  <c r="N32" i="12" a="1"/>
  <c r="N32" i="12"/>
  <c r="CR62" i="10"/>
  <c r="BV62" i="10"/>
  <c r="CE62" i="10"/>
  <c r="BH62" i="10"/>
  <c r="S62" i="10"/>
  <c r="J62" i="10"/>
  <c r="AF32" i="12" a="1"/>
  <c r="AF35" i="12"/>
  <c r="AH32" i="12" a="1"/>
  <c r="AH34" i="12"/>
  <c r="H32" i="12" a="1"/>
  <c r="H34" i="12"/>
  <c r="BW62" i="10"/>
  <c r="BX62" i="10"/>
  <c r="CC62" i="10"/>
  <c r="Z62" i="10"/>
  <c r="BE62" i="10"/>
  <c r="G62" i="10"/>
  <c r="BC62" i="10"/>
  <c r="V62" i="10"/>
  <c r="T62" i="10"/>
  <c r="AA62" i="10"/>
  <c r="AA32" i="12" a="1"/>
  <c r="AA34" i="12"/>
  <c r="AV62" i="10"/>
  <c r="AG62" i="10"/>
  <c r="P62" i="10"/>
  <c r="O62" i="10"/>
  <c r="AU62" i="10"/>
  <c r="AT62" i="10"/>
  <c r="AN62" i="10"/>
  <c r="AI62" i="10"/>
  <c r="R32" i="12" a="1"/>
  <c r="R35" i="12"/>
  <c r="F62" i="10"/>
  <c r="BG62" i="10"/>
  <c r="AC62" i="10"/>
  <c r="AX62" i="10"/>
  <c r="BL62" i="10"/>
  <c r="I32" i="12" a="1"/>
  <c r="I37" i="12"/>
  <c r="M32" i="12" a="1"/>
  <c r="M32" i="12"/>
  <c r="K32" i="12" a="1"/>
  <c r="K34" i="12"/>
  <c r="CE57" i="10"/>
  <c r="BZ62" i="10"/>
  <c r="AL62" i="10"/>
  <c r="AR62" i="10"/>
  <c r="AY62" i="10"/>
  <c r="AQ62" i="10"/>
  <c r="K62" i="10"/>
  <c r="AB62" i="10"/>
  <c r="AH62" i="10"/>
  <c r="J32" i="12" a="1"/>
  <c r="J37" i="12"/>
  <c r="AE32" i="12" a="1"/>
  <c r="AE36" i="12"/>
  <c r="L32" i="12" a="1"/>
  <c r="L33" i="12"/>
  <c r="AC32" i="12" a="1"/>
  <c r="AC32" i="12"/>
  <c r="CL57" i="10"/>
  <c r="CD57" i="10"/>
  <c r="Q57" i="10"/>
  <c r="CI57" i="10"/>
  <c r="BT57" i="10"/>
  <c r="M32" i="17" a="1"/>
  <c r="M37" i="17"/>
  <c r="CG57" i="10"/>
  <c r="O32" i="17" a="1"/>
  <c r="O37" i="17"/>
  <c r="I57" i="10"/>
  <c r="BQ57" i="10"/>
  <c r="E57" i="10"/>
  <c r="CC57" i="10"/>
  <c r="BZ57" i="10"/>
  <c r="CJ57" i="10"/>
  <c r="P57" i="10"/>
  <c r="CK57" i="10"/>
  <c r="CR57" i="10"/>
  <c r="CF57" i="10"/>
  <c r="CP57" i="10"/>
  <c r="CQ57" i="10"/>
  <c r="BV57" i="10"/>
  <c r="X57" i="10"/>
  <c r="BD57" i="10"/>
  <c r="CM57" i="10"/>
  <c r="Z57" i="10"/>
  <c r="CO57" i="10"/>
  <c r="K32" i="17" a="1"/>
  <c r="K34" i="17"/>
  <c r="J57" i="10"/>
  <c r="AJ32" i="17" a="1"/>
  <c r="AJ33" i="17"/>
  <c r="Q32" i="17" a="1"/>
  <c r="Q35" i="17"/>
  <c r="AH32" i="17" a="1"/>
  <c r="AH38" i="17"/>
  <c r="AY57" i="10"/>
  <c r="AA32" i="17" a="1"/>
  <c r="AA32" i="17"/>
  <c r="CH57" i="10"/>
  <c r="Y32" i="17" a="1"/>
  <c r="Y37" i="17"/>
  <c r="BX57" i="10"/>
  <c r="AG57" i="10"/>
  <c r="S32" i="17" a="1"/>
  <c r="S35" i="17"/>
  <c r="AE32" i="17" a="1"/>
  <c r="AE32" i="17"/>
  <c r="AX57" i="10"/>
  <c r="AD57" i="10"/>
  <c r="O57" i="10"/>
  <c r="BA57" i="10"/>
  <c r="AC57" i="10"/>
  <c r="AS57" i="10"/>
  <c r="X32" i="17" a="1"/>
  <c r="X37" i="17"/>
  <c r="W32" i="17" a="1"/>
  <c r="W33" i="17"/>
  <c r="BN57" i="10"/>
  <c r="BJ57" i="10"/>
  <c r="AB57" i="10"/>
  <c r="Y57" i="10"/>
  <c r="AZ57" i="10"/>
  <c r="AT57" i="10"/>
  <c r="T32" i="17" a="1"/>
  <c r="T35" i="17"/>
  <c r="P32" i="17" a="1"/>
  <c r="P35" i="17"/>
  <c r="AR57" i="10"/>
  <c r="AL57" i="10"/>
  <c r="W57" i="10"/>
  <c r="AW57" i="10"/>
  <c r="AF57" i="10"/>
  <c r="V57" i="10"/>
  <c r="BF57" i="10"/>
  <c r="AQ57" i="10"/>
  <c r="AU57" i="10"/>
  <c r="AE57" i="10"/>
  <c r="N57" i="10"/>
  <c r="G57" i="10"/>
  <c r="J32" i="17" a="1"/>
  <c r="J36" i="17"/>
  <c r="Z32" i="17" a="1"/>
  <c r="Z38" i="17"/>
  <c r="BL57" i="10"/>
  <c r="V32" i="17" a="1"/>
  <c r="V36" i="17"/>
  <c r="AI32" i="17" a="1"/>
  <c r="AI37" i="17"/>
  <c r="AC32" i="17" a="1"/>
  <c r="AC32" i="17"/>
  <c r="BW57" i="10"/>
  <c r="AL32" i="17" a="1"/>
  <c r="AL36" i="17"/>
  <c r="AO57" i="10"/>
  <c r="N32" i="17" a="1"/>
  <c r="N32" i="17"/>
  <c r="CA57" i="10"/>
  <c r="BY57" i="10"/>
  <c r="BS57" i="10"/>
  <c r="BO57" i="10"/>
  <c r="H57" i="10"/>
  <c r="AD32" i="17" a="1"/>
  <c r="AD37" i="17"/>
  <c r="AH57" i="10"/>
  <c r="L32" i="17" a="1"/>
  <c r="L36" i="17"/>
  <c r="H32" i="17" a="1"/>
  <c r="H37" i="17"/>
  <c r="BR57" i="10"/>
  <c r="AF32" i="17" a="1"/>
  <c r="AF37" i="17"/>
  <c r="CB57" i="10"/>
  <c r="U32" i="17" a="1"/>
  <c r="U32" i="17"/>
  <c r="BE57" i="10"/>
  <c r="AI57" i="10"/>
  <c r="AM57" i="10"/>
  <c r="BH57" i="10"/>
  <c r="L57" i="10"/>
  <c r="BB57" i="10"/>
  <c r="I32" i="17" a="1"/>
  <c r="I35" i="17"/>
  <c r="BM57" i="10"/>
  <c r="R32" i="17" a="1"/>
  <c r="R36" i="17"/>
  <c r="R57" i="10"/>
  <c r="AJ57" i="10"/>
  <c r="BK57" i="10"/>
  <c r="BG57" i="10"/>
  <c r="AP57" i="10"/>
  <c r="T57" i="10"/>
  <c r="S57" i="10"/>
  <c r="AB32" i="17" a="1"/>
  <c r="AB33" i="17"/>
  <c r="AK32" i="17" a="1"/>
  <c r="AK34" i="17"/>
  <c r="U57" i="10"/>
  <c r="AA57" i="10"/>
  <c r="BI57" i="10"/>
  <c r="BC57" i="10"/>
  <c r="AK57" i="10"/>
  <c r="AN57" i="10"/>
  <c r="K57" i="10"/>
  <c r="AV57" i="10"/>
  <c r="AG32" i="17" a="1"/>
  <c r="AG35" i="17"/>
  <c r="BP57" i="10"/>
  <c r="BU57" i="10"/>
  <c r="E90" i="16" a="1"/>
  <c r="AG90" i="16"/>
  <c r="E64" i="12" a="1"/>
  <c r="J64" i="12"/>
  <c r="E87" i="14" a="1"/>
  <c r="AK87" i="14"/>
  <c r="E88" i="12" a="1"/>
  <c r="AH88" i="12"/>
  <c r="E63" i="15" a="1"/>
  <c r="M63" i="15"/>
  <c r="E60" i="14" a="1"/>
  <c r="V60" i="14"/>
  <c r="E64" i="15" a="1"/>
  <c r="L64" i="15"/>
  <c r="E86" i="17" a="1"/>
  <c r="U86" i="17"/>
  <c r="E88" i="13" a="1"/>
  <c r="P88" i="13"/>
  <c r="E59" i="15" a="1"/>
  <c r="AL59" i="15"/>
  <c r="E86" i="18" a="1"/>
  <c r="AD86" i="18"/>
  <c r="E92" i="12" a="1"/>
  <c r="AC92" i="12"/>
  <c r="E63" i="18" a="1"/>
  <c r="Q63" i="18"/>
  <c r="E61" i="18" a="1"/>
  <c r="K61" i="18"/>
  <c r="E61" i="12" a="1"/>
  <c r="P61" i="12"/>
  <c r="E63" i="12" a="1"/>
  <c r="AI63" i="12"/>
  <c r="E65" i="14" a="1"/>
  <c r="W65" i="14"/>
  <c r="E87" i="15" a="1"/>
  <c r="AG87" i="15"/>
  <c r="E65" i="12" a="1"/>
  <c r="P65" i="12"/>
  <c r="E90" i="12" a="1"/>
  <c r="AC90" i="12"/>
  <c r="E64" i="14" a="1"/>
  <c r="W64" i="14"/>
  <c r="E64" i="16" a="1"/>
  <c r="AH64" i="16"/>
  <c r="E88" i="16" a="1"/>
  <c r="I88" i="16"/>
  <c r="E92" i="16" a="1"/>
  <c r="AL92" i="16"/>
  <c r="E86" i="12" a="1"/>
  <c r="AC86" i="12"/>
  <c r="E88" i="17" a="1"/>
  <c r="T88" i="17"/>
  <c r="E92" i="13" a="1"/>
  <c r="M92" i="13"/>
  <c r="E87" i="13" a="1"/>
  <c r="Y87" i="13"/>
  <c r="E60" i="15" a="1"/>
  <c r="N60" i="15"/>
  <c r="E65" i="13" a="1"/>
  <c r="K65" i="13"/>
  <c r="E59" i="17" a="1"/>
  <c r="AI59" i="17"/>
  <c r="E61" i="14" a="1"/>
  <c r="E61" i="14"/>
  <c r="E89" i="12" a="1"/>
  <c r="N89" i="12"/>
  <c r="E64" i="17" a="1"/>
  <c r="I64" i="17"/>
  <c r="E89" i="16" a="1"/>
  <c r="K89" i="16"/>
  <c r="E60" i="12" a="1"/>
  <c r="AK60" i="12"/>
  <c r="E92" i="15" a="1"/>
  <c r="U92" i="15"/>
  <c r="E63" i="16" a="1"/>
  <c r="R63" i="16"/>
  <c r="E59" i="16" a="1"/>
  <c r="W59" i="16"/>
  <c r="E88" i="14" a="1"/>
  <c r="AF88" i="14"/>
  <c r="E62" i="14" a="1"/>
  <c r="F62" i="14"/>
  <c r="E86" i="14" a="1"/>
  <c r="V86" i="14"/>
  <c r="E91" i="13" a="1"/>
  <c r="J91" i="13"/>
  <c r="E60" i="17" a="1"/>
  <c r="F60" i="17"/>
  <c r="E91" i="18" a="1"/>
  <c r="AC91" i="18"/>
  <c r="E91" i="17" a="1"/>
  <c r="K91" i="17"/>
  <c r="E91" i="14" a="1"/>
  <c r="AE91" i="14"/>
  <c r="E91" i="15" a="1"/>
  <c r="M91" i="15"/>
  <c r="E89" i="17" a="1"/>
  <c r="O89" i="17"/>
  <c r="E60" i="16" a="1"/>
  <c r="P60" i="16"/>
  <c r="E92" i="14" a="1"/>
  <c r="N92" i="14"/>
  <c r="E59" i="12" a="1"/>
  <c r="S59" i="12"/>
  <c r="E62" i="17" a="1"/>
  <c r="Z62" i="17"/>
  <c r="E61" i="17" a="1"/>
  <c r="F61" i="17"/>
  <c r="E62" i="13" a="1"/>
  <c r="G62" i="13"/>
  <c r="E59" i="18" a="1"/>
  <c r="Y59" i="18"/>
  <c r="E65" i="18" a="1"/>
  <c r="AH65" i="18"/>
  <c r="E65" i="16" a="1"/>
  <c r="U65" i="16"/>
  <c r="E63" i="14" a="1"/>
  <c r="AE63" i="14"/>
  <c r="E60" i="13" a="1"/>
  <c r="H60" i="13"/>
  <c r="E65" i="15" a="1"/>
  <c r="W65" i="15"/>
  <c r="E59" i="13" a="1"/>
  <c r="AF59" i="13"/>
  <c r="E89" i="15" a="1"/>
  <c r="AL89" i="15"/>
  <c r="E62" i="18" a="1"/>
  <c r="U62" i="18"/>
  <c r="E62" i="16" a="1"/>
  <c r="AK62" i="16"/>
  <c r="E92" i="18" a="1"/>
  <c r="AI92" i="18"/>
  <c r="E89" i="14" a="1"/>
  <c r="L89" i="14"/>
  <c r="E90" i="17" a="1"/>
  <c r="X90" i="17"/>
  <c r="E90" i="18" a="1"/>
  <c r="Y90" i="18"/>
  <c r="E90" i="14" a="1"/>
  <c r="O90" i="14"/>
  <c r="E64" i="18" a="1"/>
  <c r="AL64" i="18"/>
  <c r="E61" i="13" a="1"/>
  <c r="S61" i="13"/>
  <c r="E63" i="17" a="1"/>
  <c r="AB63" i="17"/>
  <c r="E62" i="15" a="1"/>
  <c r="AF62" i="15"/>
  <c r="E86" i="16" a="1"/>
  <c r="N86" i="16"/>
  <c r="E61" i="16" a="1"/>
  <c r="U61" i="16"/>
  <c r="E87" i="18" a="1"/>
  <c r="I87" i="18"/>
  <c r="E65" i="17" a="1"/>
  <c r="AD65" i="17"/>
  <c r="E89" i="13" a="1"/>
  <c r="AJ89" i="13"/>
  <c r="E87" i="16" a="1"/>
  <c r="V87" i="16"/>
  <c r="E88" i="15" a="1"/>
  <c r="F88" i="15"/>
  <c r="E92" i="17" a="1"/>
  <c r="Z92" i="17"/>
  <c r="E86" i="13" a="1"/>
  <c r="AB86" i="13"/>
  <c r="E89" i="18" a="1"/>
  <c r="AJ89" i="18"/>
  <c r="E62" i="12" a="1"/>
  <c r="G62" i="12"/>
  <c r="E63" i="13" a="1"/>
  <c r="R63" i="13"/>
  <c r="E64" i="13" a="1"/>
  <c r="N64" i="13"/>
  <c r="E91" i="12" a="1"/>
  <c r="AD91" i="12"/>
  <c r="E86" i="15" a="1"/>
  <c r="H86" i="15"/>
  <c r="E59" i="14" a="1"/>
  <c r="AF59" i="14"/>
  <c r="E88" i="18" a="1"/>
  <c r="Z88" i="18"/>
  <c r="E87" i="12" a="1"/>
  <c r="R87" i="12"/>
  <c r="E90" i="13" a="1"/>
  <c r="Z90" i="13"/>
  <c r="E87" i="17" a="1"/>
  <c r="Y87" i="17"/>
  <c r="E90" i="15" a="1"/>
  <c r="L90" i="15"/>
  <c r="E91" i="16" a="1"/>
  <c r="M91" i="16"/>
  <c r="E61" i="15" a="1"/>
  <c r="Y61" i="15"/>
  <c r="E60" i="18" a="1"/>
  <c r="E60" i="18"/>
  <c r="CR60" i="10"/>
  <c r="G60" i="10"/>
  <c r="CF56" i="10"/>
  <c r="F56" i="10"/>
  <c r="CP56" i="10"/>
  <c r="N32" i="13" a="1"/>
  <c r="N32" i="13"/>
  <c r="CR56" i="10"/>
  <c r="U32" i="14" a="1"/>
  <c r="U33" i="14"/>
  <c r="F60" i="10"/>
  <c r="CC61" i="10"/>
  <c r="AO56" i="10"/>
  <c r="CN56" i="10"/>
  <c r="AW61" i="10"/>
  <c r="CJ60" i="10"/>
  <c r="H56" i="10"/>
  <c r="CF60" i="10"/>
  <c r="CQ56" i="10"/>
  <c r="CQ60" i="10"/>
  <c r="G56" i="10"/>
  <c r="BY60" i="10"/>
  <c r="CN60" i="10"/>
  <c r="AG32" i="14" a="1"/>
  <c r="AG37" i="14"/>
  <c r="O61" i="10"/>
  <c r="AC32" i="18" a="1"/>
  <c r="AC38" i="18"/>
  <c r="CO56" i="10"/>
  <c r="CI60" i="10"/>
  <c r="M32" i="14" a="1"/>
  <c r="M38" i="14"/>
  <c r="CG61" i="10"/>
  <c r="BS56" i="10"/>
  <c r="E56" i="10"/>
  <c r="CG60" i="10"/>
  <c r="CC60" i="10"/>
  <c r="S56" i="10"/>
  <c r="CB56" i="10"/>
  <c r="CE60" i="10"/>
  <c r="H60" i="10"/>
  <c r="CK60" i="10"/>
  <c r="P60" i="10"/>
  <c r="O60" i="10"/>
  <c r="CH60" i="10"/>
  <c r="AJ32" i="13" a="1"/>
  <c r="AJ32" i="13"/>
  <c r="BL61" i="10"/>
  <c r="BG56" i="10"/>
  <c r="AN60" i="10"/>
  <c r="E61" i="10"/>
  <c r="AH56" i="10"/>
  <c r="E60" i="10"/>
  <c r="CB60" i="10"/>
  <c r="CL60" i="10"/>
  <c r="S60" i="10"/>
  <c r="K60" i="10"/>
  <c r="G61" i="10"/>
  <c r="AH32" i="13" a="1"/>
  <c r="AH36" i="13"/>
  <c r="CO60" i="10"/>
  <c r="K56" i="10"/>
  <c r="CM60" i="10"/>
  <c r="BV61" i="10"/>
  <c r="X32" i="13" a="1"/>
  <c r="X36" i="13"/>
  <c r="BV60" i="10"/>
  <c r="AZ56" i="10"/>
  <c r="M32" i="18" a="1"/>
  <c r="M32" i="18"/>
  <c r="I60" i="10"/>
  <c r="X61" i="10"/>
  <c r="W32" i="13" a="1"/>
  <c r="W33" i="13"/>
  <c r="AU56" i="10"/>
  <c r="BR61" i="10"/>
  <c r="S32" i="14" a="1"/>
  <c r="S32" i="14"/>
  <c r="BU56" i="10"/>
  <c r="CD60" i="10"/>
  <c r="AA32" i="13" a="1"/>
  <c r="AA33" i="13"/>
  <c r="BX61" i="10"/>
  <c r="AD32" i="18" a="1"/>
  <c r="AD34" i="18"/>
  <c r="AE32" i="14" a="1"/>
  <c r="AE35" i="14"/>
  <c r="BS61" i="10"/>
  <c r="S32" i="13" a="1"/>
  <c r="S35" i="13"/>
  <c r="Q60" i="10"/>
  <c r="BH61" i="10"/>
  <c r="F61" i="10"/>
  <c r="CP60" i="10"/>
  <c r="AK60" i="10"/>
  <c r="BD60" i="10"/>
  <c r="X60" i="10"/>
  <c r="AG61" i="10"/>
  <c r="AJ60" i="10"/>
  <c r="R56" i="10"/>
  <c r="AQ60" i="10"/>
  <c r="BJ60" i="10"/>
  <c r="AC61" i="10"/>
  <c r="S61" i="10"/>
  <c r="I32" i="18" a="1"/>
  <c r="I34" i="18"/>
  <c r="L32" i="13" a="1"/>
  <c r="L32" i="13"/>
  <c r="AF32" i="18" a="1"/>
  <c r="AF35" i="18"/>
  <c r="AC60" i="10"/>
  <c r="AW60" i="10"/>
  <c r="AP60" i="10"/>
  <c r="AY60" i="10"/>
  <c r="AH60" i="10"/>
  <c r="AV60" i="10"/>
  <c r="BK60" i="10"/>
  <c r="AX60" i="10"/>
  <c r="W61" i="10"/>
  <c r="AX61" i="10"/>
  <c r="N61" i="10"/>
  <c r="AK32" i="13" a="1"/>
  <c r="AK34" i="13"/>
  <c r="AB61" i="10"/>
  <c r="V61" i="10"/>
  <c r="T61" i="10"/>
  <c r="I61" i="10"/>
  <c r="I32" i="13" a="1"/>
  <c r="I33" i="13"/>
  <c r="AD32" i="13" a="1"/>
  <c r="AD34" i="13"/>
  <c r="O32" i="13" a="1"/>
  <c r="O32" i="13"/>
  <c r="AN56" i="10"/>
  <c r="AJ56" i="10"/>
  <c r="AE56" i="10"/>
  <c r="AS56" i="10"/>
  <c r="AT56" i="10"/>
  <c r="AB32" i="18" a="1"/>
  <c r="AB38" i="18"/>
  <c r="AY56" i="10"/>
  <c r="BC56" i="10"/>
  <c r="H32" i="18" a="1"/>
  <c r="H35" i="18"/>
  <c r="AP56" i="10"/>
  <c r="Q32" i="18" a="1"/>
  <c r="Q36" i="18"/>
  <c r="T32" i="18" a="1"/>
  <c r="T38" i="18"/>
  <c r="BS60" i="10"/>
  <c r="O32" i="18" a="1"/>
  <c r="O36" i="18"/>
  <c r="AX56" i="10"/>
  <c r="AV56" i="10"/>
  <c r="AA56" i="10"/>
  <c r="L56" i="10"/>
  <c r="AG56" i="10"/>
  <c r="CE56" i="10"/>
  <c r="BU61" i="10"/>
  <c r="Q32" i="13" a="1"/>
  <c r="Q35" i="13"/>
  <c r="AL32" i="18" a="1"/>
  <c r="AL36" i="18"/>
  <c r="BT56" i="10"/>
  <c r="CQ61" i="10"/>
  <c r="R32" i="14" a="1"/>
  <c r="R36" i="14"/>
  <c r="CG56" i="10"/>
  <c r="CL61" i="10"/>
  <c r="BZ60" i="10"/>
  <c r="CP61" i="10"/>
  <c r="J32" i="14" a="1"/>
  <c r="J36" i="14"/>
  <c r="M60" i="10"/>
  <c r="BI60" i="10"/>
  <c r="BF60" i="10"/>
  <c r="BB60" i="10"/>
  <c r="AI60" i="10"/>
  <c r="AF60" i="10"/>
  <c r="AL61" i="10"/>
  <c r="Q61" i="10"/>
  <c r="H61" i="10"/>
  <c r="AU61" i="10"/>
  <c r="BC61" i="10"/>
  <c r="BE61" i="10"/>
  <c r="AP61" i="10"/>
  <c r="U61" i="10"/>
  <c r="R32" i="18" a="1"/>
  <c r="R32" i="18"/>
  <c r="AK56" i="10"/>
  <c r="P56" i="10"/>
  <c r="BA56" i="10"/>
  <c r="W56" i="10"/>
  <c r="I56" i="10"/>
  <c r="J56" i="10"/>
  <c r="S32" i="18" a="1"/>
  <c r="S32" i="18"/>
  <c r="N32" i="18" a="1"/>
  <c r="N37" i="18"/>
  <c r="Z32" i="18" a="1"/>
  <c r="Z37" i="18"/>
  <c r="X32" i="18" a="1"/>
  <c r="X32" i="18"/>
  <c r="CM56" i="10"/>
  <c r="AS60" i="10"/>
  <c r="BG60" i="10"/>
  <c r="P32" i="14" a="1"/>
  <c r="P35" i="14"/>
  <c r="BM60" i="10"/>
  <c r="BU60" i="10"/>
  <c r="BP61" i="10"/>
  <c r="BW60" i="10"/>
  <c r="BT61" i="10"/>
  <c r="U32" i="13" a="1"/>
  <c r="U36" i="13"/>
  <c r="AH32" i="18" a="1"/>
  <c r="AH34" i="18"/>
  <c r="BI56" i="10"/>
  <c r="BL56" i="10"/>
  <c r="V32" i="18" a="1"/>
  <c r="V35" i="18"/>
  <c r="W32" i="14" a="1"/>
  <c r="W36" i="14"/>
  <c r="AC32" i="13" a="1"/>
  <c r="AC38" i="13"/>
  <c r="AI32" i="18" a="1"/>
  <c r="AI33" i="18"/>
  <c r="BB56" i="10"/>
  <c r="Z56" i="10"/>
  <c r="Z32" i="14" a="1"/>
  <c r="Z36" i="14"/>
  <c r="BY61" i="10"/>
  <c r="CH61" i="10"/>
  <c r="CF61" i="10"/>
  <c r="AB32" i="14" a="1"/>
  <c r="AB35" i="14"/>
  <c r="BY56" i="10"/>
  <c r="BP60" i="10"/>
  <c r="CB61" i="10"/>
  <c r="BW61" i="10"/>
  <c r="AG32" i="13" a="1"/>
  <c r="AG37" i="13"/>
  <c r="W60" i="10"/>
  <c r="Z60" i="10"/>
  <c r="V60" i="10"/>
  <c r="R60" i="10"/>
  <c r="AL60" i="10"/>
  <c r="AU60" i="10"/>
  <c r="T32" i="14" a="1"/>
  <c r="T32" i="14"/>
  <c r="AZ60" i="10"/>
  <c r="Y60" i="10"/>
  <c r="H32" i="14" a="1"/>
  <c r="H32" i="14"/>
  <c r="X32" i="14" a="1"/>
  <c r="X38" i="14"/>
  <c r="N32" i="14" a="1"/>
  <c r="N32" i="14"/>
  <c r="BV56" i="10"/>
  <c r="CM61" i="10"/>
  <c r="BX60" i="10"/>
  <c r="CA61" i="10"/>
  <c r="BO56" i="10"/>
  <c r="CO61" i="10"/>
  <c r="BR56" i="10"/>
  <c r="BR60" i="10"/>
  <c r="CE61" i="10"/>
  <c r="CH56" i="10"/>
  <c r="BN60" i="10"/>
  <c r="M61" i="10"/>
  <c r="P32" i="13" a="1"/>
  <c r="P33" i="13"/>
  <c r="L61" i="10"/>
  <c r="AN61" i="10"/>
  <c r="AB32" i="13" a="1"/>
  <c r="AB34" i="13"/>
  <c r="J61" i="10"/>
  <c r="AS61" i="10"/>
  <c r="BF61" i="10"/>
  <c r="Y32" i="13" a="1"/>
  <c r="Y33" i="13"/>
  <c r="V32" i="13" a="1"/>
  <c r="V34" i="13"/>
  <c r="J32" i="13" a="1"/>
  <c r="J35" i="13"/>
  <c r="L32" i="18" a="1"/>
  <c r="L35" i="18"/>
  <c r="Y56" i="10"/>
  <c r="AC56" i="10"/>
  <c r="AM56" i="10"/>
  <c r="AF56" i="10"/>
  <c r="V56" i="10"/>
  <c r="BK56" i="10"/>
  <c r="AW56" i="10"/>
  <c r="X56" i="10"/>
  <c r="AA32" i="18" a="1"/>
  <c r="AA38" i="18"/>
  <c r="K32" i="18" a="1"/>
  <c r="K32" i="18"/>
  <c r="AG32" i="18" a="1"/>
  <c r="AG32" i="18"/>
  <c r="BM61" i="10"/>
  <c r="CK56" i="10"/>
  <c r="AJ32" i="14" a="1"/>
  <c r="AJ34" i="14"/>
  <c r="AR61" i="10"/>
  <c r="K32" i="13" a="1"/>
  <c r="K32" i="13"/>
  <c r="AE60" i="10"/>
  <c r="AR60" i="10"/>
  <c r="AM60" i="10"/>
  <c r="K32" i="14" a="1"/>
  <c r="K33" i="14"/>
  <c r="CA60" i="10"/>
  <c r="BQ60" i="10"/>
  <c r="BX56" i="10"/>
  <c r="BQ61" i="10"/>
  <c r="U32" i="18" a="1"/>
  <c r="U36" i="18"/>
  <c r="M56" i="10"/>
  <c r="AB56" i="10"/>
  <c r="BM56" i="10"/>
  <c r="O32" i="14" a="1"/>
  <c r="O35" i="14"/>
  <c r="CI56" i="10"/>
  <c r="BT60" i="10"/>
  <c r="CC56" i="10"/>
  <c r="Z32" i="13" a="1"/>
  <c r="Z38" i="13"/>
  <c r="AO60" i="10"/>
  <c r="T60" i="10"/>
  <c r="AD60" i="10"/>
  <c r="BH60" i="10"/>
  <c r="BE60" i="10"/>
  <c r="J60" i="10"/>
  <c r="I32" i="14" a="1"/>
  <c r="I32" i="14"/>
  <c r="L32" i="14" a="1"/>
  <c r="L33" i="14"/>
  <c r="AH32" i="14" a="1"/>
  <c r="AH32" i="14"/>
  <c r="AD32" i="14" a="1"/>
  <c r="AD37" i="14"/>
  <c r="Q32" i="14" a="1"/>
  <c r="Q34" i="14"/>
  <c r="CD61" i="10"/>
  <c r="BZ56" i="10"/>
  <c r="CI61" i="10"/>
  <c r="BW56" i="10"/>
  <c r="BN56" i="10"/>
  <c r="CD56" i="10"/>
  <c r="BB61" i="10"/>
  <c r="BG61" i="10"/>
  <c r="Y61" i="10"/>
  <c r="BJ61" i="10"/>
  <c r="Z61" i="10"/>
  <c r="AQ61" i="10"/>
  <c r="AY61" i="10"/>
  <c r="K61" i="10"/>
  <c r="BI61" i="10"/>
  <c r="AF32" i="13" a="1"/>
  <c r="AF33" i="13"/>
  <c r="AL32" i="13" a="1"/>
  <c r="AL34" i="13"/>
  <c r="M32" i="13" a="1"/>
  <c r="M35" i="13"/>
  <c r="AE32" i="18" a="1"/>
  <c r="AE37" i="18"/>
  <c r="BH56" i="10"/>
  <c r="AJ32" i="18" a="1"/>
  <c r="AJ33" i="18"/>
  <c r="BE56" i="10"/>
  <c r="AD56" i="10"/>
  <c r="E19" i="10" a="1"/>
  <c r="G19" i="10"/>
  <c r="U56" i="10"/>
  <c r="AR56" i="10"/>
  <c r="Y32" i="18" a="1"/>
  <c r="Y33" i="18"/>
  <c r="W32" i="18" a="1"/>
  <c r="W32" i="18"/>
  <c r="CN61" i="10"/>
  <c r="BQ56" i="10"/>
  <c r="CR61" i="10"/>
  <c r="AI32" i="14" a="1"/>
  <c r="AI33" i="14"/>
  <c r="R61" i="10"/>
  <c r="AZ61" i="10"/>
  <c r="BK61" i="10"/>
  <c r="AE32" i="13" a="1"/>
  <c r="AE35" i="13"/>
  <c r="BP56" i="10"/>
  <c r="AG60" i="10"/>
  <c r="BA60" i="10"/>
  <c r="AA60" i="10"/>
  <c r="AB60" i="10"/>
  <c r="CJ61" i="10"/>
  <c r="CK61" i="10"/>
  <c r="BN61" i="10"/>
  <c r="BO61" i="10"/>
  <c r="AH61" i="10"/>
  <c r="AF61" i="10"/>
  <c r="BA61" i="10"/>
  <c r="P61" i="10"/>
  <c r="AA61" i="10"/>
  <c r="AD61" i="10"/>
  <c r="BD61" i="10"/>
  <c r="J32" i="18" a="1"/>
  <c r="J35" i="18"/>
  <c r="O56" i="10"/>
  <c r="BJ56" i="10"/>
  <c r="V32" i="14" a="1"/>
  <c r="V36" i="14"/>
  <c r="CA56" i="10"/>
  <c r="BO60" i="10"/>
  <c r="AF32" i="14" a="1"/>
  <c r="AF32" i="14"/>
  <c r="BZ61" i="10"/>
  <c r="H32" i="13" a="1"/>
  <c r="H36" i="13"/>
  <c r="CJ56" i="10"/>
  <c r="U60" i="10"/>
  <c r="AK32" i="14" a="1"/>
  <c r="AK35" i="14"/>
  <c r="L60" i="10"/>
  <c r="Y32" i="14" a="1"/>
  <c r="Y36" i="14"/>
  <c r="BL60" i="10"/>
  <c r="N60" i="10"/>
  <c r="BC60" i="10"/>
  <c r="AT60" i="10"/>
  <c r="AL32" i="14" a="1"/>
  <c r="AL35" i="14"/>
  <c r="AC32" i="14" a="1"/>
  <c r="AC32" i="14"/>
  <c r="AA32" i="14" a="1"/>
  <c r="AA34" i="14"/>
  <c r="CL56" i="10"/>
  <c r="AI61" i="10"/>
  <c r="AM61" i="10"/>
  <c r="AJ61" i="10"/>
  <c r="AI32" i="13" a="1"/>
  <c r="AI33" i="13"/>
  <c r="AK61" i="10"/>
  <c r="AO61" i="10"/>
  <c r="AT61" i="10"/>
  <c r="AV61" i="10"/>
  <c r="AE61" i="10"/>
  <c r="T32" i="13" a="1"/>
  <c r="T36" i="13"/>
  <c r="R32" i="13" a="1"/>
  <c r="R34" i="13"/>
  <c r="AK32" i="18" a="1"/>
  <c r="AK38" i="18"/>
  <c r="AI56" i="10"/>
  <c r="BF56" i="10"/>
  <c r="N56" i="10"/>
  <c r="T56" i="10"/>
  <c r="BD56" i="10"/>
  <c r="Q56" i="10"/>
  <c r="AQ56" i="10"/>
  <c r="AL56" i="10"/>
  <c r="P32" i="18" a="1"/>
  <c r="P33" i="18"/>
  <c r="H90" i="18"/>
  <c r="S63" i="16"/>
  <c r="E98" i="14" a="1"/>
  <c r="V98" i="14"/>
  <c r="E74" i="14" a="1"/>
  <c r="T74" i="14"/>
  <c r="E68" i="16" a="1"/>
  <c r="G68" i="16"/>
  <c r="E68" i="15" a="1"/>
  <c r="AL68" i="15"/>
  <c r="E97" i="17" a="1"/>
  <c r="AH97" i="17"/>
  <c r="E69" i="12" a="1"/>
  <c r="K69" i="12"/>
  <c r="E100" i="13" a="1"/>
  <c r="E74" i="12" a="1"/>
  <c r="E98" i="15" a="1"/>
  <c r="E72" i="17" a="1"/>
  <c r="E69" i="14" a="1"/>
  <c r="E70" i="13" a="1"/>
  <c r="E70" i="18" a="1"/>
  <c r="E97" i="16" a="1"/>
  <c r="E100" i="14" a="1"/>
  <c r="E70" i="17" a="1"/>
  <c r="E73" i="16" a="1"/>
  <c r="E73" i="15" a="1"/>
  <c r="E71" i="14" a="1"/>
  <c r="E68" i="14" a="1"/>
  <c r="E69" i="17" a="1"/>
  <c r="E99" i="17" a="1"/>
  <c r="E98" i="13" a="1"/>
  <c r="E69" i="13" a="1"/>
  <c r="E100" i="18" a="1"/>
  <c r="E68" i="18" a="1"/>
  <c r="E69" i="16" a="1"/>
  <c r="E99" i="16" a="1"/>
  <c r="E68" i="12" a="1"/>
  <c r="E71" i="13" a="1"/>
  <c r="E73" i="18" a="1"/>
  <c r="E101" i="16" a="1"/>
  <c r="E99" i="15" a="1"/>
  <c r="E100" i="17" a="1"/>
  <c r="E72" i="16" a="1"/>
  <c r="E74" i="15" a="1"/>
  <c r="E98" i="17" a="1"/>
  <c r="E72" i="13" a="1"/>
  <c r="E69" i="18" a="1"/>
  <c r="E96" i="16" a="1"/>
  <c r="F26" i="13"/>
  <c r="E100" i="15" a="1"/>
  <c r="E101" i="14" a="1"/>
  <c r="E73" i="14" a="1"/>
  <c r="E74" i="17" a="1"/>
  <c r="E95" i="13" a="1"/>
  <c r="E101" i="13" a="1"/>
  <c r="E95" i="18" a="1"/>
  <c r="E96" i="18" a="1"/>
  <c r="E98" i="16" a="1"/>
  <c r="E96" i="12" a="1"/>
  <c r="E70" i="12" a="1"/>
  <c r="E99" i="18" a="1"/>
  <c r="E97" i="15" a="1"/>
  <c r="E97" i="14" a="1"/>
  <c r="E71" i="17" a="1"/>
  <c r="E96" i="13" a="1"/>
  <c r="E97" i="12" a="1"/>
  <c r="E98" i="12" a="1"/>
  <c r="E96" i="15" a="1"/>
  <c r="E70" i="14" a="1"/>
  <c r="G26" i="13"/>
  <c r="E68" i="13" a="1"/>
  <c r="E71" i="12" a="1"/>
  <c r="E72" i="15" a="1"/>
  <c r="E69" i="15" a="1"/>
  <c r="E96" i="14" a="1"/>
  <c r="E72" i="14" a="1"/>
  <c r="E101" i="17" a="1"/>
  <c r="E74" i="13" a="1"/>
  <c r="E74" i="18" a="1"/>
  <c r="E101" i="18" a="1"/>
  <c r="E95" i="16" a="1"/>
  <c r="E73" i="12" a="1"/>
  <c r="E72" i="12" a="1"/>
  <c r="E70" i="15" a="1"/>
  <c r="E101" i="15" a="1"/>
  <c r="E99" i="14" a="1"/>
  <c r="E73" i="17" a="1"/>
  <c r="E95" i="17" a="1"/>
  <c r="E99" i="13" a="1"/>
  <c r="E98" i="18" a="1"/>
  <c r="E97" i="18" a="1"/>
  <c r="E70" i="16" a="1"/>
  <c r="E71" i="16" a="1"/>
  <c r="E100" i="12" a="1"/>
  <c r="E95" i="12" a="1"/>
  <c r="E95" i="15" a="1"/>
  <c r="E71" i="15" a="1"/>
  <c r="E95" i="14" a="1"/>
  <c r="E96" i="17" a="1"/>
  <c r="E68" i="17" a="1"/>
  <c r="E97" i="13" a="1"/>
  <c r="E73" i="13" a="1"/>
  <c r="E72" i="18" a="1"/>
  <c r="E71" i="18" a="1"/>
  <c r="E74" i="16" a="1"/>
  <c r="E99" i="12" a="1"/>
  <c r="E101" i="12" a="1"/>
  <c r="AK33" i="15"/>
  <c r="AK35" i="15"/>
  <c r="AK36" i="15"/>
  <c r="AK37" i="15"/>
  <c r="AK34" i="15"/>
  <c r="AK38" i="15"/>
  <c r="AK32" i="15"/>
  <c r="Y32" i="15"/>
  <c r="Y37" i="15"/>
  <c r="Y38" i="15"/>
  <c r="Y35" i="15"/>
  <c r="Y34" i="15"/>
  <c r="Y33" i="15"/>
  <c r="Y36" i="15"/>
  <c r="S37" i="15"/>
  <c r="S33" i="15"/>
  <c r="S38" i="15"/>
  <c r="S32" i="15"/>
  <c r="S36" i="15"/>
  <c r="S35" i="15"/>
  <c r="S34" i="15"/>
  <c r="AB35" i="15"/>
  <c r="AB37" i="15"/>
  <c r="AB34" i="15"/>
  <c r="AB38" i="15"/>
  <c r="AB32" i="15"/>
  <c r="AB36" i="15"/>
  <c r="AB33" i="15"/>
  <c r="Z35" i="16"/>
  <c r="Z32" i="16"/>
  <c r="Z33" i="16"/>
  <c r="Z37" i="16"/>
  <c r="Z36" i="16"/>
  <c r="Z38" i="16"/>
  <c r="Z34" i="16"/>
  <c r="L33" i="16"/>
  <c r="L35" i="16"/>
  <c r="L34" i="16"/>
  <c r="L36" i="16"/>
  <c r="L32" i="16"/>
  <c r="L38" i="16"/>
  <c r="L37" i="16"/>
  <c r="AJ35" i="16"/>
  <c r="AJ34" i="16"/>
  <c r="AJ37" i="16"/>
  <c r="AJ36" i="16"/>
  <c r="AJ33" i="16"/>
  <c r="AJ32" i="16"/>
  <c r="AJ38" i="16"/>
  <c r="I35" i="15"/>
  <c r="I34" i="15"/>
  <c r="I36" i="15"/>
  <c r="I33" i="15"/>
  <c r="I32" i="15"/>
  <c r="I38" i="15"/>
  <c r="I37" i="15"/>
  <c r="Q33" i="15"/>
  <c r="Q37" i="15"/>
  <c r="Q35" i="15"/>
  <c r="Q38" i="15"/>
  <c r="Q34" i="15"/>
  <c r="Q36" i="15"/>
  <c r="Q32" i="15"/>
  <c r="O33" i="15"/>
  <c r="O32" i="15"/>
  <c r="O34" i="15"/>
  <c r="O36" i="15"/>
  <c r="O38" i="15"/>
  <c r="O35" i="15"/>
  <c r="O37" i="15"/>
  <c r="AI33" i="15"/>
  <c r="AI38" i="15"/>
  <c r="AI34" i="15"/>
  <c r="AI37" i="15"/>
  <c r="AI36" i="15"/>
  <c r="AI35" i="15"/>
  <c r="AI32" i="15"/>
  <c r="W32" i="15"/>
  <c r="W34" i="15"/>
  <c r="W38" i="15"/>
  <c r="W36" i="15"/>
  <c r="W35" i="15"/>
  <c r="W33" i="15"/>
  <c r="W37" i="15"/>
  <c r="I33" i="16"/>
  <c r="I36" i="16"/>
  <c r="I34" i="16"/>
  <c r="I37" i="16"/>
  <c r="I38" i="16"/>
  <c r="I35" i="16"/>
  <c r="I32" i="16"/>
  <c r="AB34" i="16"/>
  <c r="AB35" i="16"/>
  <c r="AB32" i="16"/>
  <c r="AB33" i="16"/>
  <c r="AB37" i="16"/>
  <c r="AB38" i="16"/>
  <c r="AB36" i="16"/>
  <c r="AI34" i="16"/>
  <c r="AI38" i="16"/>
  <c r="AI36" i="16"/>
  <c r="AI37" i="16"/>
  <c r="AI33" i="16"/>
  <c r="AI32" i="16"/>
  <c r="AI35" i="16"/>
  <c r="O32" i="16"/>
  <c r="O38" i="16"/>
  <c r="O33" i="16"/>
  <c r="O37" i="16"/>
  <c r="O36" i="16"/>
  <c r="O34" i="16"/>
  <c r="O35" i="16"/>
  <c r="R32" i="16"/>
  <c r="R34" i="16"/>
  <c r="R36" i="16"/>
  <c r="R35" i="16"/>
  <c r="R33" i="16"/>
  <c r="R38" i="16"/>
  <c r="R37" i="16"/>
  <c r="K35" i="16"/>
  <c r="K36" i="16"/>
  <c r="K37" i="16"/>
  <c r="K33" i="16"/>
  <c r="K38" i="16"/>
  <c r="K32" i="16"/>
  <c r="K34" i="16"/>
  <c r="K37" i="15"/>
  <c r="K34" i="15"/>
  <c r="K32" i="15"/>
  <c r="K38" i="15"/>
  <c r="K36" i="15"/>
  <c r="K35" i="15"/>
  <c r="K33" i="15"/>
  <c r="AG32" i="15"/>
  <c r="AG34" i="15"/>
  <c r="AG36" i="15"/>
  <c r="AG37" i="15"/>
  <c r="AG38" i="15"/>
  <c r="AG35" i="15"/>
  <c r="AG33" i="15"/>
  <c r="AD38" i="16"/>
  <c r="AD35" i="16"/>
  <c r="AD33" i="16"/>
  <c r="AD34" i="16"/>
  <c r="AD36" i="16"/>
  <c r="AD37" i="16"/>
  <c r="AD32" i="16"/>
  <c r="AA33" i="15"/>
  <c r="AA37" i="15"/>
  <c r="AA35" i="15"/>
  <c r="AA34" i="15"/>
  <c r="AA38" i="15"/>
  <c r="AA36" i="15"/>
  <c r="AA32" i="15"/>
  <c r="T33" i="15"/>
  <c r="T34" i="15"/>
  <c r="T38" i="15"/>
  <c r="T35" i="15"/>
  <c r="T32" i="15"/>
  <c r="T37" i="15"/>
  <c r="T36" i="15"/>
  <c r="H34" i="16"/>
  <c r="H35" i="16"/>
  <c r="H37" i="16"/>
  <c r="H32" i="16"/>
  <c r="H38" i="16"/>
  <c r="H36" i="16"/>
  <c r="H33" i="16"/>
  <c r="J33" i="16"/>
  <c r="J35" i="16"/>
  <c r="J34" i="16"/>
  <c r="J37" i="16"/>
  <c r="J38" i="16"/>
  <c r="J32" i="16"/>
  <c r="J36" i="16"/>
  <c r="P36" i="15"/>
  <c r="P32" i="15"/>
  <c r="P35" i="15"/>
  <c r="P37" i="15"/>
  <c r="P34" i="15"/>
  <c r="P33" i="15"/>
  <c r="P38" i="15"/>
  <c r="X34" i="15"/>
  <c r="X38" i="15"/>
  <c r="X33" i="15"/>
  <c r="X32" i="15"/>
  <c r="X36" i="15"/>
  <c r="X37" i="15"/>
  <c r="X35" i="15"/>
  <c r="N37" i="15"/>
  <c r="N34" i="15"/>
  <c r="N38" i="15"/>
  <c r="N36" i="15"/>
  <c r="N32" i="15"/>
  <c r="N35" i="15"/>
  <c r="N33" i="15"/>
  <c r="AJ38" i="15"/>
  <c r="AJ32" i="15"/>
  <c r="AJ36" i="15"/>
  <c r="AJ37" i="15"/>
  <c r="AJ33" i="15"/>
  <c r="AJ34" i="15"/>
  <c r="AJ35" i="15"/>
  <c r="S38" i="16"/>
  <c r="S37" i="16"/>
  <c r="S35" i="16"/>
  <c r="S32" i="16"/>
  <c r="S36" i="16"/>
  <c r="S33" i="16"/>
  <c r="S34" i="16"/>
  <c r="AC32" i="16"/>
  <c r="AC34" i="16"/>
  <c r="AC38" i="16"/>
  <c r="AC35" i="16"/>
  <c r="AC37" i="16"/>
  <c r="AC33" i="16"/>
  <c r="AC36" i="16"/>
  <c r="AL32" i="16"/>
  <c r="AL38" i="16"/>
  <c r="AL35" i="16"/>
  <c r="AL33" i="16"/>
  <c r="AL37" i="16"/>
  <c r="AL34" i="16"/>
  <c r="AL36" i="16"/>
  <c r="N32" i="16"/>
  <c r="N38" i="16"/>
  <c r="N36" i="16"/>
  <c r="N37" i="16"/>
  <c r="N34" i="16"/>
  <c r="N35" i="16"/>
  <c r="N33" i="16"/>
  <c r="X37" i="16"/>
  <c r="X35" i="16"/>
  <c r="X38" i="16"/>
  <c r="X34" i="16"/>
  <c r="X33" i="16"/>
  <c r="X32" i="16"/>
  <c r="X36" i="16"/>
  <c r="AF33" i="16"/>
  <c r="AF32" i="16"/>
  <c r="AF37" i="16"/>
  <c r="AF34" i="16"/>
  <c r="AF38" i="16"/>
  <c r="AF35" i="16"/>
  <c r="AF36" i="16"/>
  <c r="AC32" i="15"/>
  <c r="AC38" i="15"/>
  <c r="AC37" i="15"/>
  <c r="AC34" i="15"/>
  <c r="AC33" i="15"/>
  <c r="AC35" i="15"/>
  <c r="AC36" i="15"/>
  <c r="L36" i="15"/>
  <c r="L38" i="15"/>
  <c r="L33" i="15"/>
  <c r="L37" i="15"/>
  <c r="L34" i="15"/>
  <c r="L35" i="15"/>
  <c r="L32" i="15"/>
  <c r="V32" i="15"/>
  <c r="V33" i="15"/>
  <c r="V37" i="15"/>
  <c r="V34" i="15"/>
  <c r="V35" i="15"/>
  <c r="V36" i="15"/>
  <c r="V38" i="15"/>
  <c r="R35" i="15"/>
  <c r="R33" i="15"/>
  <c r="R37" i="15"/>
  <c r="R36" i="15"/>
  <c r="R38" i="15"/>
  <c r="R32" i="15"/>
  <c r="R34" i="15"/>
  <c r="W38" i="16"/>
  <c r="W37" i="16"/>
  <c r="W33" i="16"/>
  <c r="W32" i="16"/>
  <c r="W35" i="16"/>
  <c r="W34" i="16"/>
  <c r="W36" i="16"/>
  <c r="U37" i="16"/>
  <c r="U34" i="16"/>
  <c r="U33" i="16"/>
  <c r="U38" i="16"/>
  <c r="U35" i="16"/>
  <c r="U36" i="16"/>
  <c r="U32" i="16"/>
  <c r="V34" i="16"/>
  <c r="V32" i="16"/>
  <c r="V33" i="16"/>
  <c r="V38" i="16"/>
  <c r="V35" i="16"/>
  <c r="V37" i="16"/>
  <c r="V36" i="16"/>
  <c r="AK32" i="16"/>
  <c r="AK38" i="16"/>
  <c r="AK36" i="16"/>
  <c r="AK37" i="16"/>
  <c r="AK34" i="16"/>
  <c r="AK33" i="16"/>
  <c r="AK35" i="16"/>
  <c r="AA35" i="16"/>
  <c r="AA36" i="16"/>
  <c r="AA38" i="16"/>
  <c r="AA32" i="16"/>
  <c r="AA33" i="16"/>
  <c r="AA37" i="16"/>
  <c r="AA34" i="16"/>
  <c r="AE36" i="15"/>
  <c r="AE34" i="15"/>
  <c r="AE37" i="15"/>
  <c r="AE33" i="15"/>
  <c r="AE38" i="15"/>
  <c r="AE32" i="15"/>
  <c r="AE35" i="15"/>
  <c r="M34" i="15"/>
  <c r="M37" i="15"/>
  <c r="M35" i="15"/>
  <c r="M32" i="15"/>
  <c r="M38" i="15"/>
  <c r="M36" i="15"/>
  <c r="M33" i="15"/>
  <c r="AD37" i="15"/>
  <c r="AD32" i="15"/>
  <c r="AD35" i="15"/>
  <c r="AD34" i="15"/>
  <c r="AD36" i="15"/>
  <c r="AD33" i="15"/>
  <c r="AD38" i="15"/>
  <c r="U33" i="15"/>
  <c r="U35" i="15"/>
  <c r="U38" i="15"/>
  <c r="U37" i="15"/>
  <c r="U34" i="15"/>
  <c r="U36" i="15"/>
  <c r="U32" i="15"/>
  <c r="T37" i="16"/>
  <c r="T33" i="16"/>
  <c r="T35" i="16"/>
  <c r="T36" i="16"/>
  <c r="T34" i="16"/>
  <c r="T38" i="16"/>
  <c r="T32" i="16"/>
  <c r="M33" i="16"/>
  <c r="M34" i="16"/>
  <c r="M35" i="16"/>
  <c r="M37" i="16"/>
  <c r="M32" i="16"/>
  <c r="M36" i="16"/>
  <c r="M38" i="16"/>
  <c r="Y37" i="16"/>
  <c r="Y32" i="16"/>
  <c r="Y36" i="16"/>
  <c r="Y34" i="16"/>
  <c r="Y35" i="16"/>
  <c r="Y38" i="16"/>
  <c r="Y33" i="16"/>
  <c r="H34" i="15"/>
  <c r="H36" i="15"/>
  <c r="H38" i="15"/>
  <c r="H37" i="15"/>
  <c r="H35" i="15"/>
  <c r="H32" i="15"/>
  <c r="H33" i="15"/>
  <c r="Q35" i="16"/>
  <c r="Q34" i="16"/>
  <c r="Q32" i="16"/>
  <c r="Q38" i="16"/>
  <c r="Q36" i="16"/>
  <c r="Q33" i="16"/>
  <c r="Q37" i="16"/>
  <c r="J36" i="15"/>
  <c r="J37" i="15"/>
  <c r="J34" i="15"/>
  <c r="J32" i="15"/>
  <c r="J33" i="15"/>
  <c r="J35" i="15"/>
  <c r="J38" i="15"/>
  <c r="AF32" i="15"/>
  <c r="AF37" i="15"/>
  <c r="AF34" i="15"/>
  <c r="AF33" i="15"/>
  <c r="AF36" i="15"/>
  <c r="AF38" i="15"/>
  <c r="AF35" i="15"/>
  <c r="Z37" i="15"/>
  <c r="Z33" i="15"/>
  <c r="Z38" i="15"/>
  <c r="Z36" i="15"/>
  <c r="Z34" i="15"/>
  <c r="Z32" i="15"/>
  <c r="Z35" i="15"/>
  <c r="AL32" i="15"/>
  <c r="AL38" i="15"/>
  <c r="AL35" i="15"/>
  <c r="AL36" i="15"/>
  <c r="AL34" i="15"/>
  <c r="AL33" i="15"/>
  <c r="AL37" i="15"/>
  <c r="AH38" i="15"/>
  <c r="AH35" i="15"/>
  <c r="AH32" i="15"/>
  <c r="AH36" i="15"/>
  <c r="AH33" i="15"/>
  <c r="AH34" i="15"/>
  <c r="AH37" i="15"/>
  <c r="AE38" i="16"/>
  <c r="AE36" i="16"/>
  <c r="AE33" i="16"/>
  <c r="AE35" i="16"/>
  <c r="AE37" i="16"/>
  <c r="AE32" i="16"/>
  <c r="AE34" i="16"/>
  <c r="AG33" i="16"/>
  <c r="AG36" i="16"/>
  <c r="AG37" i="16"/>
  <c r="AG35" i="16"/>
  <c r="AG38" i="16"/>
  <c r="AG34" i="16"/>
  <c r="AG32" i="16"/>
  <c r="P33" i="16"/>
  <c r="P34" i="16"/>
  <c r="P35" i="16"/>
  <c r="P32" i="16"/>
  <c r="P36" i="16"/>
  <c r="P37" i="16"/>
  <c r="P38" i="16"/>
  <c r="AH34" i="16"/>
  <c r="AH36" i="16"/>
  <c r="AH33" i="16"/>
  <c r="AH32" i="16"/>
  <c r="AH35" i="16"/>
  <c r="AH38" i="16"/>
  <c r="AH37" i="16"/>
  <c r="M33" i="17"/>
  <c r="AK36" i="12"/>
  <c r="AK32" i="12"/>
  <c r="V35" i="12"/>
  <c r="X38" i="12"/>
  <c r="Q33" i="12"/>
  <c r="Q34" i="12"/>
  <c r="V38" i="12"/>
  <c r="M35" i="12"/>
  <c r="AB36" i="12"/>
  <c r="M38" i="12"/>
  <c r="AA33" i="12"/>
  <c r="AK33" i="12"/>
  <c r="M37" i="12"/>
  <c r="AB32" i="12"/>
  <c r="Y36" i="17"/>
  <c r="AA35" i="12"/>
  <c r="AK37" i="12"/>
  <c r="Z37" i="12"/>
  <c r="AL32" i="12"/>
  <c r="M33" i="12"/>
  <c r="R36" i="12"/>
  <c r="K33" i="12"/>
  <c r="AI36" i="12"/>
  <c r="AB37" i="12"/>
  <c r="AB38" i="12"/>
  <c r="AA36" i="12"/>
  <c r="AK38" i="12"/>
  <c r="AI32" i="12"/>
  <c r="K32" i="12"/>
  <c r="Y32" i="12"/>
  <c r="N35" i="17"/>
  <c r="AF34" i="12"/>
  <c r="Q32" i="12"/>
  <c r="AL33" i="12"/>
  <c r="J34" i="17"/>
  <c r="R34" i="12"/>
  <c r="AI34" i="12"/>
  <c r="L35" i="17"/>
  <c r="AB33" i="12"/>
  <c r="Q38" i="12"/>
  <c r="AK36" i="17"/>
  <c r="AA32" i="12"/>
  <c r="AL37" i="12"/>
  <c r="AK35" i="12"/>
  <c r="M34" i="12"/>
  <c r="R32" i="12"/>
  <c r="AI38" i="12"/>
  <c r="AB34" i="12"/>
  <c r="Q36" i="12"/>
  <c r="AK32" i="17"/>
  <c r="J32" i="12"/>
  <c r="AA38" i="12"/>
  <c r="AL34" i="12"/>
  <c r="J35" i="17"/>
  <c r="AI37" i="12"/>
  <c r="M36" i="12"/>
  <c r="R33" i="12"/>
  <c r="AI33" i="12"/>
  <c r="K36" i="12"/>
  <c r="Q35" i="12"/>
  <c r="AA37" i="12"/>
  <c r="AL36" i="12"/>
  <c r="AF33" i="12"/>
  <c r="R37" i="12"/>
  <c r="K35" i="12"/>
  <c r="AB32" i="17"/>
  <c r="AL35" i="12"/>
  <c r="Q87" i="14"/>
  <c r="Z33" i="17"/>
  <c r="J35" i="12"/>
  <c r="N38" i="12"/>
  <c r="Z37" i="17"/>
  <c r="AH38" i="12"/>
  <c r="J36" i="12"/>
  <c r="AF36" i="12"/>
  <c r="J38" i="12"/>
  <c r="L32" i="17"/>
  <c r="AF32" i="12"/>
  <c r="N35" i="12"/>
  <c r="M38" i="17"/>
  <c r="AE38" i="12"/>
  <c r="AF38" i="12"/>
  <c r="J34" i="12"/>
  <c r="N37" i="12"/>
  <c r="Y38" i="12"/>
  <c r="M32" i="17"/>
  <c r="AE32" i="12"/>
  <c r="AH36" i="12"/>
  <c r="Y33" i="12"/>
  <c r="AE35" i="12"/>
  <c r="H33" i="17"/>
  <c r="L35" i="12"/>
  <c r="AH35" i="12"/>
  <c r="Y34" i="12"/>
  <c r="W36" i="17"/>
  <c r="Q38" i="17"/>
  <c r="W32" i="12"/>
  <c r="AH37" i="12"/>
  <c r="AF37" i="12"/>
  <c r="N34" i="17"/>
  <c r="S35" i="12"/>
  <c r="J33" i="12"/>
  <c r="N36" i="12"/>
  <c r="Y37" i="12"/>
  <c r="T36" i="12"/>
  <c r="AJ36" i="17"/>
  <c r="AE33" i="12"/>
  <c r="AH33" i="12"/>
  <c r="T33" i="12"/>
  <c r="M34" i="17"/>
  <c r="AE37" i="12"/>
  <c r="AH32" i="12"/>
  <c r="X32" i="17"/>
  <c r="T33" i="17"/>
  <c r="Q33" i="17"/>
  <c r="N34" i="12"/>
  <c r="Y36" i="12"/>
  <c r="M36" i="17"/>
  <c r="AJ32" i="17"/>
  <c r="AG37" i="17"/>
  <c r="AE34" i="12"/>
  <c r="L32" i="12"/>
  <c r="T36" i="17"/>
  <c r="Q32" i="17"/>
  <c r="H38" i="17"/>
  <c r="N33" i="12"/>
  <c r="M35" i="17"/>
  <c r="AJ38" i="17"/>
  <c r="AG38" i="17"/>
  <c r="V35" i="17"/>
  <c r="S36" i="17"/>
  <c r="L37" i="17"/>
  <c r="Z33" i="12"/>
  <c r="AC38" i="12"/>
  <c r="W35" i="12"/>
  <c r="Z35" i="12"/>
  <c r="K38" i="12"/>
  <c r="H38" i="12"/>
  <c r="O32" i="12"/>
  <c r="U37" i="12"/>
  <c r="T35" i="12"/>
  <c r="W37" i="12"/>
  <c r="Z38" i="12"/>
  <c r="O34" i="12"/>
  <c r="O33" i="17"/>
  <c r="AC37" i="12"/>
  <c r="T32" i="12"/>
  <c r="W36" i="12"/>
  <c r="Z32" i="12"/>
  <c r="H35" i="12"/>
  <c r="U32" i="12"/>
  <c r="Z34" i="12"/>
  <c r="W38" i="12"/>
  <c r="R38" i="12"/>
  <c r="K37" i="12"/>
  <c r="X36" i="12"/>
  <c r="S34" i="12"/>
  <c r="W33" i="12"/>
  <c r="V36" i="12"/>
  <c r="AA35" i="17"/>
  <c r="L36" i="12"/>
  <c r="O35" i="12"/>
  <c r="AG35" i="12"/>
  <c r="S38" i="12"/>
  <c r="T38" i="12"/>
  <c r="X35" i="12"/>
  <c r="AD90" i="16"/>
  <c r="V32" i="12"/>
  <c r="AD35" i="12"/>
  <c r="S37" i="12"/>
  <c r="T34" i="12"/>
  <c r="X32" i="12"/>
  <c r="V34" i="12"/>
  <c r="AI32" i="17"/>
  <c r="O37" i="12"/>
  <c r="AD34" i="12"/>
  <c r="S32" i="12"/>
  <c r="X37" i="12"/>
  <c r="AI38" i="17"/>
  <c r="I36" i="12"/>
  <c r="O33" i="12"/>
  <c r="AD36" i="12"/>
  <c r="AF38" i="17"/>
  <c r="V37" i="12"/>
  <c r="O36" i="12"/>
  <c r="O32" i="17"/>
  <c r="S36" i="12"/>
  <c r="X33" i="12"/>
  <c r="J90" i="16"/>
  <c r="V32" i="17"/>
  <c r="H36" i="12"/>
  <c r="U33" i="12"/>
  <c r="AF33" i="17"/>
  <c r="AC34" i="12"/>
  <c r="AA37" i="17"/>
  <c r="I33" i="12"/>
  <c r="AG36" i="12"/>
  <c r="AD34" i="17"/>
  <c r="AH32" i="17"/>
  <c r="L34" i="12"/>
  <c r="I32" i="12"/>
  <c r="H32" i="12"/>
  <c r="AG38" i="12"/>
  <c r="AD32" i="12"/>
  <c r="U34" i="12"/>
  <c r="O34" i="17"/>
  <c r="T90" i="16"/>
  <c r="AA34" i="17"/>
  <c r="I34" i="12"/>
  <c r="AG37" i="12"/>
  <c r="O35" i="17"/>
  <c r="AC36" i="12"/>
  <c r="H90" i="16"/>
  <c r="AH33" i="17"/>
  <c r="L38" i="12"/>
  <c r="I36" i="17"/>
  <c r="H37" i="12"/>
  <c r="AD33" i="12"/>
  <c r="U35" i="12"/>
  <c r="O38" i="17"/>
  <c r="AC33" i="12"/>
  <c r="P90" i="16"/>
  <c r="W35" i="17"/>
  <c r="L37" i="12"/>
  <c r="I35" i="12"/>
  <c r="H33" i="12"/>
  <c r="AG32" i="12"/>
  <c r="AD38" i="12"/>
  <c r="U36" i="12"/>
  <c r="AL38" i="17"/>
  <c r="O36" i="17"/>
  <c r="AC35" i="12"/>
  <c r="AJ90" i="16"/>
  <c r="I38" i="12"/>
  <c r="AG34" i="12"/>
  <c r="AI34" i="17"/>
  <c r="AF35" i="17"/>
  <c r="R34" i="17"/>
  <c r="L90" i="16"/>
  <c r="N33" i="17"/>
  <c r="AC36" i="17"/>
  <c r="K38" i="17"/>
  <c r="N37" i="17"/>
  <c r="AD38" i="17"/>
  <c r="K35" i="17"/>
  <c r="AL32" i="17"/>
  <c r="R32" i="17"/>
  <c r="Y35" i="17"/>
  <c r="Z34" i="17"/>
  <c r="AD32" i="17"/>
  <c r="AB34" i="17"/>
  <c r="AL35" i="17"/>
  <c r="AJ34" i="17"/>
  <c r="AG34" i="17"/>
  <c r="R38" i="17"/>
  <c r="P32" i="17"/>
  <c r="S34" i="17"/>
  <c r="AH35" i="17"/>
  <c r="I38" i="17"/>
  <c r="X33" i="17"/>
  <c r="T37" i="17"/>
  <c r="Q37" i="17"/>
  <c r="H34" i="17"/>
  <c r="Z36" i="17"/>
  <c r="P34" i="17"/>
  <c r="S33" i="17"/>
  <c r="AA33" i="17"/>
  <c r="AH36" i="17"/>
  <c r="L38" i="17"/>
  <c r="AE35" i="17"/>
  <c r="X34" i="17"/>
  <c r="N36" i="17"/>
  <c r="T32" i="17"/>
  <c r="Q34" i="17"/>
  <c r="H32" i="17"/>
  <c r="AJ37" i="17"/>
  <c r="AG33" i="17"/>
  <c r="Z32" i="17"/>
  <c r="P36" i="17"/>
  <c r="AA36" i="17"/>
  <c r="AH34" i="17"/>
  <c r="L33" i="17"/>
  <c r="AE37" i="17"/>
  <c r="X38" i="17"/>
  <c r="N38" i="17"/>
  <c r="H36" i="17"/>
  <c r="AJ35" i="17"/>
  <c r="AG36" i="17"/>
  <c r="W32" i="17"/>
  <c r="AH37" i="17"/>
  <c r="S32" i="17"/>
  <c r="V33" i="17"/>
  <c r="Z35" i="17"/>
  <c r="P33" i="17"/>
  <c r="S37" i="17"/>
  <c r="AA38" i="17"/>
  <c r="L34" i="17"/>
  <c r="AE33" i="17"/>
  <c r="X35" i="17"/>
  <c r="H35" i="17"/>
  <c r="AG32" i="17"/>
  <c r="V34" i="17"/>
  <c r="W38" i="17"/>
  <c r="T38" i="17"/>
  <c r="Q36" i="17"/>
  <c r="AC33" i="17"/>
  <c r="J37" i="17"/>
  <c r="AK37" i="17"/>
  <c r="J32" i="17"/>
  <c r="K36" i="17"/>
  <c r="AB37" i="17"/>
  <c r="AL34" i="17"/>
  <c r="Y32" i="17"/>
  <c r="J38" i="17"/>
  <c r="AD35" i="17"/>
  <c r="S38" i="17"/>
  <c r="K37" i="17"/>
  <c r="AB36" i="17"/>
  <c r="X36" i="17"/>
  <c r="T34" i="17"/>
  <c r="Y34" i="17"/>
  <c r="AK33" i="17"/>
  <c r="R37" i="17"/>
  <c r="J33" i="17"/>
  <c r="AD33" i="17"/>
  <c r="K33" i="17"/>
  <c r="AB38" i="17"/>
  <c r="AL33" i="17"/>
  <c r="Y33" i="17"/>
  <c r="AK38" i="17"/>
  <c r="R35" i="17"/>
  <c r="AD36" i="17"/>
  <c r="K32" i="17"/>
  <c r="AB35" i="17"/>
  <c r="AL37" i="17"/>
  <c r="Y38" i="17"/>
  <c r="AK35" i="17"/>
  <c r="R33" i="17"/>
  <c r="I33" i="17"/>
  <c r="U34" i="17"/>
  <c r="AC34" i="17"/>
  <c r="Z87" i="14"/>
  <c r="AI33" i="17"/>
  <c r="V38" i="17"/>
  <c r="P37" i="17"/>
  <c r="W37" i="17"/>
  <c r="I32" i="17"/>
  <c r="AE38" i="17"/>
  <c r="U33" i="17"/>
  <c r="AF36" i="17"/>
  <c r="AC38" i="17"/>
  <c r="X90" i="16"/>
  <c r="Z90" i="16"/>
  <c r="Y90" i="16"/>
  <c r="V90" i="16"/>
  <c r="U35" i="17"/>
  <c r="AI35" i="17"/>
  <c r="U37" i="17"/>
  <c r="AF32" i="17"/>
  <c r="AC37" i="17"/>
  <c r="F87" i="14"/>
  <c r="Q90" i="16"/>
  <c r="AJ87" i="14"/>
  <c r="AE90" i="16"/>
  <c r="AI36" i="17"/>
  <c r="V37" i="17"/>
  <c r="P38" i="17"/>
  <c r="W34" i="17"/>
  <c r="I37" i="17"/>
  <c r="AE36" i="17"/>
  <c r="U36" i="17"/>
  <c r="AF34" i="17"/>
  <c r="AC35" i="17"/>
  <c r="I90" i="16"/>
  <c r="AI90" i="16"/>
  <c r="W90" i="16"/>
  <c r="I34" i="17"/>
  <c r="AE34" i="17"/>
  <c r="U38" i="17"/>
  <c r="M90" i="16"/>
  <c r="N90" i="16"/>
  <c r="AL90" i="16"/>
  <c r="AB90" i="16"/>
  <c r="AI64" i="12"/>
  <c r="E90" i="16"/>
  <c r="AB64" i="12"/>
  <c r="O64" i="12"/>
  <c r="AE64" i="12"/>
  <c r="U64" i="12"/>
  <c r="V64" i="12"/>
  <c r="AA87" i="14"/>
  <c r="U87" i="14"/>
  <c r="AC87" i="14"/>
  <c r="AG87" i="14"/>
  <c r="AI87" i="14"/>
  <c r="I87" i="14"/>
  <c r="P87" i="14"/>
  <c r="X87" i="14"/>
  <c r="G64" i="12"/>
  <c r="H64" i="12"/>
  <c r="W64" i="12"/>
  <c r="AL64" i="12"/>
  <c r="K64" i="12"/>
  <c r="R90" i="16"/>
  <c r="AF90" i="16"/>
  <c r="AC90" i="16"/>
  <c r="F90" i="16"/>
  <c r="AG64" i="12"/>
  <c r="AJ64" i="12"/>
  <c r="S90" i="16"/>
  <c r="K90" i="16"/>
  <c r="O90" i="16"/>
  <c r="L64" i="12"/>
  <c r="Z64" i="12"/>
  <c r="M64" i="12"/>
  <c r="R64" i="12"/>
  <c r="Q64" i="12"/>
  <c r="E64" i="12"/>
  <c r="T64" i="12"/>
  <c r="AA64" i="12"/>
  <c r="V87" i="14"/>
  <c r="AL87" i="14"/>
  <c r="H87" i="14"/>
  <c r="AH87" i="14"/>
  <c r="G87" i="14"/>
  <c r="I64" i="12"/>
  <c r="X64" i="12"/>
  <c r="AD64" i="12"/>
  <c r="S64" i="12"/>
  <c r="P64" i="12"/>
  <c r="Y64" i="12"/>
  <c r="AK64" i="12"/>
  <c r="F64" i="12"/>
  <c r="AC64" i="12"/>
  <c r="N64" i="12"/>
  <c r="AF64" i="12"/>
  <c r="AH64" i="12"/>
  <c r="AB87" i="14"/>
  <c r="R87" i="14"/>
  <c r="O87" i="14"/>
  <c r="AE87" i="14"/>
  <c r="J87" i="14"/>
  <c r="Y87" i="14"/>
  <c r="K87" i="14"/>
  <c r="S87" i="14"/>
  <c r="W87" i="14"/>
  <c r="AD87" i="14"/>
  <c r="N87" i="14"/>
  <c r="M87" i="14"/>
  <c r="AF87" i="14"/>
  <c r="T87" i="14"/>
  <c r="E87" i="14"/>
  <c r="L87" i="14"/>
  <c r="V61" i="16"/>
  <c r="AH90" i="16"/>
  <c r="AK90" i="16"/>
  <c r="AA90" i="16"/>
  <c r="U90" i="16"/>
  <c r="G90" i="16"/>
  <c r="AF59" i="12"/>
  <c r="AJ60" i="12"/>
  <c r="S60" i="17"/>
  <c r="AH63" i="16"/>
  <c r="AE91" i="17"/>
  <c r="E65" i="13"/>
  <c r="N63" i="16"/>
  <c r="AB60" i="14"/>
  <c r="I64" i="16"/>
  <c r="Q60" i="14"/>
  <c r="F64" i="16"/>
  <c r="J65" i="13"/>
  <c r="S91" i="17"/>
  <c r="W60" i="14"/>
  <c r="X65" i="13"/>
  <c r="W61" i="18"/>
  <c r="AA60" i="14"/>
  <c r="S64" i="16"/>
  <c r="N90" i="14"/>
  <c r="AF61" i="18"/>
  <c r="AF60" i="14"/>
  <c r="AE63" i="18"/>
  <c r="AJ61" i="18"/>
  <c r="AJ60" i="14"/>
  <c r="AA91" i="17"/>
  <c r="F65" i="13"/>
  <c r="AG63" i="16"/>
  <c r="T61" i="18"/>
  <c r="G60" i="14"/>
  <c r="Z91" i="17"/>
  <c r="H65" i="13"/>
  <c r="U65" i="13"/>
  <c r="H63" i="16"/>
  <c r="AG61" i="18"/>
  <c r="X60" i="14"/>
  <c r="AK91" i="17"/>
  <c r="AB65" i="13"/>
  <c r="AC90" i="14"/>
  <c r="O63" i="16"/>
  <c r="AJ91" i="18"/>
  <c r="M61" i="18"/>
  <c r="P61" i="18"/>
  <c r="E60" i="14"/>
  <c r="J60" i="14"/>
  <c r="AF91" i="17"/>
  <c r="AK64" i="16"/>
  <c r="AJ63" i="16"/>
  <c r="AK63" i="16"/>
  <c r="R61" i="18"/>
  <c r="H61" i="18"/>
  <c r="AC60" i="14"/>
  <c r="AE60" i="14"/>
  <c r="O64" i="16"/>
  <c r="N64" i="16"/>
  <c r="AC91" i="17"/>
  <c r="AF64" i="16"/>
  <c r="Q90" i="14"/>
  <c r="J63" i="16"/>
  <c r="T63" i="16"/>
  <c r="AD61" i="18"/>
  <c r="I60" i="14"/>
  <c r="P60" i="14"/>
  <c r="W91" i="17"/>
  <c r="AG64" i="16"/>
  <c r="AG65" i="13"/>
  <c r="M63" i="16"/>
  <c r="S61" i="18"/>
  <c r="AI60" i="14"/>
  <c r="N60" i="14"/>
  <c r="AA64" i="16"/>
  <c r="Y64" i="16"/>
  <c r="AJ91" i="17"/>
  <c r="V91" i="17"/>
  <c r="V65" i="13"/>
  <c r="AE63" i="16"/>
  <c r="AD63" i="16"/>
  <c r="AL61" i="18"/>
  <c r="AD60" i="14"/>
  <c r="M60" i="14"/>
  <c r="L60" i="14"/>
  <c r="AE61" i="17"/>
  <c r="AE64" i="16"/>
  <c r="Z64" i="16"/>
  <c r="O91" i="17"/>
  <c r="AL65" i="13"/>
  <c r="AE65" i="13"/>
  <c r="U63" i="16"/>
  <c r="P63" i="16"/>
  <c r="Z60" i="15"/>
  <c r="AC63" i="15"/>
  <c r="E90" i="13"/>
  <c r="AG91" i="18"/>
  <c r="G63" i="15"/>
  <c r="P90" i="12"/>
  <c r="AA92" i="12"/>
  <c r="AG88" i="16"/>
  <c r="AJ63" i="15"/>
  <c r="X63" i="15"/>
  <c r="AF65" i="15"/>
  <c r="T63" i="15"/>
  <c r="E63" i="15"/>
  <c r="AA64" i="14"/>
  <c r="AK88" i="12"/>
  <c r="AL88" i="12"/>
  <c r="AI88" i="12"/>
  <c r="AB88" i="12"/>
  <c r="N88" i="12"/>
  <c r="F88" i="12"/>
  <c r="Z88" i="12"/>
  <c r="O88" i="12"/>
  <c r="M88" i="12"/>
  <c r="E88" i="12"/>
  <c r="Q88" i="12"/>
  <c r="AA88" i="12"/>
  <c r="W88" i="12"/>
  <c r="AG88" i="12"/>
  <c r="P61" i="16"/>
  <c r="Y88" i="12"/>
  <c r="AD88" i="12"/>
  <c r="I88" i="12"/>
  <c r="N87" i="12"/>
  <c r="AD90" i="17"/>
  <c r="AE88" i="12"/>
  <c r="V88" i="12"/>
  <c r="R88" i="12"/>
  <c r="T88" i="12"/>
  <c r="P88" i="12"/>
  <c r="S88" i="12"/>
  <c r="G88" i="12"/>
  <c r="H88" i="12"/>
  <c r="AJ88" i="12"/>
  <c r="U61" i="18"/>
  <c r="AA61" i="18"/>
  <c r="AK59" i="13"/>
  <c r="Q61" i="18"/>
  <c r="K60" i="14"/>
  <c r="S60" i="14"/>
  <c r="O60" i="14"/>
  <c r="T60" i="14"/>
  <c r="Y60" i="14"/>
  <c r="K65" i="17"/>
  <c r="P64" i="16"/>
  <c r="M64" i="16"/>
  <c r="O65" i="13"/>
  <c r="N91" i="17"/>
  <c r="AD65" i="13"/>
  <c r="AG60" i="14"/>
  <c r="AK87" i="17"/>
  <c r="W63" i="16"/>
  <c r="F63" i="16"/>
  <c r="V61" i="18"/>
  <c r="F61" i="18"/>
  <c r="N61" i="18"/>
  <c r="AB61" i="18"/>
  <c r="Z60" i="14"/>
  <c r="U60" i="14"/>
  <c r="AH60" i="14"/>
  <c r="R60" i="14"/>
  <c r="X91" i="17"/>
  <c r="AI64" i="16"/>
  <c r="L64" i="16"/>
  <c r="I91" i="17"/>
  <c r="AI65" i="13"/>
  <c r="Q65" i="13"/>
  <c r="V63" i="16"/>
  <c r="Z63" i="16"/>
  <c r="E61" i="18"/>
  <c r="AK61" i="18"/>
  <c r="AC61" i="18"/>
  <c r="X61" i="18"/>
  <c r="H60" i="14"/>
  <c r="AL60" i="14"/>
  <c r="AK60" i="14"/>
  <c r="F60" i="14"/>
  <c r="X65" i="17"/>
  <c r="W65" i="17"/>
  <c r="F91" i="17"/>
  <c r="AD64" i="16"/>
  <c r="X64" i="16"/>
  <c r="J91" i="17"/>
  <c r="E91" i="17"/>
  <c r="W65" i="13"/>
  <c r="N65" i="13"/>
  <c r="AC65" i="13"/>
  <c r="AA65" i="13"/>
  <c r="AD87" i="17"/>
  <c r="I63" i="16"/>
  <c r="Q63" i="16"/>
  <c r="W88" i="16"/>
  <c r="AA91" i="14"/>
  <c r="F59" i="16"/>
  <c r="U62" i="17"/>
  <c r="M65" i="15"/>
  <c r="J64" i="14"/>
  <c r="AF63" i="15"/>
  <c r="K63" i="18"/>
  <c r="K63" i="15"/>
  <c r="N63" i="15"/>
  <c r="T62" i="13"/>
  <c r="V62" i="17"/>
  <c r="AD63" i="15"/>
  <c r="P63" i="15"/>
  <c r="Y63" i="18"/>
  <c r="F63" i="15"/>
  <c r="AD91" i="18"/>
  <c r="W63" i="15"/>
  <c r="G63" i="18"/>
  <c r="AE63" i="15"/>
  <c r="J63" i="15"/>
  <c r="J91" i="18"/>
  <c r="Y87" i="18"/>
  <c r="H60" i="15"/>
  <c r="Y92" i="15"/>
  <c r="AL63" i="15"/>
  <c r="AB63" i="15"/>
  <c r="AA63" i="15"/>
  <c r="O91" i="18"/>
  <c r="E63" i="18"/>
  <c r="AK63" i="15"/>
  <c r="AG60" i="15"/>
  <c r="L64" i="14"/>
  <c r="H91" i="18"/>
  <c r="I63" i="15"/>
  <c r="V63" i="15"/>
  <c r="H63" i="15"/>
  <c r="AE64" i="14"/>
  <c r="E62" i="12"/>
  <c r="AB64" i="14"/>
  <c r="AC64" i="14"/>
  <c r="Z63" i="15"/>
  <c r="AI63" i="15"/>
  <c r="Y63" i="15"/>
  <c r="Z92" i="15"/>
  <c r="Q59" i="16"/>
  <c r="L61" i="12"/>
  <c r="T61" i="12"/>
  <c r="T59" i="16"/>
  <c r="P89" i="15"/>
  <c r="G91" i="15"/>
  <c r="Z59" i="17"/>
  <c r="Q61" i="12"/>
  <c r="AJ64" i="15"/>
  <c r="AC88" i="12"/>
  <c r="AB92" i="12"/>
  <c r="J60" i="13"/>
  <c r="AK61" i="16"/>
  <c r="L88" i="12"/>
  <c r="K88" i="12"/>
  <c r="J88" i="12"/>
  <c r="X88" i="12"/>
  <c r="AF88" i="12"/>
  <c r="U88" i="12"/>
  <c r="AK59" i="17"/>
  <c r="AK64" i="15"/>
  <c r="AD62" i="13"/>
  <c r="O89" i="15"/>
  <c r="J59" i="17"/>
  <c r="W64" i="15"/>
  <c r="S91" i="14"/>
  <c r="K64" i="18"/>
  <c r="R88" i="16"/>
  <c r="K64" i="13"/>
  <c r="AK88" i="16"/>
  <c r="F64" i="15"/>
  <c r="AJ59" i="17"/>
  <c r="AL59" i="16"/>
  <c r="J88" i="16"/>
  <c r="N64" i="15"/>
  <c r="U59" i="16"/>
  <c r="W59" i="17"/>
  <c r="AC61" i="12"/>
  <c r="AE88" i="16"/>
  <c r="AH88" i="16"/>
  <c r="O64" i="15"/>
  <c r="I59" i="17"/>
  <c r="S59" i="16"/>
  <c r="Y62" i="13"/>
  <c r="AA61" i="12"/>
  <c r="AL61" i="12"/>
  <c r="Q88" i="16"/>
  <c r="I64" i="15"/>
  <c r="P59" i="16"/>
  <c r="N89" i="13"/>
  <c r="AD59" i="17"/>
  <c r="F89" i="15"/>
  <c r="G90" i="15"/>
  <c r="AC59" i="16"/>
  <c r="AJ61" i="12"/>
  <c r="X64" i="18"/>
  <c r="AE89" i="15"/>
  <c r="T88" i="16"/>
  <c r="AI64" i="15"/>
  <c r="H62" i="13"/>
  <c r="M61" i="12"/>
  <c r="AF88" i="16"/>
  <c r="AB64" i="15"/>
  <c r="AA64" i="15"/>
  <c r="AH59" i="16"/>
  <c r="O59" i="16"/>
  <c r="Y59" i="17"/>
  <c r="R91" i="14"/>
  <c r="U91" i="14"/>
  <c r="AG62" i="13"/>
  <c r="V61" i="12"/>
  <c r="O64" i="18"/>
  <c r="E88" i="16"/>
  <c r="AB88" i="16"/>
  <c r="AL64" i="15"/>
  <c r="AH64" i="15"/>
  <c r="Y59" i="16"/>
  <c r="H89" i="13"/>
  <c r="G59" i="17"/>
  <c r="Z89" i="15"/>
  <c r="AB91" i="14"/>
  <c r="AA62" i="13"/>
  <c r="AF59" i="16"/>
  <c r="E61" i="12"/>
  <c r="O61" i="12"/>
  <c r="N88" i="16"/>
  <c r="V59" i="17"/>
  <c r="AF64" i="15"/>
  <c r="E64" i="15"/>
  <c r="R59" i="17"/>
  <c r="Z91" i="14"/>
  <c r="AI61" i="12"/>
  <c r="AB64" i="18"/>
  <c r="AG89" i="15"/>
  <c r="K64" i="15"/>
  <c r="V64" i="15"/>
  <c r="P59" i="18"/>
  <c r="S61" i="14"/>
  <c r="AA59" i="18"/>
  <c r="AD86" i="17"/>
  <c r="AG91" i="15"/>
  <c r="R59" i="18"/>
  <c r="L86" i="17"/>
  <c r="AE63" i="12"/>
  <c r="AL86" i="17"/>
  <c r="Z62" i="18"/>
  <c r="AH86" i="17"/>
  <c r="E91" i="15"/>
  <c r="AE88" i="14"/>
  <c r="AD92" i="16"/>
  <c r="I86" i="17"/>
  <c r="I92" i="16"/>
  <c r="AB59" i="16"/>
  <c r="X59" i="17"/>
  <c r="P59" i="17"/>
  <c r="I91" i="14"/>
  <c r="U89" i="15"/>
  <c r="S89" i="15"/>
  <c r="I89" i="15"/>
  <c r="N59" i="16"/>
  <c r="AJ90" i="15"/>
  <c r="W61" i="12"/>
  <c r="I61" i="12"/>
  <c r="X61" i="12"/>
  <c r="G64" i="18"/>
  <c r="AF61" i="12"/>
  <c r="G88" i="16"/>
  <c r="AJ88" i="16"/>
  <c r="AE59" i="17"/>
  <c r="T64" i="15"/>
  <c r="S64" i="15"/>
  <c r="Q64" i="15"/>
  <c r="X59" i="16"/>
  <c r="AK91" i="14"/>
  <c r="T59" i="17"/>
  <c r="E62" i="13"/>
  <c r="AH61" i="12"/>
  <c r="AG61" i="12"/>
  <c r="AE64" i="15"/>
  <c r="Z64" i="15"/>
  <c r="Y64" i="15"/>
  <c r="Z59" i="16"/>
  <c r="AA59" i="16"/>
  <c r="O59" i="17"/>
  <c r="AC59" i="17"/>
  <c r="AG91" i="14"/>
  <c r="AD59" i="16"/>
  <c r="O62" i="13"/>
  <c r="F61" i="12"/>
  <c r="S61" i="12"/>
  <c r="Y61" i="12"/>
  <c r="L64" i="18"/>
  <c r="G61" i="12"/>
  <c r="AK59" i="16"/>
  <c r="X88" i="16"/>
  <c r="M88" i="16"/>
  <c r="AD88" i="16"/>
  <c r="L88" i="16"/>
  <c r="E59" i="17"/>
  <c r="AC64" i="15"/>
  <c r="G64" i="15"/>
  <c r="AD64" i="15"/>
  <c r="AG64" i="15"/>
  <c r="AF86" i="17"/>
  <c r="AA63" i="12"/>
  <c r="N61" i="14"/>
  <c r="AB63" i="12"/>
  <c r="AC88" i="14"/>
  <c r="Z86" i="17"/>
  <c r="M86" i="17"/>
  <c r="F88" i="14"/>
  <c r="G63" i="12"/>
  <c r="R61" i="14"/>
  <c r="Q61" i="14"/>
  <c r="X61" i="13"/>
  <c r="AJ86" i="17"/>
  <c r="H91" i="16"/>
  <c r="G92" i="16"/>
  <c r="J91" i="12"/>
  <c r="K86" i="17"/>
  <c r="Q86" i="17"/>
  <c r="T88" i="14"/>
  <c r="G91" i="16"/>
  <c r="Q63" i="12"/>
  <c r="AC91" i="15"/>
  <c r="U88" i="14"/>
  <c r="N59" i="18"/>
  <c r="R86" i="17"/>
  <c r="O88" i="14"/>
  <c r="V88" i="14"/>
  <c r="O61" i="14"/>
  <c r="F86" i="17"/>
  <c r="O86" i="17"/>
  <c r="N91" i="16"/>
  <c r="AB61" i="14"/>
  <c r="P87" i="18"/>
  <c r="Z62" i="12"/>
  <c r="AH90" i="13"/>
  <c r="AE60" i="15"/>
  <c r="S63" i="18"/>
  <c r="K92" i="15"/>
  <c r="O63" i="15"/>
  <c r="S63" i="15"/>
  <c r="AG63" i="15"/>
  <c r="X92" i="15"/>
  <c r="N90" i="18"/>
  <c r="AL65" i="15"/>
  <c r="U62" i="12"/>
  <c r="AB90" i="13"/>
  <c r="I60" i="15"/>
  <c r="AH63" i="15"/>
  <c r="M63" i="18"/>
  <c r="R63" i="15"/>
  <c r="L63" i="15"/>
  <c r="U63" i="15"/>
  <c r="Q63" i="15"/>
  <c r="V88" i="13"/>
  <c r="E92" i="16"/>
  <c r="V86" i="17"/>
  <c r="P86" i="17"/>
  <c r="X86" i="17"/>
  <c r="W88" i="14"/>
  <c r="X59" i="18"/>
  <c r="AG62" i="18"/>
  <c r="W63" i="12"/>
  <c r="AA61" i="14"/>
  <c r="AF63" i="12"/>
  <c r="M63" i="12"/>
  <c r="X87" i="16"/>
  <c r="AB87" i="16"/>
  <c r="N92" i="16"/>
  <c r="W92" i="16"/>
  <c r="L59" i="18"/>
  <c r="AK86" i="17"/>
  <c r="AA86" i="17"/>
  <c r="AE86" i="17"/>
  <c r="AL88" i="14"/>
  <c r="AC59" i="18"/>
  <c r="I62" i="18"/>
  <c r="W61" i="14"/>
  <c r="W91" i="12"/>
  <c r="S92" i="16"/>
  <c r="W87" i="16"/>
  <c r="AJ87" i="16"/>
  <c r="O61" i="13"/>
  <c r="AI86" i="17"/>
  <c r="H86" i="17"/>
  <c r="J86" i="17"/>
  <c r="J62" i="18"/>
  <c r="T63" i="12"/>
  <c r="AK61" i="14"/>
  <c r="Z63" i="12"/>
  <c r="J92" i="16"/>
  <c r="O59" i="18"/>
  <c r="W86" i="17"/>
  <c r="H88" i="14"/>
  <c r="AF61" i="14"/>
  <c r="AG63" i="12"/>
  <c r="AH91" i="15"/>
  <c r="AE92" i="16"/>
  <c r="R92" i="16"/>
  <c r="AB86" i="17"/>
  <c r="N86" i="17"/>
  <c r="S86" i="17"/>
  <c r="T86" i="17"/>
  <c r="T91" i="16"/>
  <c r="AL62" i="18"/>
  <c r="AK91" i="15"/>
  <c r="Y91" i="12"/>
  <c r="U61" i="14"/>
  <c r="AA62" i="18"/>
  <c r="L61" i="13"/>
  <c r="W59" i="18"/>
  <c r="AG92" i="16"/>
  <c r="E86" i="17"/>
  <c r="G86" i="17"/>
  <c r="AC86" i="17"/>
  <c r="Y86" i="17"/>
  <c r="AG86" i="17"/>
  <c r="X91" i="16"/>
  <c r="P62" i="18"/>
  <c r="J61" i="14"/>
  <c r="R63" i="12"/>
  <c r="AK87" i="16"/>
  <c r="AI88" i="14"/>
  <c r="M88" i="13"/>
  <c r="T88" i="13"/>
  <c r="AI88" i="13"/>
  <c r="AD89" i="17"/>
  <c r="E88" i="13"/>
  <c r="T89" i="17"/>
  <c r="AG62" i="16"/>
  <c r="M86" i="12"/>
  <c r="AL88" i="13"/>
  <c r="AB88" i="13"/>
  <c r="O88" i="13"/>
  <c r="N88" i="13"/>
  <c r="Y62" i="16"/>
  <c r="AI59" i="16"/>
  <c r="AL59" i="17"/>
  <c r="N59" i="17"/>
  <c r="M91" i="14"/>
  <c r="S59" i="17"/>
  <c r="H91" i="14"/>
  <c r="Y91" i="14"/>
  <c r="K59" i="16"/>
  <c r="V59" i="16"/>
  <c r="R62" i="13"/>
  <c r="R61" i="12"/>
  <c r="H61" i="12"/>
  <c r="Z61" i="12"/>
  <c r="W64" i="18"/>
  <c r="AC88" i="16"/>
  <c r="AI88" i="16"/>
  <c r="H88" i="16"/>
  <c r="AI64" i="13"/>
  <c r="H64" i="15"/>
  <c r="J64" i="15"/>
  <c r="R64" i="15"/>
  <c r="G59" i="16"/>
  <c r="M59" i="17"/>
  <c r="AB59" i="17"/>
  <c r="AH59" i="17"/>
  <c r="P91" i="14"/>
  <c r="AA59" i="17"/>
  <c r="AJ89" i="15"/>
  <c r="E59" i="16"/>
  <c r="AB62" i="13"/>
  <c r="K61" i="12"/>
  <c r="J61" i="12"/>
  <c r="AE61" i="12"/>
  <c r="M64" i="18"/>
  <c r="AA88" i="16"/>
  <c r="F88" i="16"/>
  <c r="Z88" i="16"/>
  <c r="H89" i="15"/>
  <c r="Y88" i="16"/>
  <c r="AF91" i="14"/>
  <c r="Q59" i="17"/>
  <c r="M64" i="15"/>
  <c r="U64" i="15"/>
  <c r="P64" i="15"/>
  <c r="X64" i="15"/>
  <c r="AF59" i="15"/>
  <c r="M59" i="15"/>
  <c r="AG59" i="15"/>
  <c r="T59" i="15"/>
  <c r="Y59" i="15"/>
  <c r="V59" i="15"/>
  <c r="AK59" i="15"/>
  <c r="N59" i="15"/>
  <c r="AI59" i="15"/>
  <c r="AA59" i="15"/>
  <c r="O59" i="15"/>
  <c r="AB59" i="15"/>
  <c r="H59" i="15"/>
  <c r="AC59" i="15"/>
  <c r="W59" i="15"/>
  <c r="J59" i="15"/>
  <c r="R59" i="15"/>
  <c r="AJ59" i="15"/>
  <c r="E59" i="15"/>
  <c r="L59" i="15"/>
  <c r="AE59" i="15"/>
  <c r="K59" i="15"/>
  <c r="AH59" i="15"/>
  <c r="F59" i="15"/>
  <c r="U59" i="15"/>
  <c r="Z59" i="15"/>
  <c r="G59" i="15"/>
  <c r="AD59" i="15"/>
  <c r="P59" i="15"/>
  <c r="Q59" i="15"/>
  <c r="X59" i="15"/>
  <c r="I59" i="15"/>
  <c r="S59" i="15"/>
  <c r="O87" i="13"/>
  <c r="U90" i="17"/>
  <c r="AK92" i="12"/>
  <c r="AE60" i="17"/>
  <c r="X88" i="13"/>
  <c r="K88" i="13"/>
  <c r="AC88" i="13"/>
  <c r="R88" i="13"/>
  <c r="J88" i="13"/>
  <c r="Z88" i="13"/>
  <c r="X63" i="17"/>
  <c r="M65" i="14"/>
  <c r="L88" i="13"/>
  <c r="AE88" i="13"/>
  <c r="H88" i="13"/>
  <c r="AA88" i="13"/>
  <c r="F88" i="13"/>
  <c r="AD88" i="13"/>
  <c r="H62" i="16"/>
  <c r="T62" i="14"/>
  <c r="W88" i="13"/>
  <c r="AJ88" i="13"/>
  <c r="AF88" i="13"/>
  <c r="I88" i="13"/>
  <c r="AH88" i="13"/>
  <c r="AA65" i="14"/>
  <c r="AK88" i="13"/>
  <c r="AK86" i="15"/>
  <c r="AG88" i="13"/>
  <c r="G88" i="13"/>
  <c r="S88" i="13"/>
  <c r="Y88" i="13"/>
  <c r="Q88" i="13"/>
  <c r="J65" i="18"/>
  <c r="S63" i="17"/>
  <c r="U88" i="13"/>
  <c r="AK59" i="12"/>
  <c r="O92" i="12"/>
  <c r="L89" i="18"/>
  <c r="G87" i="13"/>
  <c r="AE60" i="13"/>
  <c r="I61" i="16"/>
  <c r="Z86" i="18"/>
  <c r="X86" i="18"/>
  <c r="K92" i="12"/>
  <c r="AI92" i="12"/>
  <c r="AH92" i="12"/>
  <c r="H87" i="12"/>
  <c r="Q60" i="17"/>
  <c r="Z60" i="12"/>
  <c r="K61" i="16"/>
  <c r="V90" i="12"/>
  <c r="AD92" i="12"/>
  <c r="AG92" i="12"/>
  <c r="R92" i="12"/>
  <c r="I92" i="12"/>
  <c r="J60" i="12"/>
  <c r="Z90" i="17"/>
  <c r="H89" i="18"/>
  <c r="O59" i="12"/>
  <c r="Y92" i="12"/>
  <c r="H60" i="17"/>
  <c r="T92" i="12"/>
  <c r="L92" i="12"/>
  <c r="J92" i="12"/>
  <c r="N89" i="18"/>
  <c r="E89" i="18"/>
  <c r="P89" i="18"/>
  <c r="Q61" i="16"/>
  <c r="AL92" i="12"/>
  <c r="F92" i="12"/>
  <c r="Z92" i="12"/>
  <c r="I60" i="12"/>
  <c r="K90" i="17"/>
  <c r="AB89" i="18"/>
  <c r="AK89" i="18"/>
  <c r="O61" i="16"/>
  <c r="S61" i="16"/>
  <c r="AE61" i="16"/>
  <c r="AE92" i="12"/>
  <c r="AK90" i="17"/>
  <c r="N92" i="12"/>
  <c r="G92" i="12"/>
  <c r="AI60" i="13"/>
  <c r="AE90" i="12"/>
  <c r="AJ90" i="12"/>
  <c r="AG61" i="16"/>
  <c r="W59" i="12"/>
  <c r="G90" i="12"/>
  <c r="AK87" i="13"/>
  <c r="M92" i="12"/>
  <c r="AG90" i="17"/>
  <c r="P92" i="12"/>
  <c r="U60" i="12"/>
  <c r="AH61" i="16"/>
  <c r="E61" i="16"/>
  <c r="P92" i="14"/>
  <c r="L65" i="12"/>
  <c r="AA86" i="18"/>
  <c r="V88" i="18"/>
  <c r="P86" i="18"/>
  <c r="W89" i="14"/>
  <c r="AF86" i="13"/>
  <c r="R86" i="18"/>
  <c r="AC86" i="18"/>
  <c r="AF92" i="13"/>
  <c r="K86" i="18"/>
  <c r="H87" i="18"/>
  <c r="N90" i="13"/>
  <c r="H64" i="14"/>
  <c r="K90" i="13"/>
  <c r="AI62" i="17"/>
  <c r="J92" i="15"/>
  <c r="X90" i="18"/>
  <c r="Q65" i="15"/>
  <c r="O87" i="18"/>
  <c r="AJ64" i="14"/>
  <c r="AI62" i="12"/>
  <c r="L91" i="18"/>
  <c r="L92" i="15"/>
  <c r="T63" i="18"/>
  <c r="AD65" i="15"/>
  <c r="AF87" i="18"/>
  <c r="S60" i="15"/>
  <c r="U64" i="14"/>
  <c r="K64" i="14"/>
  <c r="N62" i="12"/>
  <c r="L65" i="15"/>
  <c r="AG63" i="18"/>
  <c r="AH61" i="18"/>
  <c r="Y61" i="18"/>
  <c r="O61" i="18"/>
  <c r="Z61" i="18"/>
  <c r="U91" i="17"/>
  <c r="AB91" i="17"/>
  <c r="AI91" i="17"/>
  <c r="G91" i="17"/>
  <c r="L91" i="17"/>
  <c r="G64" i="16"/>
  <c r="H64" i="16"/>
  <c r="AJ64" i="16"/>
  <c r="V64" i="16"/>
  <c r="R64" i="16"/>
  <c r="AB64" i="16"/>
  <c r="P91" i="17"/>
  <c r="P65" i="13"/>
  <c r="L65" i="13"/>
  <c r="M91" i="17"/>
  <c r="Y65" i="13"/>
  <c r="F63" i="13"/>
  <c r="R65" i="13"/>
  <c r="R87" i="17"/>
  <c r="AB63" i="16"/>
  <c r="AA63" i="16"/>
  <c r="E63" i="16"/>
  <c r="G63" i="16"/>
  <c r="I61" i="18"/>
  <c r="AI61" i="18"/>
  <c r="G61" i="18"/>
  <c r="L61" i="18"/>
  <c r="J61" i="18"/>
  <c r="H91" i="17"/>
  <c r="AD91" i="17"/>
  <c r="AL91" i="17"/>
  <c r="AH91" i="17"/>
  <c r="J64" i="16"/>
  <c r="AL64" i="16"/>
  <c r="K64" i="16"/>
  <c r="U64" i="16"/>
  <c r="Q91" i="17"/>
  <c r="S65" i="17"/>
  <c r="T91" i="17"/>
  <c r="G65" i="13"/>
  <c r="T65" i="13"/>
  <c r="AF65" i="13"/>
  <c r="AH65" i="13"/>
  <c r="X63" i="16"/>
  <c r="Y63" i="16"/>
  <c r="AC63" i="16"/>
  <c r="K63" i="16"/>
  <c r="AE61" i="18"/>
  <c r="F59" i="13"/>
  <c r="AD59" i="13"/>
  <c r="X59" i="13"/>
  <c r="R91" i="17"/>
  <c r="Y91" i="17"/>
  <c r="W64" i="16"/>
  <c r="T64" i="16"/>
  <c r="E64" i="16"/>
  <c r="Q64" i="16"/>
  <c r="AC64" i="16"/>
  <c r="AG91" i="17"/>
  <c r="AJ65" i="13"/>
  <c r="S65" i="13"/>
  <c r="Z65" i="13"/>
  <c r="M65" i="13"/>
  <c r="U90" i="14"/>
  <c r="AK65" i="13"/>
  <c r="AK90" i="14"/>
  <c r="I65" i="13"/>
  <c r="AI63" i="16"/>
  <c r="L63" i="16"/>
  <c r="AL63" i="16"/>
  <c r="AF63" i="16"/>
  <c r="F65" i="15"/>
  <c r="S87" i="18"/>
  <c r="Y62" i="12"/>
  <c r="P64" i="14"/>
  <c r="AF64" i="14"/>
  <c r="AA60" i="15"/>
  <c r="M64" i="14"/>
  <c r="L90" i="13"/>
  <c r="AH65" i="15"/>
  <c r="T91" i="18"/>
  <c r="AE92" i="15"/>
  <c r="R92" i="15"/>
  <c r="AB91" i="18"/>
  <c r="AF63" i="18"/>
  <c r="F63" i="18"/>
  <c r="T62" i="12"/>
  <c r="AH90" i="18"/>
  <c r="K62" i="17"/>
  <c r="P62" i="17"/>
  <c r="P65" i="15"/>
  <c r="AB87" i="18"/>
  <c r="AF62" i="12"/>
  <c r="AG62" i="12"/>
  <c r="AA90" i="13"/>
  <c r="AJ62" i="12"/>
  <c r="L60" i="15"/>
  <c r="AL64" i="14"/>
  <c r="H90" i="13"/>
  <c r="AI64" i="14"/>
  <c r="M62" i="17"/>
  <c r="P63" i="18"/>
  <c r="AH92" i="15"/>
  <c r="AK63" i="18"/>
  <c r="S91" i="18"/>
  <c r="AB62" i="17"/>
  <c r="T60" i="15"/>
  <c r="Q62" i="17"/>
  <c r="X65" i="15"/>
  <c r="AE87" i="18"/>
  <c r="L62" i="12"/>
  <c r="O60" i="15"/>
  <c r="T64" i="14"/>
  <c r="P90" i="13"/>
  <c r="G87" i="18"/>
  <c r="M91" i="18"/>
  <c r="Q92" i="15"/>
  <c r="AB63" i="18"/>
  <c r="Z63" i="18"/>
  <c r="V91" i="18"/>
  <c r="Y62" i="17"/>
  <c r="R65" i="15"/>
  <c r="AC65" i="15"/>
  <c r="AL87" i="18"/>
  <c r="AK90" i="13"/>
  <c r="AJ60" i="15"/>
  <c r="X64" i="14"/>
  <c r="AE62" i="12"/>
  <c r="X63" i="18"/>
  <c r="AA63" i="18"/>
  <c r="T92" i="15"/>
  <c r="AL63" i="18"/>
  <c r="R91" i="18"/>
  <c r="AJ90" i="18"/>
  <c r="E65" i="15"/>
  <c r="R87" i="18"/>
  <c r="AL60" i="15"/>
  <c r="AI90" i="13"/>
  <c r="Q64" i="14"/>
  <c r="G64" i="14"/>
  <c r="AD90" i="13"/>
  <c r="J65" i="15"/>
  <c r="R62" i="17"/>
  <c r="J63" i="18"/>
  <c r="E92" i="15"/>
  <c r="Z91" i="18"/>
  <c r="L63" i="18"/>
  <c r="N91" i="18"/>
  <c r="J86" i="18"/>
  <c r="Y86" i="18"/>
  <c r="AB86" i="18"/>
  <c r="F92" i="13"/>
  <c r="L86" i="13"/>
  <c r="G86" i="13"/>
  <c r="AC89" i="16"/>
  <c r="F89" i="16"/>
  <c r="Y91" i="13"/>
  <c r="AL86" i="18"/>
  <c r="AA86" i="16"/>
  <c r="T88" i="18"/>
  <c r="AB92" i="14"/>
  <c r="M92" i="14"/>
  <c r="AH65" i="12"/>
  <c r="U89" i="14"/>
  <c r="E89" i="16"/>
  <c r="AE86" i="18"/>
  <c r="H92" i="13"/>
  <c r="AF63" i="14"/>
  <c r="AD86" i="13"/>
  <c r="AD63" i="14"/>
  <c r="X91" i="13"/>
  <c r="AK91" i="13"/>
  <c r="I86" i="18"/>
  <c r="O86" i="18"/>
  <c r="H86" i="16"/>
  <c r="AF88" i="18"/>
  <c r="T86" i="18"/>
  <c r="AF86" i="18"/>
  <c r="T65" i="12"/>
  <c r="W92" i="13"/>
  <c r="N92" i="13"/>
  <c r="AA63" i="14"/>
  <c r="R63" i="14"/>
  <c r="L91" i="13"/>
  <c r="S86" i="16"/>
  <c r="K88" i="18"/>
  <c r="AK86" i="18"/>
  <c r="E86" i="18"/>
  <c r="AD65" i="12"/>
  <c r="AI65" i="12"/>
  <c r="U89" i="16"/>
  <c r="N86" i="18"/>
  <c r="M86" i="18"/>
  <c r="W63" i="14"/>
  <c r="H91" i="13"/>
  <c r="R86" i="16"/>
  <c r="P88" i="18"/>
  <c r="G92" i="14"/>
  <c r="W65" i="12"/>
  <c r="AJ86" i="18"/>
  <c r="AI86" i="18"/>
  <c r="AH86" i="18"/>
  <c r="V86" i="18"/>
  <c r="AK92" i="13"/>
  <c r="J89" i="16"/>
  <c r="AI89" i="16"/>
  <c r="AG91" i="13"/>
  <c r="AE88" i="18"/>
  <c r="O92" i="14"/>
  <c r="AF65" i="12"/>
  <c r="AF89" i="14"/>
  <c r="L86" i="18"/>
  <c r="G86" i="18"/>
  <c r="AD92" i="13"/>
  <c r="M86" i="13"/>
  <c r="K86" i="13"/>
  <c r="O86" i="13"/>
  <c r="AL63" i="14"/>
  <c r="AI91" i="13"/>
  <c r="Q91" i="13"/>
  <c r="O92" i="13"/>
  <c r="U86" i="18"/>
  <c r="E86" i="16"/>
  <c r="I88" i="18"/>
  <c r="AA92" i="14"/>
  <c r="Q89" i="14"/>
  <c r="K89" i="14"/>
  <c r="AC89" i="14"/>
  <c r="W86" i="18"/>
  <c r="S86" i="18"/>
  <c r="R86" i="13"/>
  <c r="Q86" i="18"/>
  <c r="AG86" i="18"/>
  <c r="F86" i="18"/>
  <c r="H86" i="18"/>
  <c r="P89" i="14"/>
  <c r="AF62" i="17"/>
  <c r="I65" i="15"/>
  <c r="AA65" i="15"/>
  <c r="F87" i="18"/>
  <c r="W87" i="18"/>
  <c r="AH87" i="18"/>
  <c r="AB60" i="15"/>
  <c r="P62" i="12"/>
  <c r="P60" i="15"/>
  <c r="E64" i="14"/>
  <c r="Y90" i="13"/>
  <c r="J60" i="15"/>
  <c r="AH64" i="14"/>
  <c r="Y64" i="14"/>
  <c r="G90" i="13"/>
  <c r="J90" i="13"/>
  <c r="Y60" i="15"/>
  <c r="S62" i="17"/>
  <c r="AA62" i="17"/>
  <c r="AH63" i="18"/>
  <c r="N63" i="18"/>
  <c r="AI63" i="18"/>
  <c r="E91" i="18"/>
  <c r="P92" i="15"/>
  <c r="W92" i="15"/>
  <c r="H63" i="18"/>
  <c r="I63" i="18"/>
  <c r="U63" i="18"/>
  <c r="Y91" i="18"/>
  <c r="F91" i="18"/>
  <c r="AJ63" i="18"/>
  <c r="U60" i="15"/>
  <c r="AA90" i="18"/>
  <c r="AH62" i="17"/>
  <c r="L62" i="17"/>
  <c r="O65" i="15"/>
  <c r="AK65" i="15"/>
  <c r="E87" i="18"/>
  <c r="AG87" i="18"/>
  <c r="AD62" i="12"/>
  <c r="S64" i="14"/>
  <c r="R64" i="14"/>
  <c r="V60" i="15"/>
  <c r="R60" i="15"/>
  <c r="AK64" i="14"/>
  <c r="N64" i="14"/>
  <c r="X90" i="13"/>
  <c r="Q90" i="13"/>
  <c r="O90" i="13"/>
  <c r="AA87" i="18"/>
  <c r="AE62" i="17"/>
  <c r="AJ92" i="15"/>
  <c r="F92" i="15"/>
  <c r="AC63" i="18"/>
  <c r="I92" i="15"/>
  <c r="W63" i="18"/>
  <c r="AD63" i="18"/>
  <c r="K91" i="18"/>
  <c r="AE91" i="18"/>
  <c r="M62" i="12"/>
  <c r="W62" i="17"/>
  <c r="AC62" i="17"/>
  <c r="AI87" i="18"/>
  <c r="Y65" i="15"/>
  <c r="H65" i="15"/>
  <c r="K87" i="18"/>
  <c r="X87" i="18"/>
  <c r="V64" i="14"/>
  <c r="O62" i="12"/>
  <c r="S62" i="12"/>
  <c r="I64" i="14"/>
  <c r="AF90" i="13"/>
  <c r="AH60" i="15"/>
  <c r="Z64" i="14"/>
  <c r="F64" i="14"/>
  <c r="AG64" i="14"/>
  <c r="S90" i="13"/>
  <c r="W90" i="13"/>
  <c r="AD64" i="14"/>
  <c r="AC90" i="13"/>
  <c r="Z87" i="18"/>
  <c r="O92" i="15"/>
  <c r="AL92" i="15"/>
  <c r="V63" i="18"/>
  <c r="O63" i="18"/>
  <c r="R63" i="18"/>
  <c r="AA91" i="18"/>
  <c r="AL91" i="18"/>
  <c r="O64" i="14"/>
  <c r="AF90" i="18"/>
  <c r="P87" i="12"/>
  <c r="Z59" i="12"/>
  <c r="N60" i="13"/>
  <c r="H92" i="12"/>
  <c r="V92" i="12"/>
  <c r="Q92" i="12"/>
  <c r="E92" i="12"/>
  <c r="X60" i="12"/>
  <c r="H60" i="12"/>
  <c r="AK90" i="12"/>
  <c r="AG90" i="12"/>
  <c r="V87" i="13"/>
  <c r="P90" i="17"/>
  <c r="U92" i="12"/>
  <c r="W92" i="12"/>
  <c r="AB90" i="17"/>
  <c r="AJ92" i="12"/>
  <c r="K60" i="17"/>
  <c r="S92" i="12"/>
  <c r="Y60" i="13"/>
  <c r="AF92" i="12"/>
  <c r="F60" i="12"/>
  <c r="X92" i="12"/>
  <c r="V89" i="18"/>
  <c r="W89" i="18"/>
  <c r="R86" i="15"/>
  <c r="U89" i="12"/>
  <c r="J62" i="16"/>
  <c r="W89" i="17"/>
  <c r="AJ89" i="12"/>
  <c r="X88" i="15"/>
  <c r="K61" i="15"/>
  <c r="W62" i="14"/>
  <c r="AD62" i="14"/>
  <c r="L63" i="17"/>
  <c r="AE86" i="12"/>
  <c r="V86" i="15"/>
  <c r="Y89" i="12"/>
  <c r="J63" i="17"/>
  <c r="E89" i="17"/>
  <c r="Q61" i="15"/>
  <c r="E62" i="14"/>
  <c r="K86" i="12"/>
  <c r="AL65" i="18"/>
  <c r="I89" i="12"/>
  <c r="S88" i="15"/>
  <c r="AJ62" i="14"/>
  <c r="AL86" i="12"/>
  <c r="E86" i="12"/>
  <c r="U65" i="18"/>
  <c r="J86" i="15"/>
  <c r="AB61" i="15"/>
  <c r="M62" i="14"/>
  <c r="H65" i="14"/>
  <c r="I61" i="15"/>
  <c r="K92" i="16"/>
  <c r="AH88" i="14"/>
  <c r="Y92" i="16"/>
  <c r="F91" i="16"/>
  <c r="K63" i="12"/>
  <c r="AA91" i="15"/>
  <c r="AJ61" i="14"/>
  <c r="AH91" i="12"/>
  <c r="J87" i="16"/>
  <c r="AB92" i="16"/>
  <c r="V61" i="14"/>
  <c r="O87" i="16"/>
  <c r="P61" i="13"/>
  <c r="K61" i="13"/>
  <c r="M88" i="14"/>
  <c r="M92" i="16"/>
  <c r="I91" i="16"/>
  <c r="H63" i="12"/>
  <c r="AL91" i="15"/>
  <c r="E62" i="18"/>
  <c r="AD61" i="14"/>
  <c r="L91" i="12"/>
  <c r="T61" i="13"/>
  <c r="S88" i="14"/>
  <c r="AA61" i="13"/>
  <c r="AI92" i="16"/>
  <c r="H59" i="18"/>
  <c r="K88" i="14"/>
  <c r="E91" i="16"/>
  <c r="AC91" i="16"/>
  <c r="AD63" i="12"/>
  <c r="AJ91" i="15"/>
  <c r="H65" i="18"/>
  <c r="Z89" i="12"/>
  <c r="P86" i="15"/>
  <c r="AL89" i="12"/>
  <c r="AB86" i="15"/>
  <c r="AJ86" i="15"/>
  <c r="N62" i="16"/>
  <c r="O61" i="15"/>
  <c r="S61" i="15"/>
  <c r="K63" i="17"/>
  <c r="W63" i="17"/>
  <c r="L89" i="17"/>
  <c r="K88" i="15"/>
  <c r="Z88" i="15"/>
  <c r="J65" i="14"/>
  <c r="K65" i="14"/>
  <c r="E61" i="15"/>
  <c r="AJ62" i="16"/>
  <c r="AF86" i="12"/>
  <c r="AA86" i="12"/>
  <c r="U86" i="12"/>
  <c r="O86" i="12"/>
  <c r="AA65" i="18"/>
  <c r="AE86" i="15"/>
  <c r="AK89" i="12"/>
  <c r="AJ65" i="18"/>
  <c r="U86" i="15"/>
  <c r="AH86" i="15"/>
  <c r="Z61" i="15"/>
  <c r="L62" i="16"/>
  <c r="AL61" i="15"/>
  <c r="P62" i="16"/>
  <c r="AF63" i="17"/>
  <c r="O63" i="17"/>
  <c r="G88" i="15"/>
  <c r="AH89" i="17"/>
  <c r="L88" i="15"/>
  <c r="AD88" i="15"/>
  <c r="T63" i="17"/>
  <c r="Z65" i="14"/>
  <c r="V65" i="14"/>
  <c r="AI65" i="14"/>
  <c r="I62" i="14"/>
  <c r="T86" i="12"/>
  <c r="AC65" i="18"/>
  <c r="AF89" i="12"/>
  <c r="S89" i="12"/>
  <c r="Z86" i="15"/>
  <c r="X65" i="18"/>
  <c r="AA62" i="16"/>
  <c r="R61" i="15"/>
  <c r="I86" i="15"/>
  <c r="R62" i="16"/>
  <c r="N63" i="17"/>
  <c r="X89" i="17"/>
  <c r="M89" i="17"/>
  <c r="Z89" i="17"/>
  <c r="AL88" i="15"/>
  <c r="N65" i="14"/>
  <c r="T65" i="14"/>
  <c r="I65" i="14"/>
  <c r="AF65" i="14"/>
  <c r="O65" i="14"/>
  <c r="X62" i="14"/>
  <c r="L62" i="14"/>
  <c r="AJ61" i="15"/>
  <c r="P86" i="12"/>
  <c r="S86" i="12"/>
  <c r="AH86" i="12"/>
  <c r="L65" i="18"/>
  <c r="V65" i="18"/>
  <c r="M65" i="18"/>
  <c r="Y86" i="15"/>
  <c r="R65" i="18"/>
  <c r="G89" i="12"/>
  <c r="Q86" i="15"/>
  <c r="O86" i="15"/>
  <c r="V62" i="16"/>
  <c r="Y63" i="17"/>
  <c r="Z63" i="17"/>
  <c r="Q63" i="17"/>
  <c r="K89" i="17"/>
  <c r="I89" i="17"/>
  <c r="N89" i="17"/>
  <c r="O88" i="15"/>
  <c r="AE65" i="14"/>
  <c r="Y65" i="14"/>
  <c r="AC62" i="16"/>
  <c r="O62" i="16"/>
  <c r="AI61" i="15"/>
  <c r="N62" i="14"/>
  <c r="K65" i="18"/>
  <c r="E65" i="18"/>
  <c r="AC89" i="12"/>
  <c r="F86" i="12"/>
  <c r="L86" i="12"/>
  <c r="F65" i="18"/>
  <c r="X89" i="12"/>
  <c r="G65" i="18"/>
  <c r="I65" i="18"/>
  <c r="AK65" i="18"/>
  <c r="T86" i="15"/>
  <c r="L86" i="15"/>
  <c r="AD61" i="15"/>
  <c r="E62" i="16"/>
  <c r="F62" i="16"/>
  <c r="V63" i="17"/>
  <c r="AC63" i="17"/>
  <c r="AC89" i="17"/>
  <c r="AK89" i="17"/>
  <c r="AH88" i="15"/>
  <c r="J88" i="15"/>
  <c r="AH65" i="14"/>
  <c r="Q62" i="14"/>
  <c r="H61" i="15"/>
  <c r="G62" i="14"/>
  <c r="P62" i="14"/>
  <c r="AB65" i="18"/>
  <c r="E86" i="15"/>
  <c r="AG65" i="18"/>
  <c r="W89" i="12"/>
  <c r="N86" i="15"/>
  <c r="AF86" i="15"/>
  <c r="M61" i="15"/>
  <c r="R63" i="17"/>
  <c r="I63" i="17"/>
  <c r="AK63" i="17"/>
  <c r="AD62" i="16"/>
  <c r="AI89" i="17"/>
  <c r="AG89" i="17"/>
  <c r="N88" i="15"/>
  <c r="R65" i="14"/>
  <c r="U88" i="15"/>
  <c r="L61" i="15"/>
  <c r="AI62" i="16"/>
  <c r="V62" i="14"/>
  <c r="T65" i="18"/>
  <c r="AE89" i="12"/>
  <c r="I86" i="12"/>
  <c r="W65" i="18"/>
  <c r="J89" i="12"/>
  <c r="O89" i="12"/>
  <c r="K86" i="15"/>
  <c r="AF65" i="18"/>
  <c r="U62" i="16"/>
  <c r="AB62" i="16"/>
  <c r="AC61" i="15"/>
  <c r="AL62" i="16"/>
  <c r="U63" i="17"/>
  <c r="H63" i="17"/>
  <c r="F63" i="17"/>
  <c r="AH62" i="16"/>
  <c r="R88" i="15"/>
  <c r="G89" i="17"/>
  <c r="AF89" i="17"/>
  <c r="Q88" i="15"/>
  <c r="P88" i="15"/>
  <c r="M88" i="15"/>
  <c r="H89" i="17"/>
  <c r="AD65" i="14"/>
  <c r="U65" i="14"/>
  <c r="G65" i="14"/>
  <c r="S62" i="14"/>
  <c r="X86" i="12"/>
  <c r="AK86" i="12"/>
  <c r="Z86" i="12"/>
  <c r="N86" i="12"/>
  <c r="V86" i="12"/>
  <c r="AG86" i="12"/>
  <c r="AH89" i="12"/>
  <c r="Y65" i="18"/>
  <c r="F89" i="12"/>
  <c r="H89" i="12"/>
  <c r="R89" i="12"/>
  <c r="AL86" i="15"/>
  <c r="AI65" i="18"/>
  <c r="AA86" i="15"/>
  <c r="X61" i="15"/>
  <c r="K62" i="16"/>
  <c r="M62" i="16"/>
  <c r="AL63" i="17"/>
  <c r="G63" i="17"/>
  <c r="AI88" i="15"/>
  <c r="Q89" i="17"/>
  <c r="AJ89" i="17"/>
  <c r="F89" i="17"/>
  <c r="AF88" i="15"/>
  <c r="AC88" i="15"/>
  <c r="L65" i="14"/>
  <c r="E65" i="14"/>
  <c r="AE62" i="16"/>
  <c r="J62" i="14"/>
  <c r="Y62" i="14"/>
  <c r="G62" i="16"/>
  <c r="H62" i="14"/>
  <c r="K62" i="14"/>
  <c r="AK62" i="14"/>
  <c r="AE61" i="15"/>
  <c r="S86" i="15"/>
  <c r="R86" i="12"/>
  <c r="P89" i="12"/>
  <c r="N65" i="18"/>
  <c r="AA89" i="12"/>
  <c r="AI89" i="12"/>
  <c r="M86" i="15"/>
  <c r="AK61" i="15"/>
  <c r="AI86" i="15"/>
  <c r="M63" i="17"/>
  <c r="AG63" i="17"/>
  <c r="N61" i="15"/>
  <c r="H88" i="15"/>
  <c r="V89" i="17"/>
  <c r="AB89" i="17"/>
  <c r="P89" i="17"/>
  <c r="AJ88" i="15"/>
  <c r="E88" i="15"/>
  <c r="X65" i="14"/>
  <c r="AB65" i="14"/>
  <c r="J61" i="15"/>
  <c r="AF62" i="16"/>
  <c r="Z62" i="14"/>
  <c r="AE62" i="14"/>
  <c r="AL65" i="14"/>
  <c r="AC62" i="14"/>
  <c r="U62" i="14"/>
  <c r="AB86" i="12"/>
  <c r="AG86" i="15"/>
  <c r="O65" i="18"/>
  <c r="AE65" i="18"/>
  <c r="L89" i="12"/>
  <c r="AB89" i="12"/>
  <c r="AD89" i="12"/>
  <c r="G86" i="15"/>
  <c r="X86" i="15"/>
  <c r="F86" i="15"/>
  <c r="W86" i="15"/>
  <c r="AD65" i="18"/>
  <c r="W62" i="16"/>
  <c r="Q62" i="16"/>
  <c r="T61" i="15"/>
  <c r="Z62" i="16"/>
  <c r="AI63" i="17"/>
  <c r="AE63" i="17"/>
  <c r="AA63" i="17"/>
  <c r="AJ63" i="17"/>
  <c r="R89" i="17"/>
  <c r="U89" i="17"/>
  <c r="AE89" i="17"/>
  <c r="J89" i="17"/>
  <c r="V88" i="15"/>
  <c r="I88" i="15"/>
  <c r="W88" i="15"/>
  <c r="AK88" i="15"/>
  <c r="AH63" i="17"/>
  <c r="AA88" i="15"/>
  <c r="S65" i="14"/>
  <c r="AK65" i="14"/>
  <c r="Q65" i="14"/>
  <c r="P61" i="15"/>
  <c r="I62" i="16"/>
  <c r="AA62" i="14"/>
  <c r="G61" i="15"/>
  <c r="AL62" i="14"/>
  <c r="AG62" i="14"/>
  <c r="AH62" i="14"/>
  <c r="Y86" i="12"/>
  <c r="W86" i="12"/>
  <c r="AD86" i="12"/>
  <c r="E89" i="12"/>
  <c r="Q86" i="12"/>
  <c r="J86" i="12"/>
  <c r="AJ86" i="12"/>
  <c r="V61" i="15"/>
  <c r="Y88" i="15"/>
  <c r="P65" i="18"/>
  <c r="S65" i="18"/>
  <c r="T89" i="12"/>
  <c r="K89" i="12"/>
  <c r="Q65" i="18"/>
  <c r="AG89" i="12"/>
  <c r="AD86" i="15"/>
  <c r="V89" i="12"/>
  <c r="Z65" i="18"/>
  <c r="F61" i="15"/>
  <c r="AF61" i="15"/>
  <c r="AC86" i="15"/>
  <c r="X62" i="16"/>
  <c r="U61" i="15"/>
  <c r="E63" i="17"/>
  <c r="AD63" i="17"/>
  <c r="P63" i="17"/>
  <c r="AH61" i="15"/>
  <c r="S89" i="17"/>
  <c r="AA89" i="17"/>
  <c r="Y89" i="17"/>
  <c r="AL89" i="17"/>
  <c r="AG88" i="15"/>
  <c r="AE88" i="15"/>
  <c r="T88" i="15"/>
  <c r="F65" i="14"/>
  <c r="AC65" i="14"/>
  <c r="AG65" i="14"/>
  <c r="AB88" i="15"/>
  <c r="P65" i="14"/>
  <c r="AJ65" i="14"/>
  <c r="W61" i="15"/>
  <c r="S62" i="16"/>
  <c r="AG61" i="15"/>
  <c r="O62" i="14"/>
  <c r="AA61" i="15"/>
  <c r="AI62" i="14"/>
  <c r="AB62" i="14"/>
  <c r="R62" i="14"/>
  <c r="T62" i="16"/>
  <c r="AF62" i="14"/>
  <c r="M89" i="12"/>
  <c r="H86" i="12"/>
  <c r="G86" i="12"/>
  <c r="Q89" i="12"/>
  <c r="AI86" i="12"/>
  <c r="Q88" i="18"/>
  <c r="AK88" i="18"/>
  <c r="N88" i="18"/>
  <c r="J88" i="18"/>
  <c r="M88" i="18"/>
  <c r="U88" i="18"/>
  <c r="E88" i="18"/>
  <c r="AC88" i="18"/>
  <c r="L88" i="18"/>
  <c r="AJ88" i="18"/>
  <c r="AH88" i="18"/>
  <c r="R88" i="18"/>
  <c r="AI88" i="18"/>
  <c r="AA88" i="18"/>
  <c r="Q86" i="13"/>
  <c r="V86" i="13"/>
  <c r="Y86" i="13"/>
  <c r="E86" i="13"/>
  <c r="S86" i="13"/>
  <c r="AC86" i="13"/>
  <c r="P86" i="13"/>
  <c r="AG86" i="13"/>
  <c r="AL86" i="13"/>
  <c r="T86" i="13"/>
  <c r="AH86" i="13"/>
  <c r="W86" i="13"/>
  <c r="Z86" i="13"/>
  <c r="AE86" i="13"/>
  <c r="AK86" i="16"/>
  <c r="O86" i="16"/>
  <c r="M86" i="16"/>
  <c r="AG86" i="16"/>
  <c r="L86" i="16"/>
  <c r="AJ86" i="16"/>
  <c r="K86" i="16"/>
  <c r="Y86" i="16"/>
  <c r="I86" i="16"/>
  <c r="X86" i="16"/>
  <c r="W86" i="16"/>
  <c r="F86" i="16"/>
  <c r="J86" i="16"/>
  <c r="U86" i="16"/>
  <c r="AE86" i="16"/>
  <c r="T89" i="14"/>
  <c r="AI89" i="14"/>
  <c r="S89" i="14"/>
  <c r="V89" i="14"/>
  <c r="H89" i="14"/>
  <c r="AG89" i="14"/>
  <c r="X89" i="14"/>
  <c r="AH89" i="14"/>
  <c r="M89" i="14"/>
  <c r="Y89" i="14"/>
  <c r="I89" i="14"/>
  <c r="AB89" i="14"/>
  <c r="N89" i="14"/>
  <c r="AB63" i="14"/>
  <c r="J63" i="14"/>
  <c r="O63" i="14"/>
  <c r="K63" i="14"/>
  <c r="AC63" i="14"/>
  <c r="M63" i="14"/>
  <c r="V63" i="14"/>
  <c r="N63" i="14"/>
  <c r="S63" i="14"/>
  <c r="G63" i="14"/>
  <c r="AJ63" i="14"/>
  <c r="L63" i="14"/>
  <c r="Q63" i="14"/>
  <c r="AE92" i="14"/>
  <c r="AF92" i="14"/>
  <c r="E92" i="14"/>
  <c r="AI92" i="14"/>
  <c r="AK92" i="14"/>
  <c r="R92" i="14"/>
  <c r="T92" i="14"/>
  <c r="F92" i="14"/>
  <c r="W92" i="14"/>
  <c r="J92" i="14"/>
  <c r="X92" i="14"/>
  <c r="H92" i="14"/>
  <c r="AB91" i="13"/>
  <c r="O91" i="13"/>
  <c r="M91" i="13"/>
  <c r="U91" i="13"/>
  <c r="E91" i="13"/>
  <c r="AA91" i="13"/>
  <c r="AD91" i="13"/>
  <c r="W91" i="13"/>
  <c r="AH91" i="13"/>
  <c r="G91" i="13"/>
  <c r="S91" i="13"/>
  <c r="F91" i="13"/>
  <c r="P91" i="13"/>
  <c r="G89" i="16"/>
  <c r="AF89" i="16"/>
  <c r="AE89" i="16"/>
  <c r="L89" i="16"/>
  <c r="H89" i="16"/>
  <c r="V89" i="16"/>
  <c r="AJ89" i="16"/>
  <c r="Z89" i="16"/>
  <c r="AK89" i="16"/>
  <c r="O89" i="16"/>
  <c r="K92" i="13"/>
  <c r="AC92" i="13"/>
  <c r="AE92" i="13"/>
  <c r="J92" i="13"/>
  <c r="Q92" i="13"/>
  <c r="G92" i="13"/>
  <c r="U92" i="13"/>
  <c r="R92" i="13"/>
  <c r="AH92" i="13"/>
  <c r="AA92" i="13"/>
  <c r="V92" i="13"/>
  <c r="AJ65" i="12"/>
  <c r="AK65" i="12"/>
  <c r="U65" i="12"/>
  <c r="AG65" i="12"/>
  <c r="AA65" i="12"/>
  <c r="E65" i="12"/>
  <c r="X65" i="12"/>
  <c r="AB65" i="12"/>
  <c r="Y65" i="12"/>
  <c r="Q65" i="12"/>
  <c r="Z65" i="12"/>
  <c r="H65" i="12"/>
  <c r="N65" i="12"/>
  <c r="V65" i="12"/>
  <c r="M65" i="12"/>
  <c r="O65" i="12"/>
  <c r="J65" i="12"/>
  <c r="L92" i="13"/>
  <c r="AL92" i="13"/>
  <c r="AG92" i="13"/>
  <c r="N86" i="13"/>
  <c r="X86" i="13"/>
  <c r="AH63" i="14"/>
  <c r="AE91" i="13"/>
  <c r="Z91" i="13"/>
  <c r="T91" i="13"/>
  <c r="F88" i="18"/>
  <c r="AC86" i="16"/>
  <c r="AD86" i="16"/>
  <c r="AD88" i="18"/>
  <c r="X88" i="18"/>
  <c r="Q92" i="14"/>
  <c r="AJ92" i="14"/>
  <c r="R65" i="12"/>
  <c r="S65" i="12"/>
  <c r="AA89" i="14"/>
  <c r="AB89" i="16"/>
  <c r="E89" i="14"/>
  <c r="AB92" i="13"/>
  <c r="P92" i="13"/>
  <c r="E92" i="13"/>
  <c r="I63" i="14"/>
  <c r="AI63" i="14"/>
  <c r="AG63" i="14"/>
  <c r="F86" i="13"/>
  <c r="U86" i="13"/>
  <c r="E63" i="14"/>
  <c r="P63" i="14"/>
  <c r="Q89" i="16"/>
  <c r="AJ91" i="13"/>
  <c r="K91" i="13"/>
  <c r="V91" i="13"/>
  <c r="AC92" i="14"/>
  <c r="AI86" i="16"/>
  <c r="Z86" i="16"/>
  <c r="Y88" i="18"/>
  <c r="S88" i="18"/>
  <c r="AH92" i="14"/>
  <c r="L92" i="14"/>
  <c r="V92" i="14"/>
  <c r="AD92" i="14"/>
  <c r="AC65" i="12"/>
  <c r="F89" i="14"/>
  <c r="Z89" i="14"/>
  <c r="J89" i="14"/>
  <c r="X89" i="16"/>
  <c r="W89" i="16"/>
  <c r="AK89" i="14"/>
  <c r="AE89" i="14"/>
  <c r="Y92" i="13"/>
  <c r="AI92" i="13"/>
  <c r="T92" i="13"/>
  <c r="U63" i="14"/>
  <c r="J86" i="13"/>
  <c r="AA86" i="13"/>
  <c r="Z63" i="14"/>
  <c r="AK63" i="14"/>
  <c r="Y89" i="16"/>
  <c r="AF91" i="13"/>
  <c r="I91" i="13"/>
  <c r="AA89" i="16"/>
  <c r="AB88" i="18"/>
  <c r="V86" i="16"/>
  <c r="AF86" i="16"/>
  <c r="AL88" i="18"/>
  <c r="G88" i="18"/>
  <c r="Y92" i="14"/>
  <c r="AL92" i="14"/>
  <c r="I65" i="12"/>
  <c r="AL65" i="12"/>
  <c r="AH86" i="16"/>
  <c r="N89" i="16"/>
  <c r="AJ92" i="13"/>
  <c r="X92" i="13"/>
  <c r="I92" i="13"/>
  <c r="I86" i="13"/>
  <c r="AJ86" i="13"/>
  <c r="T63" i="14"/>
  <c r="F63" i="14"/>
  <c r="AL89" i="16"/>
  <c r="N91" i="13"/>
  <c r="AL91" i="13"/>
  <c r="Q86" i="16"/>
  <c r="AL86" i="16"/>
  <c r="AG88" i="18"/>
  <c r="W88" i="18"/>
  <c r="AG92" i="14"/>
  <c r="I92" i="14"/>
  <c r="Z92" i="14"/>
  <c r="F65" i="12"/>
  <c r="S92" i="14"/>
  <c r="P89" i="16"/>
  <c r="AL89" i="14"/>
  <c r="AG89" i="16"/>
  <c r="AD89" i="14"/>
  <c r="R89" i="16"/>
  <c r="AJ89" i="14"/>
  <c r="Z92" i="13"/>
  <c r="S92" i="13"/>
  <c r="Y63" i="14"/>
  <c r="H63" i="14"/>
  <c r="H86" i="13"/>
  <c r="AI86" i="13"/>
  <c r="AK86" i="13"/>
  <c r="X63" i="14"/>
  <c r="T89" i="16"/>
  <c r="AD89" i="16"/>
  <c r="M89" i="16"/>
  <c r="S89" i="16"/>
  <c r="AC91" i="13"/>
  <c r="R91" i="13"/>
  <c r="G86" i="16"/>
  <c r="T86" i="16"/>
  <c r="O88" i="18"/>
  <c r="H88" i="18"/>
  <c r="K92" i="14"/>
  <c r="U92" i="14"/>
  <c r="G65" i="12"/>
  <c r="P86" i="16"/>
  <c r="AE65" i="12"/>
  <c r="K65" i="12"/>
  <c r="AB86" i="16"/>
  <c r="I89" i="16"/>
  <c r="O89" i="14"/>
  <c r="G89" i="14"/>
  <c r="R89" i="14"/>
  <c r="AH89" i="16"/>
  <c r="AK91" i="16"/>
  <c r="Q62" i="18"/>
  <c r="AE62" i="18"/>
  <c r="Z91" i="12"/>
  <c r="M91" i="12"/>
  <c r="AI87" i="16"/>
  <c r="P91" i="15"/>
  <c r="AE61" i="13"/>
  <c r="AC61" i="13"/>
  <c r="W91" i="16"/>
  <c r="AG91" i="16"/>
  <c r="AB91" i="16"/>
  <c r="AD91" i="16"/>
  <c r="V91" i="16"/>
  <c r="L91" i="16"/>
  <c r="AJ91" i="16"/>
  <c r="AH91" i="16"/>
  <c r="AF91" i="16"/>
  <c r="AE91" i="16"/>
  <c r="R91" i="16"/>
  <c r="O91" i="16"/>
  <c r="Q91" i="16"/>
  <c r="J91" i="16"/>
  <c r="AL91" i="16"/>
  <c r="P91" i="16"/>
  <c r="AI91" i="16"/>
  <c r="N91" i="12"/>
  <c r="O91" i="12"/>
  <c r="P91" i="12"/>
  <c r="U91" i="12"/>
  <c r="T91" i="12"/>
  <c r="R91" i="12"/>
  <c r="AC91" i="12"/>
  <c r="AF91" i="12"/>
  <c r="AG91" i="12"/>
  <c r="S91" i="12"/>
  <c r="V91" i="12"/>
  <c r="X91" i="12"/>
  <c r="AA91" i="12"/>
  <c r="I91" i="12"/>
  <c r="AI91" i="12"/>
  <c r="AJ91" i="12"/>
  <c r="H91" i="12"/>
  <c r="K91" i="12"/>
  <c r="E91" i="12"/>
  <c r="Q91" i="12"/>
  <c r="AG87" i="16"/>
  <c r="I87" i="16"/>
  <c r="AC87" i="16"/>
  <c r="Z87" i="16"/>
  <c r="G87" i="16"/>
  <c r="R87" i="16"/>
  <c r="N87" i="16"/>
  <c r="U87" i="16"/>
  <c r="M87" i="16"/>
  <c r="Y87" i="16"/>
  <c r="AA87" i="16"/>
  <c r="E87" i="16"/>
  <c r="T87" i="16"/>
  <c r="P87" i="16"/>
  <c r="S87" i="16"/>
  <c r="AD87" i="16"/>
  <c r="L87" i="16"/>
  <c r="AL87" i="16"/>
  <c r="Q87" i="16"/>
  <c r="AJ61" i="13"/>
  <c r="F61" i="13"/>
  <c r="E61" i="13"/>
  <c r="M61" i="13"/>
  <c r="AH61" i="13"/>
  <c r="W61" i="13"/>
  <c r="AI61" i="13"/>
  <c r="H61" i="13"/>
  <c r="V61" i="13"/>
  <c r="U61" i="13"/>
  <c r="AD61" i="13"/>
  <c r="Z61" i="13"/>
  <c r="Q61" i="13"/>
  <c r="AL61" i="13"/>
  <c r="G61" i="13"/>
  <c r="N62" i="18"/>
  <c r="X62" i="18"/>
  <c r="AH62" i="18"/>
  <c r="H62" i="18"/>
  <c r="G62" i="18"/>
  <c r="AK62" i="18"/>
  <c r="S62" i="18"/>
  <c r="R62" i="18"/>
  <c r="AF62" i="18"/>
  <c r="AI62" i="18"/>
  <c r="T62" i="18"/>
  <c r="M62" i="18"/>
  <c r="AC62" i="18"/>
  <c r="AD62" i="18"/>
  <c r="W62" i="18"/>
  <c r="AB62" i="18"/>
  <c r="Y62" i="18"/>
  <c r="AE59" i="18"/>
  <c r="AH59" i="18"/>
  <c r="AJ59" i="18"/>
  <c r="AG59" i="18"/>
  <c r="AB59" i="18"/>
  <c r="AD59" i="18"/>
  <c r="S59" i="18"/>
  <c r="AL59" i="18"/>
  <c r="AF59" i="18"/>
  <c r="U59" i="18"/>
  <c r="K59" i="18"/>
  <c r="F59" i="18"/>
  <c r="V59" i="18"/>
  <c r="M59" i="18"/>
  <c r="AI59" i="18"/>
  <c r="T59" i="18"/>
  <c r="E59" i="18"/>
  <c r="AK59" i="18"/>
  <c r="G59" i="18"/>
  <c r="J91" i="15"/>
  <c r="H91" i="15"/>
  <c r="O91" i="15"/>
  <c r="X91" i="15"/>
  <c r="S91" i="15"/>
  <c r="K91" i="15"/>
  <c r="V91" i="15"/>
  <c r="AB91" i="15"/>
  <c r="AE91" i="15"/>
  <c r="Y91" i="15"/>
  <c r="Z91" i="15"/>
  <c r="AF91" i="15"/>
  <c r="Q91" i="15"/>
  <c r="I91" i="15"/>
  <c r="AD91" i="15"/>
  <c r="R91" i="15"/>
  <c r="AI91" i="15"/>
  <c r="W91" i="15"/>
  <c r="F91" i="15"/>
  <c r="R88" i="14"/>
  <c r="N88" i="14"/>
  <c r="Y88" i="14"/>
  <c r="AD88" i="14"/>
  <c r="I88" i="14"/>
  <c r="E88" i="14"/>
  <c r="Z88" i="14"/>
  <c r="AA88" i="14"/>
  <c r="AK88" i="14"/>
  <c r="X88" i="14"/>
  <c r="AG88" i="14"/>
  <c r="P88" i="14"/>
  <c r="AB88" i="14"/>
  <c r="L88" i="14"/>
  <c r="J88" i="14"/>
  <c r="Q88" i="14"/>
  <c r="AJ88" i="14"/>
  <c r="AI61" i="14"/>
  <c r="Y61" i="14"/>
  <c r="L61" i="14"/>
  <c r="G61" i="14"/>
  <c r="AE61" i="14"/>
  <c r="AG61" i="14"/>
  <c r="Z61" i="14"/>
  <c r="AH61" i="14"/>
  <c r="I61" i="14"/>
  <c r="F61" i="14"/>
  <c r="AL61" i="14"/>
  <c r="AC61" i="14"/>
  <c r="H61" i="14"/>
  <c r="T61" i="14"/>
  <c r="AA92" i="16"/>
  <c r="L92" i="16"/>
  <c r="O92" i="16"/>
  <c r="X92" i="16"/>
  <c r="U92" i="16"/>
  <c r="Q92" i="16"/>
  <c r="AH92" i="16"/>
  <c r="Z92" i="16"/>
  <c r="T92" i="16"/>
  <c r="AK92" i="16"/>
  <c r="AJ92" i="16"/>
  <c r="V92" i="16"/>
  <c r="AF92" i="16"/>
  <c r="F92" i="16"/>
  <c r="AC92" i="16"/>
  <c r="H92" i="16"/>
  <c r="P92" i="16"/>
  <c r="I63" i="12"/>
  <c r="U63" i="12"/>
  <c r="AK63" i="12"/>
  <c r="X63" i="12"/>
  <c r="AC63" i="12"/>
  <c r="O63" i="12"/>
  <c r="AJ63" i="12"/>
  <c r="L63" i="12"/>
  <c r="AL63" i="12"/>
  <c r="N63" i="12"/>
  <c r="V63" i="12"/>
  <c r="P63" i="12"/>
  <c r="S63" i="12"/>
  <c r="Y63" i="12"/>
  <c r="E63" i="12"/>
  <c r="J63" i="12"/>
  <c r="AH63" i="12"/>
  <c r="F63" i="12"/>
  <c r="Z91" i="16"/>
  <c r="AA91" i="16"/>
  <c r="F91" i="12"/>
  <c r="AE91" i="12"/>
  <c r="G91" i="12"/>
  <c r="AH87" i="16"/>
  <c r="F87" i="16"/>
  <c r="AE87" i="16"/>
  <c r="V62" i="18"/>
  <c r="L91" i="15"/>
  <c r="AB61" i="13"/>
  <c r="Q59" i="18"/>
  <c r="J59" i="18"/>
  <c r="I59" i="18"/>
  <c r="Y91" i="16"/>
  <c r="S91" i="16"/>
  <c r="AB91" i="12"/>
  <c r="K61" i="14"/>
  <c r="AL91" i="12"/>
  <c r="P61" i="14"/>
  <c r="O62" i="18"/>
  <c r="N91" i="15"/>
  <c r="F62" i="18"/>
  <c r="AJ62" i="18"/>
  <c r="AF87" i="16"/>
  <c r="Y61" i="13"/>
  <c r="AK61" i="13"/>
  <c r="Z59" i="18"/>
  <c r="U91" i="16"/>
  <c r="K91" i="16"/>
  <c r="K62" i="18"/>
  <c r="T91" i="15"/>
  <c r="X61" i="14"/>
  <c r="AK91" i="12"/>
  <c r="M61" i="14"/>
  <c r="H87" i="16"/>
  <c r="K87" i="16"/>
  <c r="U91" i="15"/>
  <c r="L62" i="18"/>
  <c r="N61" i="13"/>
  <c r="G88" i="14"/>
  <c r="J61" i="13"/>
  <c r="R61" i="13"/>
  <c r="AG61" i="13"/>
  <c r="I61" i="13"/>
  <c r="AF61" i="13"/>
  <c r="R59" i="16"/>
  <c r="AJ59" i="16"/>
  <c r="L59" i="16"/>
  <c r="H59" i="16"/>
  <c r="Q91" i="14"/>
  <c r="U59" i="17"/>
  <c r="AG59" i="17"/>
  <c r="AI91" i="14"/>
  <c r="AG59" i="16"/>
  <c r="J59" i="16"/>
  <c r="X89" i="15"/>
  <c r="J62" i="13"/>
  <c r="I62" i="13"/>
  <c r="AD61" i="12"/>
  <c r="AB61" i="12"/>
  <c r="N61" i="12"/>
  <c r="U61" i="12"/>
  <c r="AK61" i="12"/>
  <c r="E64" i="18"/>
  <c r="P88" i="16"/>
  <c r="K88" i="16"/>
  <c r="L59" i="17"/>
  <c r="AF59" i="17"/>
  <c r="AL92" i="18"/>
  <c r="V65" i="16"/>
  <c r="Y88" i="17"/>
  <c r="F65" i="16"/>
  <c r="AJ65" i="16"/>
  <c r="K88" i="17"/>
  <c r="Q87" i="15"/>
  <c r="J92" i="17"/>
  <c r="AF92" i="18"/>
  <c r="AE59" i="14"/>
  <c r="Z87" i="15"/>
  <c r="I60" i="16"/>
  <c r="X62" i="15"/>
  <c r="AJ86" i="14"/>
  <c r="AD87" i="15"/>
  <c r="O60" i="16"/>
  <c r="F92" i="18"/>
  <c r="Q92" i="17"/>
  <c r="L59" i="14"/>
  <c r="W65" i="16"/>
  <c r="W62" i="15"/>
  <c r="U92" i="17"/>
  <c r="AF60" i="16"/>
  <c r="H86" i="14"/>
  <c r="L86" i="14"/>
  <c r="P59" i="14"/>
  <c r="N59" i="14"/>
  <c r="M59" i="14"/>
  <c r="AH59" i="14"/>
  <c r="R59" i="14"/>
  <c r="X59" i="14"/>
  <c r="AK59" i="14"/>
  <c r="S59" i="14"/>
  <c r="F59" i="14"/>
  <c r="Q59" i="14"/>
  <c r="Z59" i="14"/>
  <c r="AJ59" i="14"/>
  <c r="I59" i="14"/>
  <c r="AC59" i="14"/>
  <c r="Y59" i="14"/>
  <c r="AD59" i="14"/>
  <c r="AI92" i="17"/>
  <c r="K92" i="17"/>
  <c r="N92" i="17"/>
  <c r="R92" i="17"/>
  <c r="V92" i="17"/>
  <c r="AL92" i="17"/>
  <c r="S92" i="17"/>
  <c r="AA92" i="17"/>
  <c r="AK92" i="17"/>
  <c r="H92" i="17"/>
  <c r="L92" i="17"/>
  <c r="T92" i="17"/>
  <c r="AF92" i="17"/>
  <c r="AG62" i="15"/>
  <c r="F62" i="15"/>
  <c r="M62" i="15"/>
  <c r="S62" i="15"/>
  <c r="AJ62" i="15"/>
  <c r="G62" i="15"/>
  <c r="Y62" i="15"/>
  <c r="J62" i="15"/>
  <c r="AC62" i="15"/>
  <c r="AE62" i="15"/>
  <c r="T62" i="15"/>
  <c r="Z92" i="18"/>
  <c r="P92" i="18"/>
  <c r="AK92" i="18"/>
  <c r="O92" i="18"/>
  <c r="Y92" i="18"/>
  <c r="R92" i="18"/>
  <c r="T92" i="18"/>
  <c r="I92" i="18"/>
  <c r="AD92" i="18"/>
  <c r="AA92" i="18"/>
  <c r="H92" i="18"/>
  <c r="X92" i="18"/>
  <c r="AH92" i="18"/>
  <c r="U92" i="18"/>
  <c r="K92" i="18"/>
  <c r="G92" i="18"/>
  <c r="W92" i="18"/>
  <c r="AC92" i="18"/>
  <c r="AJ92" i="18"/>
  <c r="E92" i="18"/>
  <c r="J92" i="18"/>
  <c r="AE92" i="18"/>
  <c r="N92" i="18"/>
  <c r="Z65" i="16"/>
  <c r="R65" i="16"/>
  <c r="AG65" i="16"/>
  <c r="N65" i="16"/>
  <c r="P65" i="16"/>
  <c r="K65" i="16"/>
  <c r="Y65" i="16"/>
  <c r="AE65" i="16"/>
  <c r="J65" i="16"/>
  <c r="T65" i="16"/>
  <c r="AA65" i="16"/>
  <c r="L65" i="16"/>
  <c r="AI65" i="16"/>
  <c r="X65" i="16"/>
  <c r="AF65" i="16"/>
  <c r="AC65" i="16"/>
  <c r="M65" i="16"/>
  <c r="AD65" i="16"/>
  <c r="AK65" i="16"/>
  <c r="S65" i="16"/>
  <c r="AH65" i="16"/>
  <c r="AL65" i="16"/>
  <c r="AB65" i="16"/>
  <c r="H65" i="16"/>
  <c r="Q65" i="16"/>
  <c r="E60" i="16"/>
  <c r="R60" i="16"/>
  <c r="AH60" i="16"/>
  <c r="W60" i="16"/>
  <c r="L60" i="16"/>
  <c r="S60" i="16"/>
  <c r="G60" i="16"/>
  <c r="M60" i="16"/>
  <c r="AG60" i="16"/>
  <c r="U60" i="16"/>
  <c r="AL60" i="16"/>
  <c r="AK60" i="16"/>
  <c r="H60" i="16"/>
  <c r="Q60" i="16"/>
  <c r="AB60" i="16"/>
  <c r="AD60" i="16"/>
  <c r="J60" i="16"/>
  <c r="Z60" i="16"/>
  <c r="AA60" i="16"/>
  <c r="Y60" i="16"/>
  <c r="AC60" i="16"/>
  <c r="V60" i="16"/>
  <c r="AJ60" i="16"/>
  <c r="K60" i="16"/>
  <c r="Y86" i="14"/>
  <c r="I86" i="14"/>
  <c r="AF86" i="14"/>
  <c r="AB86" i="14"/>
  <c r="AI86" i="14"/>
  <c r="AH86" i="14"/>
  <c r="AD86" i="14"/>
  <c r="AK86" i="14"/>
  <c r="U86" i="14"/>
  <c r="F86" i="14"/>
  <c r="AA86" i="14"/>
  <c r="J86" i="14"/>
  <c r="O86" i="14"/>
  <c r="AL86" i="14"/>
  <c r="E86" i="14"/>
  <c r="M86" i="14"/>
  <c r="T86" i="14"/>
  <c r="W64" i="17"/>
  <c r="R64" i="17"/>
  <c r="AI64" i="17"/>
  <c r="K64" i="17"/>
  <c r="U64" i="17"/>
  <c r="Z64" i="17"/>
  <c r="Q64" i="17"/>
  <c r="P64" i="17"/>
  <c r="G64" i="17"/>
  <c r="V64" i="17"/>
  <c r="AG64" i="17"/>
  <c r="X64" i="17"/>
  <c r="H64" i="17"/>
  <c r="AE64" i="17"/>
  <c r="AH64" i="17"/>
  <c r="AC64" i="17"/>
  <c r="S64" i="17"/>
  <c r="T64" i="17"/>
  <c r="Y64" i="17"/>
  <c r="AJ64" i="17"/>
  <c r="AL64" i="17"/>
  <c r="AK64" i="17"/>
  <c r="L64" i="17"/>
  <c r="AF64" i="17"/>
  <c r="M64" i="17"/>
  <c r="N64" i="17"/>
  <c r="J88" i="17"/>
  <c r="E88" i="17"/>
  <c r="R88" i="17"/>
  <c r="V88" i="17"/>
  <c r="L88" i="17"/>
  <c r="AC88" i="17"/>
  <c r="Q88" i="17"/>
  <c r="I88" i="17"/>
  <c r="AH88" i="17"/>
  <c r="AB88" i="17"/>
  <c r="F88" i="17"/>
  <c r="AF88" i="17"/>
  <c r="AI88" i="17"/>
  <c r="G88" i="17"/>
  <c r="AE88" i="17"/>
  <c r="AK88" i="17"/>
  <c r="P88" i="17"/>
  <c r="AL88" i="17"/>
  <c r="AA88" i="17"/>
  <c r="S88" i="17"/>
  <c r="N88" i="17"/>
  <c r="AJ88" i="17"/>
  <c r="AB87" i="15"/>
  <c r="W87" i="15"/>
  <c r="Y87" i="15"/>
  <c r="AI87" i="15"/>
  <c r="AK87" i="15"/>
  <c r="F87" i="15"/>
  <c r="M87" i="15"/>
  <c r="R87" i="15"/>
  <c r="J87" i="15"/>
  <c r="AJ87" i="15"/>
  <c r="N87" i="15"/>
  <c r="H87" i="15"/>
  <c r="AF87" i="15"/>
  <c r="X87" i="15"/>
  <c r="AL87" i="15"/>
  <c r="AE87" i="15"/>
  <c r="S87" i="15"/>
  <c r="AC87" i="15"/>
  <c r="O87" i="15"/>
  <c r="L87" i="15"/>
  <c r="Z86" i="14"/>
  <c r="K86" i="14"/>
  <c r="AJ92" i="17"/>
  <c r="AD64" i="17"/>
  <c r="S86" i="14"/>
  <c r="L92" i="18"/>
  <c r="AD88" i="17"/>
  <c r="O65" i="16"/>
  <c r="I65" i="16"/>
  <c r="V87" i="15"/>
  <c r="H88" i="17"/>
  <c r="E62" i="15"/>
  <c r="G86" i="14"/>
  <c r="AB64" i="17"/>
  <c r="AG92" i="18"/>
  <c r="F64" i="17"/>
  <c r="V92" i="18"/>
  <c r="P86" i="14"/>
  <c r="M88" i="17"/>
  <c r="O88" i="17"/>
  <c r="AI60" i="16"/>
  <c r="T87" i="15"/>
  <c r="L62" i="15"/>
  <c r="W86" i="14"/>
  <c r="E64" i="17"/>
  <c r="M92" i="18"/>
  <c r="V62" i="15"/>
  <c r="R86" i="14"/>
  <c r="U88" i="17"/>
  <c r="Z88" i="17"/>
  <c r="F60" i="16"/>
  <c r="E65" i="16"/>
  <c r="P87" i="15"/>
  <c r="E87" i="15"/>
  <c r="I87" i="15"/>
  <c r="AE60" i="16"/>
  <c r="Q86" i="14"/>
  <c r="X86" i="14"/>
  <c r="AC86" i="14"/>
  <c r="F92" i="17"/>
  <c r="J64" i="17"/>
  <c r="U62" i="15"/>
  <c r="AB92" i="18"/>
  <c r="N62" i="15"/>
  <c r="X88" i="17"/>
  <c r="AG88" i="17"/>
  <c r="T60" i="16"/>
  <c r="K87" i="15"/>
  <c r="AA87" i="15"/>
  <c r="U59" i="14"/>
  <c r="E59" i="14"/>
  <c r="N60" i="16"/>
  <c r="U87" i="15"/>
  <c r="AE92" i="17"/>
  <c r="AE86" i="14"/>
  <c r="AA62" i="15"/>
  <c r="AG86" i="14"/>
  <c r="P92" i="17"/>
  <c r="AA64" i="17"/>
  <c r="Q92" i="18"/>
  <c r="N86" i="14"/>
  <c r="S92" i="18"/>
  <c r="R62" i="15"/>
  <c r="G65" i="16"/>
  <c r="AH87" i="15"/>
  <c r="G87" i="15"/>
  <c r="J59" i="14"/>
  <c r="V59" i="14"/>
  <c r="X60" i="16"/>
  <c r="W88" i="17"/>
  <c r="O64" i="17"/>
  <c r="AI87" i="12"/>
  <c r="AB59" i="12"/>
  <c r="F87" i="13"/>
  <c r="AJ87" i="13"/>
  <c r="AI60" i="17"/>
  <c r="M90" i="17"/>
  <c r="Y87" i="12"/>
  <c r="S60" i="12"/>
  <c r="T60" i="12"/>
  <c r="I60" i="13"/>
  <c r="R60" i="12"/>
  <c r="AK87" i="12"/>
  <c r="X59" i="12"/>
  <c r="W87" i="13"/>
  <c r="E87" i="13"/>
  <c r="U60" i="17"/>
  <c r="Q60" i="13"/>
  <c r="X60" i="17"/>
  <c r="J90" i="17"/>
  <c r="Y89" i="18"/>
  <c r="K87" i="12"/>
  <c r="AF87" i="12"/>
  <c r="N59" i="12"/>
  <c r="AF87" i="13"/>
  <c r="AC60" i="13"/>
  <c r="U90" i="12"/>
  <c r="V90" i="17"/>
  <c r="O90" i="17"/>
  <c r="AD60" i="17"/>
  <c r="AE89" i="18"/>
  <c r="AF89" i="18"/>
  <c r="AC87" i="12"/>
  <c r="V59" i="12"/>
  <c r="AE59" i="12"/>
  <c r="AE87" i="13"/>
  <c r="Z90" i="12"/>
  <c r="AB60" i="13"/>
  <c r="AF60" i="17"/>
  <c r="U60" i="13"/>
  <c r="O60" i="13"/>
  <c r="AB60" i="12"/>
  <c r="M87" i="12"/>
  <c r="AE87" i="12"/>
  <c r="Q59" i="12"/>
  <c r="R90" i="12"/>
  <c r="W90" i="12"/>
  <c r="AI87" i="13"/>
  <c r="AJ60" i="17"/>
  <c r="I60" i="17"/>
  <c r="M60" i="17"/>
  <c r="W60" i="17"/>
  <c r="AH60" i="17"/>
  <c r="AG60" i="12"/>
  <c r="M60" i="12"/>
  <c r="AL87" i="12"/>
  <c r="M59" i="12"/>
  <c r="AD59" i="12"/>
  <c r="AL90" i="12"/>
  <c r="AL87" i="13"/>
  <c r="K90" i="12"/>
  <c r="M87" i="13"/>
  <c r="P60" i="13"/>
  <c r="AD60" i="13"/>
  <c r="G60" i="13"/>
  <c r="F90" i="17"/>
  <c r="N90" i="17"/>
  <c r="AL60" i="12"/>
  <c r="P60" i="17"/>
  <c r="K60" i="12"/>
  <c r="U89" i="18"/>
  <c r="AG87" i="12"/>
  <c r="T59" i="12"/>
  <c r="AG59" i="12"/>
  <c r="L90" i="12"/>
  <c r="O90" i="12"/>
  <c r="AB90" i="12"/>
  <c r="S87" i="13"/>
  <c r="I87" i="13"/>
  <c r="AA60" i="13"/>
  <c r="Z87" i="12"/>
  <c r="I87" i="12"/>
  <c r="AL90" i="17"/>
  <c r="G60" i="17"/>
  <c r="E90" i="17"/>
  <c r="J60" i="17"/>
  <c r="AA60" i="12"/>
  <c r="W60" i="12"/>
  <c r="L60" i="12"/>
  <c r="E60" i="13"/>
  <c r="S89" i="18"/>
  <c r="Z61" i="16"/>
  <c r="N61" i="16"/>
  <c r="O87" i="12"/>
  <c r="F87" i="12"/>
  <c r="F59" i="12"/>
  <c r="AJ59" i="12"/>
  <c r="Q90" i="12"/>
  <c r="AF90" i="12"/>
  <c r="N90" i="12"/>
  <c r="AD87" i="13"/>
  <c r="R60" i="13"/>
  <c r="Q90" i="17"/>
  <c r="W87" i="12"/>
  <c r="X87" i="12"/>
  <c r="AL60" i="17"/>
  <c r="U59" i="12"/>
  <c r="AI60" i="12"/>
  <c r="AI89" i="18"/>
  <c r="AG89" i="18"/>
  <c r="Z89" i="18"/>
  <c r="AF61" i="16"/>
  <c r="AI61" i="16"/>
  <c r="AB87" i="12"/>
  <c r="L59" i="12"/>
  <c r="H59" i="12"/>
  <c r="H87" i="13"/>
  <c r="I90" i="12"/>
  <c r="T90" i="12"/>
  <c r="F90" i="12"/>
  <c r="L87" i="13"/>
  <c r="Z60" i="13"/>
  <c r="W60" i="13"/>
  <c r="V60" i="13"/>
  <c r="U87" i="13"/>
  <c r="L90" i="17"/>
  <c r="Y60" i="17"/>
  <c r="W90" i="17"/>
  <c r="L60" i="17"/>
  <c r="AH90" i="17"/>
  <c r="AK60" i="13"/>
  <c r="U87" i="12"/>
  <c r="AF90" i="17"/>
  <c r="L87" i="12"/>
  <c r="V60" i="17"/>
  <c r="K60" i="13"/>
  <c r="AE90" i="17"/>
  <c r="K89" i="18"/>
  <c r="I89" i="18"/>
  <c r="AH60" i="13"/>
  <c r="T89" i="18"/>
  <c r="J89" i="18"/>
  <c r="N60" i="12"/>
  <c r="F61" i="16"/>
  <c r="M61" i="16"/>
  <c r="T61" i="16"/>
  <c r="Y61" i="16"/>
  <c r="G87" i="12"/>
  <c r="K59" i="12"/>
  <c r="P59" i="12"/>
  <c r="G59" i="12"/>
  <c r="R59" i="12"/>
  <c r="Z87" i="13"/>
  <c r="M90" i="12"/>
  <c r="AA90" i="12"/>
  <c r="AA87" i="13"/>
  <c r="AH87" i="13"/>
  <c r="S60" i="13"/>
  <c r="AK60" i="17"/>
  <c r="S90" i="17"/>
  <c r="R60" i="17"/>
  <c r="AC90" i="17"/>
  <c r="E60" i="12"/>
  <c r="T87" i="12"/>
  <c r="V60" i="12"/>
  <c r="AC60" i="12"/>
  <c r="AE60" i="12"/>
  <c r="G60" i="12"/>
  <c r="F89" i="18"/>
  <c r="M89" i="18"/>
  <c r="X89" i="18"/>
  <c r="L61" i="16"/>
  <c r="AL61" i="16"/>
  <c r="AD61" i="16"/>
  <c r="J87" i="12"/>
  <c r="AJ87" i="12"/>
  <c r="V87" i="12"/>
  <c r="J59" i="12"/>
  <c r="AH59" i="12"/>
  <c r="I59" i="12"/>
  <c r="E59" i="12"/>
  <c r="K87" i="13"/>
  <c r="E90" i="12"/>
  <c r="J90" i="12"/>
  <c r="AB87" i="13"/>
  <c r="T87" i="13"/>
  <c r="AJ60" i="13"/>
  <c r="X60" i="13"/>
  <c r="Q87" i="13"/>
  <c r="AJ90" i="17"/>
  <c r="AG60" i="17"/>
  <c r="Y90" i="17"/>
  <c r="O60" i="17"/>
  <c r="AA60" i="17"/>
  <c r="T60" i="17"/>
  <c r="AB60" i="17"/>
  <c r="Q87" i="12"/>
  <c r="R90" i="17"/>
  <c r="Z60" i="17"/>
  <c r="M60" i="13"/>
  <c r="AD60" i="12"/>
  <c r="AH60" i="12"/>
  <c r="O60" i="12"/>
  <c r="AL89" i="18"/>
  <c r="AH89" i="18"/>
  <c r="G89" i="18"/>
  <c r="AD89" i="18"/>
  <c r="R89" i="18"/>
  <c r="R87" i="13"/>
  <c r="W61" i="16"/>
  <c r="AB61" i="16"/>
  <c r="AJ61" i="16"/>
  <c r="H61" i="16"/>
  <c r="AC61" i="16"/>
  <c r="AA87" i="12"/>
  <c r="AH87" i="12"/>
  <c r="AL59" i="12"/>
  <c r="AA59" i="12"/>
  <c r="AC59" i="12"/>
  <c r="AI59" i="12"/>
  <c r="Y59" i="12"/>
  <c r="J87" i="13"/>
  <c r="AH90" i="12"/>
  <c r="H90" i="12"/>
  <c r="AD90" i="12"/>
  <c r="X90" i="12"/>
  <c r="AG87" i="13"/>
  <c r="N87" i="13"/>
  <c r="AI90" i="12"/>
  <c r="Y90" i="12"/>
  <c r="P87" i="13"/>
  <c r="AC87" i="13"/>
  <c r="X87" i="13"/>
  <c r="S90" i="12"/>
  <c r="T60" i="13"/>
  <c r="L60" i="13"/>
  <c r="F60" i="13"/>
  <c r="AG60" i="13"/>
  <c r="G90" i="17"/>
  <c r="E87" i="12"/>
  <c r="AI90" i="17"/>
  <c r="S87" i="12"/>
  <c r="H90" i="17"/>
  <c r="I90" i="17"/>
  <c r="AL60" i="13"/>
  <c r="AA90" i="17"/>
  <c r="N60" i="17"/>
  <c r="AD87" i="12"/>
  <c r="E60" i="17"/>
  <c r="AC60" i="17"/>
  <c r="AF60" i="13"/>
  <c r="AF60" i="12"/>
  <c r="P60" i="12"/>
  <c r="T90" i="17"/>
  <c r="Y60" i="12"/>
  <c r="Q60" i="12"/>
  <c r="Q89" i="18"/>
  <c r="AC89" i="18"/>
  <c r="AA89" i="18"/>
  <c r="O89" i="18"/>
  <c r="AA61" i="16"/>
  <c r="R61" i="16"/>
  <c r="J61" i="16"/>
  <c r="G61" i="16"/>
  <c r="X61" i="16"/>
  <c r="AE59" i="16"/>
  <c r="I59" i="16"/>
  <c r="M59" i="16"/>
  <c r="H59" i="17"/>
  <c r="K59" i="17"/>
  <c r="F59" i="17"/>
  <c r="W91" i="14"/>
  <c r="AL62" i="13"/>
  <c r="AC64" i="18"/>
  <c r="O88" i="16"/>
  <c r="S88" i="16"/>
  <c r="U88" i="16"/>
  <c r="AL88" i="16"/>
  <c r="V88" i="16"/>
  <c r="O62" i="17"/>
  <c r="G62" i="17"/>
  <c r="N65" i="15"/>
  <c r="AE65" i="15"/>
  <c r="U65" i="15"/>
  <c r="L87" i="18"/>
  <c r="T87" i="18"/>
  <c r="AJ87" i="18"/>
  <c r="AL62" i="12"/>
  <c r="AG90" i="13"/>
  <c r="AB62" i="12"/>
  <c r="AC60" i="15"/>
  <c r="AL90" i="13"/>
  <c r="Q60" i="15"/>
  <c r="K60" i="15"/>
  <c r="R90" i="13"/>
  <c r="AG62" i="17"/>
  <c r="M92" i="15"/>
  <c r="S92" i="15"/>
  <c r="G91" i="18"/>
  <c r="U91" i="18"/>
  <c r="N92" i="15"/>
  <c r="AK92" i="15"/>
  <c r="F62" i="12"/>
  <c r="AH62" i="12"/>
  <c r="AC90" i="18"/>
  <c r="E62" i="17"/>
  <c r="AI65" i="15"/>
  <c r="S65" i="15"/>
  <c r="AB65" i="15"/>
  <c r="M87" i="18"/>
  <c r="J87" i="18"/>
  <c r="K62" i="12"/>
  <c r="X62" i="12"/>
  <c r="J62" i="12"/>
  <c r="AD60" i="15"/>
  <c r="M90" i="13"/>
  <c r="AD62" i="17"/>
  <c r="H92" i="15"/>
  <c r="AA92" i="15"/>
  <c r="V92" i="15"/>
  <c r="X91" i="18"/>
  <c r="P91" i="18"/>
  <c r="J62" i="17"/>
  <c r="AI90" i="18"/>
  <c r="AK62" i="17"/>
  <c r="T65" i="15"/>
  <c r="Z65" i="15"/>
  <c r="K65" i="15"/>
  <c r="AJ65" i="15"/>
  <c r="U87" i="18"/>
  <c r="AK87" i="18"/>
  <c r="Q87" i="18"/>
  <c r="AD87" i="18"/>
  <c r="AC62" i="12"/>
  <c r="AK62" i="12"/>
  <c r="W62" i="12"/>
  <c r="W60" i="15"/>
  <c r="V90" i="13"/>
  <c r="I90" i="13"/>
  <c r="H62" i="12"/>
  <c r="X60" i="15"/>
  <c r="G60" i="15"/>
  <c r="U90" i="13"/>
  <c r="T90" i="13"/>
  <c r="I62" i="17"/>
  <c r="AK91" i="18"/>
  <c r="AC92" i="15"/>
  <c r="AB92" i="15"/>
  <c r="AF92" i="15"/>
  <c r="G92" i="15"/>
  <c r="I91" i="18"/>
  <c r="Q91" i="18"/>
  <c r="AI91" i="18"/>
  <c r="I62" i="12"/>
  <c r="AB90" i="18"/>
  <c r="T90" i="18"/>
  <c r="T62" i="17"/>
  <c r="H62" i="17"/>
  <c r="N62" i="17"/>
  <c r="X62" i="17"/>
  <c r="G65" i="15"/>
  <c r="V65" i="15"/>
  <c r="AG65" i="15"/>
  <c r="N87" i="18"/>
  <c r="AC87" i="18"/>
  <c r="V87" i="18"/>
  <c r="R62" i="12"/>
  <c r="AA62" i="12"/>
  <c r="F60" i="15"/>
  <c r="E60" i="15"/>
  <c r="F90" i="13"/>
  <c r="AI60" i="15"/>
  <c r="AF60" i="15"/>
  <c r="AJ90" i="13"/>
  <c r="AE90" i="13"/>
  <c r="M60" i="15"/>
  <c r="AL62" i="17"/>
  <c r="F62" i="17"/>
  <c r="AJ62" i="17"/>
  <c r="AG92" i="15"/>
  <c r="AD92" i="15"/>
  <c r="AI92" i="15"/>
  <c r="AH91" i="18"/>
  <c r="W91" i="18"/>
  <c r="AF91" i="18"/>
  <c r="AK60" i="15"/>
  <c r="V62" i="12"/>
  <c r="Q62" i="12"/>
  <c r="Q90" i="18"/>
  <c r="AE90" i="18"/>
  <c r="O90" i="18"/>
  <c r="M90" i="18"/>
  <c r="S90" i="18"/>
  <c r="AG90" i="18"/>
  <c r="E90" i="18"/>
  <c r="AD90" i="18"/>
  <c r="L90" i="18"/>
  <c r="W90" i="18"/>
  <c r="V90" i="18"/>
  <c r="R90" i="18"/>
  <c r="Z90" i="18"/>
  <c r="I90" i="18"/>
  <c r="K90" i="18"/>
  <c r="U90" i="18"/>
  <c r="X89" i="13"/>
  <c r="E91" i="14"/>
  <c r="AC91" i="14"/>
  <c r="G91" i="14"/>
  <c r="K91" i="14"/>
  <c r="I89" i="13"/>
  <c r="M89" i="15"/>
  <c r="Y89" i="15"/>
  <c r="R89" i="15"/>
  <c r="AK89" i="15"/>
  <c r="AF62" i="13"/>
  <c r="M62" i="13"/>
  <c r="AC62" i="13"/>
  <c r="L62" i="13"/>
  <c r="AA64" i="18"/>
  <c r="AJ64" i="18"/>
  <c r="R64" i="18"/>
  <c r="AK62" i="13"/>
  <c r="AD89" i="15"/>
  <c r="N89" i="15"/>
  <c r="X64" i="13"/>
  <c r="AH89" i="13"/>
  <c r="J91" i="14"/>
  <c r="AH91" i="14"/>
  <c r="K90" i="15"/>
  <c r="L89" i="15"/>
  <c r="V62" i="13"/>
  <c r="AJ62" i="13"/>
  <c r="K62" i="13"/>
  <c r="AC90" i="15"/>
  <c r="T64" i="18"/>
  <c r="U64" i="18"/>
  <c r="Z62" i="13"/>
  <c r="O91" i="14"/>
  <c r="AA89" i="15"/>
  <c r="W64" i="13"/>
  <c r="M64" i="13"/>
  <c r="T89" i="13"/>
  <c r="AJ91" i="14"/>
  <c r="T91" i="14"/>
  <c r="AC89" i="15"/>
  <c r="J89" i="15"/>
  <c r="W89" i="15"/>
  <c r="AH62" i="13"/>
  <c r="U62" i="13"/>
  <c r="AI62" i="13"/>
  <c r="S62" i="13"/>
  <c r="V64" i="18"/>
  <c r="AD64" i="18"/>
  <c r="F64" i="18"/>
  <c r="N64" i="18"/>
  <c r="Z64" i="18"/>
  <c r="W62" i="13"/>
  <c r="V89" i="15"/>
  <c r="AD89" i="13"/>
  <c r="Z89" i="13"/>
  <c r="AL91" i="14"/>
  <c r="X91" i="14"/>
  <c r="AF89" i="15"/>
  <c r="L91" i="14"/>
  <c r="Q89" i="15"/>
  <c r="K89" i="15"/>
  <c r="N90" i="15"/>
  <c r="Q62" i="13"/>
  <c r="F62" i="13"/>
  <c r="N62" i="13"/>
  <c r="S64" i="18"/>
  <c r="Q64" i="18"/>
  <c r="H64" i="18"/>
  <c r="I64" i="18"/>
  <c r="AG64" i="18"/>
  <c r="P64" i="18"/>
  <c r="AK64" i="18"/>
  <c r="G89" i="15"/>
  <c r="F91" i="14"/>
  <c r="R89" i="13"/>
  <c r="AD91" i="14"/>
  <c r="N91" i="14"/>
  <c r="V91" i="14"/>
  <c r="T89" i="15"/>
  <c r="E89" i="15"/>
  <c r="AH89" i="15"/>
  <c r="AI89" i="15"/>
  <c r="X62" i="13"/>
  <c r="AE62" i="13"/>
  <c r="P62" i="13"/>
  <c r="AI64" i="18"/>
  <c r="J64" i="18"/>
  <c r="AE64" i="18"/>
  <c r="AF64" i="18"/>
  <c r="AH64" i="18"/>
  <c r="Y64" i="18"/>
  <c r="AB89" i="15"/>
  <c r="AE90" i="15"/>
  <c r="AK90" i="18"/>
  <c r="P90" i="18"/>
  <c r="AL90" i="18"/>
  <c r="F90" i="18"/>
  <c r="J90" i="18"/>
  <c r="G90" i="18"/>
  <c r="AC65" i="17"/>
  <c r="AK61" i="17"/>
  <c r="K61" i="17"/>
  <c r="P61" i="17"/>
  <c r="L63" i="13"/>
  <c r="AH90" i="14"/>
  <c r="U59" i="13"/>
  <c r="AB59" i="13"/>
  <c r="AF63" i="13"/>
  <c r="AJ61" i="17"/>
  <c r="W63" i="13"/>
  <c r="AJ90" i="14"/>
  <c r="J59" i="13"/>
  <c r="X63" i="13"/>
  <c r="I65" i="17"/>
  <c r="W61" i="17"/>
  <c r="AB65" i="17"/>
  <c r="W59" i="13"/>
  <c r="S63" i="13"/>
  <c r="H61" i="17"/>
  <c r="Q65" i="17"/>
  <c r="W90" i="14"/>
  <c r="AC59" i="13"/>
  <c r="E59" i="13"/>
  <c r="M59" i="13"/>
  <c r="U61" i="17"/>
  <c r="H65" i="17"/>
  <c r="AA65" i="17"/>
  <c r="AK65" i="17"/>
  <c r="F90" i="14"/>
  <c r="X90" i="14"/>
  <c r="P63" i="13"/>
  <c r="Y63" i="13"/>
  <c r="AL63" i="13"/>
  <c r="AA63" i="13"/>
  <c r="I87" i="17"/>
  <c r="L87" i="17"/>
  <c r="F87" i="17"/>
  <c r="H59" i="13"/>
  <c r="N59" i="13"/>
  <c r="AG59" i="13"/>
  <c r="E63" i="13"/>
  <c r="AJ63" i="13"/>
  <c r="J63" i="13"/>
  <c r="O65" i="17"/>
  <c r="U65" i="17"/>
  <c r="J61" i="17"/>
  <c r="AB61" i="17"/>
  <c r="Z61" i="17"/>
  <c r="AC61" i="17"/>
  <c r="Y61" i="17"/>
  <c r="R65" i="17"/>
  <c r="M63" i="13"/>
  <c r="J90" i="14"/>
  <c r="G90" i="14"/>
  <c r="AL90" i="14"/>
  <c r="AD90" i="14"/>
  <c r="K90" i="14"/>
  <c r="R90" i="14"/>
  <c r="Q87" i="17"/>
  <c r="Q59" i="13"/>
  <c r="S59" i="13"/>
  <c r="P59" i="13"/>
  <c r="AA59" i="13"/>
  <c r="O63" i="13"/>
  <c r="AB63" i="13"/>
  <c r="F65" i="17"/>
  <c r="AG65" i="17"/>
  <c r="L65" i="17"/>
  <c r="AL65" i="17"/>
  <c r="G65" i="17"/>
  <c r="T61" i="17"/>
  <c r="G61" i="17"/>
  <c r="V61" i="17"/>
  <c r="AD61" i="17"/>
  <c r="V65" i="17"/>
  <c r="M65" i="17"/>
  <c r="L90" i="14"/>
  <c r="AI90" i="14"/>
  <c r="AG63" i="13"/>
  <c r="AG90" i="14"/>
  <c r="AB90" i="14"/>
  <c r="S90" i="14"/>
  <c r="V63" i="13"/>
  <c r="M90" i="14"/>
  <c r="U87" i="17"/>
  <c r="AG87" i="17"/>
  <c r="AL59" i="13"/>
  <c r="AE59" i="13"/>
  <c r="G59" i="13"/>
  <c r="AI59" i="13"/>
  <c r="Q63" i="13"/>
  <c r="AD63" i="13"/>
  <c r="R59" i="13"/>
  <c r="N65" i="17"/>
  <c r="Q61" i="17"/>
  <c r="E61" i="17"/>
  <c r="O61" i="17"/>
  <c r="X61" i="17"/>
  <c r="I61" i="17"/>
  <c r="AH59" i="13"/>
  <c r="Z59" i="13"/>
  <c r="AE63" i="13"/>
  <c r="AI63" i="13"/>
  <c r="G63" i="13"/>
  <c r="AH65" i="17"/>
  <c r="L61" i="17"/>
  <c r="AA61" i="17"/>
  <c r="AF61" i="17"/>
  <c r="K63" i="13"/>
  <c r="AF90" i="14"/>
  <c r="Z63" i="13"/>
  <c r="H90" i="14"/>
  <c r="I90" i="14"/>
  <c r="E90" i="14"/>
  <c r="K87" i="17"/>
  <c r="V59" i="13"/>
  <c r="I59" i="13"/>
  <c r="Y59" i="13"/>
  <c r="AJ59" i="13"/>
  <c r="H63" i="13"/>
  <c r="T63" i="13"/>
  <c r="AF65" i="17"/>
  <c r="AJ65" i="17"/>
  <c r="AE65" i="17"/>
  <c r="P65" i="17"/>
  <c r="AI61" i="17"/>
  <c r="AL61" i="17"/>
  <c r="AH61" i="17"/>
  <c r="M61" i="17"/>
  <c r="J65" i="17"/>
  <c r="E65" i="17"/>
  <c r="R61" i="17"/>
  <c r="L59" i="13"/>
  <c r="AE90" i="14"/>
  <c r="AK63" i="13"/>
  <c r="AH63" i="13"/>
  <c r="V90" i="14"/>
  <c r="N87" i="17"/>
  <c r="N63" i="13"/>
  <c r="K59" i="13"/>
  <c r="T59" i="13"/>
  <c r="AC63" i="13"/>
  <c r="O59" i="13"/>
  <c r="I63" i="13"/>
  <c r="Y65" i="17"/>
  <c r="Z65" i="17"/>
  <c r="AG61" i="17"/>
  <c r="S61" i="17"/>
  <c r="N61" i="17"/>
  <c r="AI65" i="17"/>
  <c r="T65" i="17"/>
  <c r="U63" i="13"/>
  <c r="P90" i="14"/>
  <c r="T90" i="14"/>
  <c r="AA90" i="14"/>
  <c r="Z90" i="14"/>
  <c r="Y90" i="14"/>
  <c r="J87" i="17"/>
  <c r="AI87" i="17"/>
  <c r="AD62" i="15"/>
  <c r="AL62" i="15"/>
  <c r="AK62" i="15"/>
  <c r="M92" i="17"/>
  <c r="AB92" i="17"/>
  <c r="Y92" i="17"/>
  <c r="G92" i="17"/>
  <c r="O62" i="15"/>
  <c r="I62" i="15"/>
  <c r="Z62" i="15"/>
  <c r="AL59" i="14"/>
  <c r="AB59" i="14"/>
  <c r="W59" i="14"/>
  <c r="AG59" i="14"/>
  <c r="X92" i="17"/>
  <c r="H62" i="15"/>
  <c r="P62" i="15"/>
  <c r="AG92" i="17"/>
  <c r="W92" i="17"/>
  <c r="Q62" i="15"/>
  <c r="G59" i="14"/>
  <c r="AI59" i="14"/>
  <c r="O59" i="14"/>
  <c r="K59" i="14"/>
  <c r="E92" i="17"/>
  <c r="AH62" i="15"/>
  <c r="AB62" i="15"/>
  <c r="AI62" i="15"/>
  <c r="AD92" i="17"/>
  <c r="AH92" i="17"/>
  <c r="AC92" i="17"/>
  <c r="O92" i="17"/>
  <c r="K62" i="15"/>
  <c r="I92" i="17"/>
  <c r="AA59" i="14"/>
  <c r="T59" i="14"/>
  <c r="H59" i="14"/>
  <c r="E89" i="13"/>
  <c r="AC89" i="13"/>
  <c r="AA89" i="13"/>
  <c r="M89" i="13"/>
  <c r="AB90" i="15"/>
  <c r="AL90" i="15"/>
  <c r="AG90" i="15"/>
  <c r="J90" i="15"/>
  <c r="S90" i="15"/>
  <c r="AK90" i="15"/>
  <c r="AG64" i="13"/>
  <c r="AF64" i="13"/>
  <c r="J64" i="13"/>
  <c r="G64" i="13"/>
  <c r="E64" i="13"/>
  <c r="AE64" i="13"/>
  <c r="O64" i="13"/>
  <c r="AK64" i="13"/>
  <c r="F89" i="13"/>
  <c r="O89" i="13"/>
  <c r="AK89" i="13"/>
  <c r="S89" i="13"/>
  <c r="F90" i="15"/>
  <c r="T90" i="15"/>
  <c r="U90" i="15"/>
  <c r="E90" i="15"/>
  <c r="AL64" i="13"/>
  <c r="AD64" i="13"/>
  <c r="U64" i="13"/>
  <c r="AB89" i="13"/>
  <c r="Q89" i="13"/>
  <c r="V89" i="13"/>
  <c r="K89" i="13"/>
  <c r="O90" i="15"/>
  <c r="AH90" i="15"/>
  <c r="V90" i="15"/>
  <c r="I90" i="15"/>
  <c r="AH64" i="13"/>
  <c r="H64" i="13"/>
  <c r="AC64" i="13"/>
  <c r="AE89" i="13"/>
  <c r="Y89" i="13"/>
  <c r="W89" i="13"/>
  <c r="AI89" i="13"/>
  <c r="AL89" i="13"/>
  <c r="AD90" i="15"/>
  <c r="W90" i="15"/>
  <c r="M90" i="15"/>
  <c r="P90" i="15"/>
  <c r="Z64" i="13"/>
  <c r="AB64" i="13"/>
  <c r="R64" i="13"/>
  <c r="Q64" i="13"/>
  <c r="X90" i="15"/>
  <c r="AI90" i="15"/>
  <c r="U89" i="13"/>
  <c r="L89" i="13"/>
  <c r="J89" i="13"/>
  <c r="AG89" i="13"/>
  <c r="Q90" i="15"/>
  <c r="AF90" i="15"/>
  <c r="R90" i="15"/>
  <c r="Y64" i="13"/>
  <c r="T64" i="13"/>
  <c r="P64" i="13"/>
  <c r="I64" i="13"/>
  <c r="AA90" i="15"/>
  <c r="Y90" i="15"/>
  <c r="F64" i="13"/>
  <c r="P89" i="13"/>
  <c r="G89" i="13"/>
  <c r="AF89" i="13"/>
  <c r="Z90" i="15"/>
  <c r="H90" i="15"/>
  <c r="S64" i="13"/>
  <c r="V64" i="13"/>
  <c r="AJ64" i="13"/>
  <c r="AA64" i="13"/>
  <c r="L64" i="13"/>
  <c r="AH87" i="17"/>
  <c r="E87" i="17"/>
  <c r="AB87" i="17"/>
  <c r="S87" i="17"/>
  <c r="M87" i="17"/>
  <c r="X87" i="17"/>
  <c r="AC87" i="17"/>
  <c r="W87" i="17"/>
  <c r="AE87" i="17"/>
  <c r="G87" i="17"/>
  <c r="Z87" i="17"/>
  <c r="AF87" i="17"/>
  <c r="P87" i="17"/>
  <c r="O87" i="17"/>
  <c r="T87" i="17"/>
  <c r="AL87" i="17"/>
  <c r="AJ87" i="17"/>
  <c r="V87" i="17"/>
  <c r="AA87" i="17"/>
  <c r="H87" i="17"/>
  <c r="AF60" i="18"/>
  <c r="AH60" i="18"/>
  <c r="F60" i="18"/>
  <c r="AC60" i="18"/>
  <c r="N60" i="18"/>
  <c r="S60" i="18"/>
  <c r="V60" i="18"/>
  <c r="Y60" i="18"/>
  <c r="Z60" i="18"/>
  <c r="T60" i="18"/>
  <c r="AB60" i="18"/>
  <c r="G60" i="18"/>
  <c r="U60" i="18"/>
  <c r="L60" i="18"/>
  <c r="R60" i="18"/>
  <c r="AD60" i="18"/>
  <c r="AK60" i="18"/>
  <c r="AJ60" i="18"/>
  <c r="AL60" i="18"/>
  <c r="I60" i="18"/>
  <c r="P60" i="18"/>
  <c r="W60" i="18"/>
  <c r="AE60" i="18"/>
  <c r="K60" i="18"/>
  <c r="AG60" i="18"/>
  <c r="Q60" i="18"/>
  <c r="J60" i="18"/>
  <c r="M60" i="18"/>
  <c r="O60" i="18"/>
  <c r="H60" i="18"/>
  <c r="AA60" i="18"/>
  <c r="X60" i="18"/>
  <c r="AI60" i="18"/>
  <c r="AC34" i="18"/>
  <c r="H33" i="14"/>
  <c r="AC35" i="13"/>
  <c r="AB38" i="13"/>
  <c r="M32" i="14"/>
  <c r="AD37" i="18"/>
  <c r="R38" i="14"/>
  <c r="AH38" i="14"/>
  <c r="AK37" i="13"/>
  <c r="AH34" i="14"/>
  <c r="AG38" i="14"/>
  <c r="L35" i="13"/>
  <c r="S32" i="13"/>
  <c r="S34" i="14"/>
  <c r="P33" i="14"/>
  <c r="AJ33" i="13"/>
  <c r="AJ37" i="13"/>
  <c r="AG34" i="14"/>
  <c r="AE38" i="14"/>
  <c r="S33" i="13"/>
  <c r="AF37" i="13"/>
  <c r="P36" i="14"/>
  <c r="N33" i="13"/>
  <c r="AE33" i="14"/>
  <c r="N37" i="13"/>
  <c r="AG34" i="18"/>
  <c r="K36" i="18"/>
  <c r="H36" i="18"/>
  <c r="N38" i="13"/>
  <c r="K38" i="18"/>
  <c r="N36" i="13"/>
  <c r="AC35" i="18"/>
  <c r="K33" i="18"/>
  <c r="R33" i="14"/>
  <c r="U32" i="14"/>
  <c r="M37" i="18"/>
  <c r="AC37" i="18"/>
  <c r="AH33" i="14"/>
  <c r="AI34" i="13"/>
  <c r="R32" i="14"/>
  <c r="U35" i="14"/>
  <c r="AH37" i="14"/>
  <c r="AK36" i="18"/>
  <c r="AA36" i="13"/>
  <c r="AD33" i="13"/>
  <c r="AD32" i="13"/>
  <c r="AA32" i="13"/>
  <c r="O37" i="13"/>
  <c r="AH34" i="13"/>
  <c r="J34" i="14"/>
  <c r="U38" i="14"/>
  <c r="W34" i="14"/>
  <c r="J35" i="14"/>
  <c r="U37" i="14"/>
  <c r="U34" i="14"/>
  <c r="Z35" i="14"/>
  <c r="W38" i="14"/>
  <c r="U36" i="14"/>
  <c r="X35" i="18"/>
  <c r="Z34" i="18"/>
  <c r="T37" i="18"/>
  <c r="AL34" i="18"/>
  <c r="T34" i="18"/>
  <c r="AL32" i="18"/>
  <c r="AI35" i="18"/>
  <c r="L34" i="18"/>
  <c r="AB32" i="14"/>
  <c r="AC33" i="13"/>
  <c r="X33" i="18"/>
  <c r="L32" i="14"/>
  <c r="N34" i="13"/>
  <c r="T34" i="13"/>
  <c r="L37" i="18"/>
  <c r="I37" i="14"/>
  <c r="Y36" i="18"/>
  <c r="M33" i="18"/>
  <c r="O34" i="13"/>
  <c r="X35" i="14"/>
  <c r="W35" i="18"/>
  <c r="AB33" i="14"/>
  <c r="I36" i="14"/>
  <c r="AJ35" i="18"/>
  <c r="N35" i="13"/>
  <c r="X34" i="14"/>
  <c r="AK19" i="10"/>
  <c r="I32" i="13"/>
  <c r="K36" i="13"/>
  <c r="T32" i="13"/>
  <c r="AD35" i="18"/>
  <c r="N37" i="14"/>
  <c r="X37" i="18"/>
  <c r="L33" i="18"/>
  <c r="I33" i="14"/>
  <c r="AJ38" i="18"/>
  <c r="H32" i="18"/>
  <c r="AB33" i="13"/>
  <c r="L38" i="14"/>
  <c r="AI32" i="18"/>
  <c r="J36" i="18"/>
  <c r="M35" i="14"/>
  <c r="K37" i="13"/>
  <c r="O38" i="13"/>
  <c r="AK38" i="13"/>
  <c r="X37" i="14"/>
  <c r="W36" i="13"/>
  <c r="AB34" i="14"/>
  <c r="AD36" i="18"/>
  <c r="N36" i="14"/>
  <c r="X34" i="18"/>
  <c r="L32" i="18"/>
  <c r="I38" i="14"/>
  <c r="AE33" i="13"/>
  <c r="H34" i="18"/>
  <c r="AB35" i="13"/>
  <c r="AI37" i="18"/>
  <c r="Z36" i="13"/>
  <c r="M37" i="14"/>
  <c r="K38" i="13"/>
  <c r="U38" i="18"/>
  <c r="O33" i="13"/>
  <c r="AK33" i="13"/>
  <c r="W36" i="18"/>
  <c r="W37" i="13"/>
  <c r="AB36" i="14"/>
  <c r="AD38" i="18"/>
  <c r="N34" i="14"/>
  <c r="L38" i="18"/>
  <c r="AE37" i="13"/>
  <c r="H37" i="18"/>
  <c r="AI38" i="18"/>
  <c r="Z37" i="13"/>
  <c r="K35" i="13"/>
  <c r="U34" i="18"/>
  <c r="O36" i="13"/>
  <c r="AK35" i="13"/>
  <c r="AC33" i="18"/>
  <c r="X32" i="14"/>
  <c r="W38" i="18"/>
  <c r="W34" i="13"/>
  <c r="AB38" i="14"/>
  <c r="AA33" i="18"/>
  <c r="AC37" i="13"/>
  <c r="AD33" i="18"/>
  <c r="N35" i="14"/>
  <c r="I35" i="14"/>
  <c r="AE38" i="13"/>
  <c r="H33" i="18"/>
  <c r="AB36" i="13"/>
  <c r="L34" i="14"/>
  <c r="AI34" i="18"/>
  <c r="M33" i="14"/>
  <c r="AH38" i="13"/>
  <c r="U37" i="18"/>
  <c r="AK36" i="13"/>
  <c r="X33" i="14"/>
  <c r="W34" i="18"/>
  <c r="W35" i="13"/>
  <c r="AB37" i="14"/>
  <c r="AC34" i="13"/>
  <c r="AC36" i="13"/>
  <c r="X36" i="14"/>
  <c r="T38" i="13"/>
  <c r="N38" i="14"/>
  <c r="AJ37" i="18"/>
  <c r="H38" i="18"/>
  <c r="AB37" i="13"/>
  <c r="L35" i="14"/>
  <c r="J34" i="18"/>
  <c r="M36" i="14"/>
  <c r="K33" i="13"/>
  <c r="W38" i="13"/>
  <c r="AA36" i="18"/>
  <c r="AC32" i="13"/>
  <c r="X36" i="18"/>
  <c r="AA32" i="18"/>
  <c r="AD32" i="18"/>
  <c r="N33" i="14"/>
  <c r="X38" i="18"/>
  <c r="L36" i="18"/>
  <c r="AE34" i="13"/>
  <c r="J36" i="13"/>
  <c r="AI36" i="18"/>
  <c r="Z32" i="13"/>
  <c r="M34" i="14"/>
  <c r="K34" i="13"/>
  <c r="AE33" i="18"/>
  <c r="U35" i="18"/>
  <c r="O35" i="13"/>
  <c r="AK32" i="13"/>
  <c r="W37" i="18"/>
  <c r="W32" i="13"/>
  <c r="AA34" i="18"/>
  <c r="I34" i="14"/>
  <c r="AE36" i="13"/>
  <c r="J33" i="13"/>
  <c r="Z35" i="13"/>
  <c r="AH37" i="13"/>
  <c r="U32" i="18"/>
  <c r="AK35" i="18"/>
  <c r="W33" i="18"/>
  <c r="S38" i="13"/>
  <c r="S37" i="14"/>
  <c r="P37" i="14"/>
  <c r="M34" i="18"/>
  <c r="Q35" i="14"/>
  <c r="V19" i="10"/>
  <c r="AH32" i="13"/>
  <c r="AC32" i="18"/>
  <c r="Z32" i="14"/>
  <c r="S34" i="13"/>
  <c r="S33" i="14"/>
  <c r="P32" i="14"/>
  <c r="T36" i="18"/>
  <c r="AG32" i="14"/>
  <c r="L38" i="13"/>
  <c r="Q33" i="13"/>
  <c r="AA19" i="10"/>
  <c r="Z33" i="14"/>
  <c r="AI38" i="14"/>
  <c r="S36" i="13"/>
  <c r="S36" i="14"/>
  <c r="AG33" i="14"/>
  <c r="L33" i="13"/>
  <c r="AH33" i="13"/>
  <c r="N36" i="18"/>
  <c r="Z34" i="14"/>
  <c r="K35" i="14"/>
  <c r="S38" i="14"/>
  <c r="T32" i="18"/>
  <c r="AG36" i="14"/>
  <c r="M36" i="18"/>
  <c r="L37" i="13"/>
  <c r="T38" i="14"/>
  <c r="O35" i="18"/>
  <c r="T35" i="18"/>
  <c r="M38" i="18"/>
  <c r="T34" i="14"/>
  <c r="S37" i="13"/>
  <c r="S35" i="14"/>
  <c r="T33" i="18"/>
  <c r="AG35" i="14"/>
  <c r="M35" i="18"/>
  <c r="L36" i="13"/>
  <c r="T33" i="14"/>
  <c r="AD19" i="10"/>
  <c r="AH35" i="13"/>
  <c r="AC36" i="18"/>
  <c r="AJ34" i="18"/>
  <c r="Q32" i="18"/>
  <c r="AB34" i="18"/>
  <c r="P36" i="13"/>
  <c r="H38" i="13"/>
  <c r="L34" i="13"/>
  <c r="Q37" i="14"/>
  <c r="Z19" i="10"/>
  <c r="AF38" i="18"/>
  <c r="AI38" i="13"/>
  <c r="Y37" i="13"/>
  <c r="I37" i="18"/>
  <c r="AG37" i="18"/>
  <c r="R35" i="14"/>
  <c r="AD32" i="14"/>
  <c r="U38" i="13"/>
  <c r="AF35" i="13"/>
  <c r="AJ36" i="13"/>
  <c r="Q38" i="18"/>
  <c r="H32" i="13"/>
  <c r="AI19" i="10"/>
  <c r="AH38" i="18"/>
  <c r="X37" i="13"/>
  <c r="AF36" i="18"/>
  <c r="AC35" i="14"/>
  <c r="AK38" i="14"/>
  <c r="AA37" i="18"/>
  <c r="R38" i="13"/>
  <c r="U37" i="13"/>
  <c r="AJ35" i="13"/>
  <c r="AB32" i="13"/>
  <c r="AG38" i="13"/>
  <c r="N19" i="10"/>
  <c r="AE37" i="14"/>
  <c r="K35" i="18"/>
  <c r="X38" i="13"/>
  <c r="AI36" i="13"/>
  <c r="U32" i="13"/>
  <c r="O32" i="14"/>
  <c r="F19" i="10"/>
  <c r="I32" i="18"/>
  <c r="AE34" i="14"/>
  <c r="AA35" i="18"/>
  <c r="R36" i="13"/>
  <c r="V37" i="14"/>
  <c r="K36" i="14"/>
  <c r="AD33" i="14"/>
  <c r="U34" i="13"/>
  <c r="S34" i="18"/>
  <c r="AL38" i="13"/>
  <c r="AJ34" i="13"/>
  <c r="H34" i="13"/>
  <c r="Y19" i="10"/>
  <c r="AH32" i="18"/>
  <c r="AA37" i="14"/>
  <c r="P32" i="18"/>
  <c r="AF37" i="14"/>
  <c r="AL38" i="14"/>
  <c r="P37" i="18"/>
  <c r="AL33" i="14"/>
  <c r="AG38" i="18"/>
  <c r="AI37" i="13"/>
  <c r="J33" i="14"/>
  <c r="W33" i="14"/>
  <c r="AD36" i="14"/>
  <c r="Z36" i="18"/>
  <c r="H34" i="14"/>
  <c r="Q35" i="18"/>
  <c r="J38" i="13"/>
  <c r="P38" i="18"/>
  <c r="AF38" i="14"/>
  <c r="AL33" i="18"/>
  <c r="AD38" i="13"/>
  <c r="AL37" i="14"/>
  <c r="AK32" i="18"/>
  <c r="AG33" i="18"/>
  <c r="X32" i="13"/>
  <c r="J38" i="14"/>
  <c r="W35" i="14"/>
  <c r="AA37" i="13"/>
  <c r="Z32" i="18"/>
  <c r="H37" i="14"/>
  <c r="Q37" i="18"/>
  <c r="J37" i="13"/>
  <c r="P34" i="18"/>
  <c r="Y38" i="18"/>
  <c r="AF33" i="14"/>
  <c r="AL37" i="18"/>
  <c r="AE35" i="18"/>
  <c r="I36" i="18"/>
  <c r="AH37" i="18"/>
  <c r="AD35" i="13"/>
  <c r="AL34" i="14"/>
  <c r="AG35" i="18"/>
  <c r="X35" i="13"/>
  <c r="R34" i="14"/>
  <c r="J32" i="14"/>
  <c r="W37" i="14"/>
  <c r="AD35" i="14"/>
  <c r="U35" i="13"/>
  <c r="AA38" i="13"/>
  <c r="Z38" i="18"/>
  <c r="H35" i="14"/>
  <c r="Q34" i="18"/>
  <c r="J34" i="13"/>
  <c r="P36" i="18"/>
  <c r="Y37" i="18"/>
  <c r="AF34" i="14"/>
  <c r="S19" i="10"/>
  <c r="AE32" i="18"/>
  <c r="I33" i="18"/>
  <c r="AH35" i="18"/>
  <c r="AE36" i="14"/>
  <c r="AL36" i="14"/>
  <c r="AH35" i="14"/>
  <c r="AK37" i="18"/>
  <c r="K37" i="18"/>
  <c r="X33" i="13"/>
  <c r="V34" i="14"/>
  <c r="R37" i="14"/>
  <c r="W32" i="14"/>
  <c r="AI36" i="14"/>
  <c r="AD38" i="14"/>
  <c r="U33" i="13"/>
  <c r="AA35" i="13"/>
  <c r="Z33" i="18"/>
  <c r="H38" i="14"/>
  <c r="AJ38" i="13"/>
  <c r="Q33" i="18"/>
  <c r="J32" i="13"/>
  <c r="Y34" i="18"/>
  <c r="AL35" i="18"/>
  <c r="J37" i="18"/>
  <c r="Q32" i="14"/>
  <c r="AF19" i="10"/>
  <c r="AE36" i="18"/>
  <c r="I38" i="18"/>
  <c r="AH33" i="18"/>
  <c r="AD37" i="13"/>
  <c r="AE32" i="14"/>
  <c r="AL32" i="14"/>
  <c r="AH36" i="14"/>
  <c r="AK33" i="18"/>
  <c r="K34" i="18"/>
  <c r="X34" i="13"/>
  <c r="AI32" i="13"/>
  <c r="J37" i="14"/>
  <c r="AD34" i="14"/>
  <c r="AA34" i="13"/>
  <c r="Z35" i="18"/>
  <c r="H36" i="14"/>
  <c r="P35" i="18"/>
  <c r="Y35" i="18"/>
  <c r="AL38" i="18"/>
  <c r="AC34" i="14"/>
  <c r="AE38" i="18"/>
  <c r="I35" i="18"/>
  <c r="AH36" i="18"/>
  <c r="AD36" i="13"/>
  <c r="AK34" i="18"/>
  <c r="AG36" i="18"/>
  <c r="AI35" i="13"/>
  <c r="AF32" i="13"/>
  <c r="Y32" i="18"/>
  <c r="AF35" i="14"/>
  <c r="AK32" i="14"/>
  <c r="W19" i="10"/>
  <c r="J19" i="10"/>
  <c r="AE34" i="18"/>
  <c r="E54" i="10" a="1"/>
  <c r="AF54" i="10"/>
  <c r="V38" i="14"/>
  <c r="AI34" i="14"/>
  <c r="O34" i="14"/>
  <c r="N33" i="18"/>
  <c r="S38" i="18"/>
  <c r="M36" i="13"/>
  <c r="AL36" i="13"/>
  <c r="AB35" i="18"/>
  <c r="R36" i="18"/>
  <c r="V33" i="13"/>
  <c r="Y38" i="13"/>
  <c r="P34" i="13"/>
  <c r="AJ32" i="14"/>
  <c r="AF32" i="18"/>
  <c r="AG33" i="13"/>
  <c r="AC36" i="14"/>
  <c r="AK36" i="14"/>
  <c r="V36" i="18"/>
  <c r="O32" i="18"/>
  <c r="I37" i="13"/>
  <c r="Q37" i="13"/>
  <c r="R37" i="13"/>
  <c r="T33" i="13"/>
  <c r="Z38" i="14"/>
  <c r="K32" i="14"/>
  <c r="AI35" i="14"/>
  <c r="O36" i="14"/>
  <c r="N32" i="18"/>
  <c r="S37" i="18"/>
  <c r="M33" i="13"/>
  <c r="AL35" i="13"/>
  <c r="AF34" i="13"/>
  <c r="P34" i="14"/>
  <c r="AE32" i="13"/>
  <c r="AJ36" i="18"/>
  <c r="AB36" i="18"/>
  <c r="R33" i="18"/>
  <c r="V36" i="13"/>
  <c r="Y36" i="13"/>
  <c r="AJ36" i="14"/>
  <c r="L36" i="14"/>
  <c r="AF36" i="14"/>
  <c r="J38" i="18"/>
  <c r="AG35" i="13"/>
  <c r="H35" i="13"/>
  <c r="Z33" i="13"/>
  <c r="Y34" i="14"/>
  <c r="Q38" i="14"/>
  <c r="AK33" i="14"/>
  <c r="T37" i="14"/>
  <c r="K19" i="10"/>
  <c r="AJ19" i="10"/>
  <c r="X19" i="10"/>
  <c r="P19" i="10"/>
  <c r="V33" i="18"/>
  <c r="O38" i="18"/>
  <c r="U33" i="18"/>
  <c r="I34" i="13"/>
  <c r="AA36" i="14"/>
  <c r="Q32" i="13"/>
  <c r="R32" i="13"/>
  <c r="T35" i="13"/>
  <c r="V33" i="14"/>
  <c r="K34" i="14"/>
  <c r="AI37" i="14"/>
  <c r="N35" i="18"/>
  <c r="S35" i="18"/>
  <c r="M32" i="13"/>
  <c r="AL37" i="13"/>
  <c r="P38" i="14"/>
  <c r="AJ32" i="18"/>
  <c r="AB37" i="18"/>
  <c r="R35" i="18"/>
  <c r="V35" i="13"/>
  <c r="Y32" i="13"/>
  <c r="P37" i="13"/>
  <c r="AJ35" i="14"/>
  <c r="AF34" i="18"/>
  <c r="J32" i="18"/>
  <c r="AG36" i="13"/>
  <c r="H37" i="13"/>
  <c r="Z34" i="13"/>
  <c r="AC38" i="14"/>
  <c r="Y38" i="14"/>
  <c r="Q33" i="14"/>
  <c r="AK34" i="14"/>
  <c r="T35" i="14"/>
  <c r="E19" i="10"/>
  <c r="T19" i="10"/>
  <c r="Q19" i="10"/>
  <c r="AB19" i="10"/>
  <c r="V37" i="18"/>
  <c r="O34" i="18"/>
  <c r="I38" i="13"/>
  <c r="AA35" i="14"/>
  <c r="Q36" i="13"/>
  <c r="O33" i="14"/>
  <c r="M37" i="13"/>
  <c r="AL33" i="13"/>
  <c r="R34" i="18"/>
  <c r="V38" i="13"/>
  <c r="Y35" i="13"/>
  <c r="P32" i="13"/>
  <c r="AJ38" i="14"/>
  <c r="Y33" i="14"/>
  <c r="V34" i="18"/>
  <c r="O33" i="18"/>
  <c r="AA33" i="14"/>
  <c r="M34" i="13"/>
  <c r="V37" i="13"/>
  <c r="AJ33" i="14"/>
  <c r="Y32" i="14"/>
  <c r="R35" i="13"/>
  <c r="V35" i="14"/>
  <c r="K38" i="14"/>
  <c r="O37" i="14"/>
  <c r="N34" i="18"/>
  <c r="S33" i="18"/>
  <c r="M38" i="13"/>
  <c r="AF38" i="13"/>
  <c r="AB33" i="18"/>
  <c r="R37" i="18"/>
  <c r="V32" i="13"/>
  <c r="P35" i="13"/>
  <c r="AJ37" i="14"/>
  <c r="AF37" i="18"/>
  <c r="AG32" i="13"/>
  <c r="H33" i="13"/>
  <c r="AC33" i="14"/>
  <c r="Y35" i="14"/>
  <c r="AK37" i="14"/>
  <c r="AE19" i="10"/>
  <c r="AH19" i="10"/>
  <c r="M19" i="10"/>
  <c r="AL19" i="10"/>
  <c r="V32" i="18"/>
  <c r="O37" i="18"/>
  <c r="I35" i="13"/>
  <c r="AA32" i="14"/>
  <c r="Q34" i="13"/>
  <c r="R33" i="13"/>
  <c r="T37" i="13"/>
  <c r="Z37" i="14"/>
  <c r="V32" i="14"/>
  <c r="K37" i="14"/>
  <c r="AI32" i="14"/>
  <c r="O38" i="14"/>
  <c r="N38" i="18"/>
  <c r="S36" i="18"/>
  <c r="AL32" i="13"/>
  <c r="AF36" i="13"/>
  <c r="AB32" i="18"/>
  <c r="R38" i="18"/>
  <c r="Y34" i="13"/>
  <c r="P38" i="13"/>
  <c r="L37" i="14"/>
  <c r="AF33" i="18"/>
  <c r="J33" i="18"/>
  <c r="AG34" i="13"/>
  <c r="AC37" i="14"/>
  <c r="Y37" i="14"/>
  <c r="Q36" i="14"/>
  <c r="T36" i="14"/>
  <c r="O19" i="10"/>
  <c r="AC19" i="10"/>
  <c r="AG19" i="10"/>
  <c r="U19" i="10"/>
  <c r="V38" i="18"/>
  <c r="I36" i="13"/>
  <c r="AA38" i="14"/>
  <c r="Q38" i="13"/>
  <c r="L19" i="10"/>
  <c r="H19" i="10"/>
  <c r="R19" i="10"/>
  <c r="I19" i="10"/>
  <c r="H74" i="14"/>
  <c r="S74" i="14"/>
  <c r="U74" i="14"/>
  <c r="I74" i="14"/>
  <c r="AE74" i="14"/>
  <c r="AD74" i="14"/>
  <c r="X74" i="14"/>
  <c r="L74" i="14"/>
  <c r="AG74" i="14"/>
  <c r="N68" i="16"/>
  <c r="G98" i="14"/>
  <c r="O74" i="14"/>
  <c r="M74" i="14"/>
  <c r="E74" i="14"/>
  <c r="AI74" i="14"/>
  <c r="V74" i="14"/>
  <c r="AF74" i="14"/>
  <c r="P74" i="14"/>
  <c r="AK74" i="14"/>
  <c r="R74" i="14"/>
  <c r="AH98" i="14"/>
  <c r="AH74" i="14"/>
  <c r="Y74" i="14"/>
  <c r="AJ74" i="14"/>
  <c r="F74" i="14"/>
  <c r="W74" i="14"/>
  <c r="AL74" i="14"/>
  <c r="J74" i="14"/>
  <c r="N74" i="14"/>
  <c r="Q74" i="14"/>
  <c r="Z74" i="14"/>
  <c r="AC74" i="14"/>
  <c r="AB74" i="14"/>
  <c r="AA74" i="14"/>
  <c r="G74" i="14"/>
  <c r="K74" i="14"/>
  <c r="AK68" i="16"/>
  <c r="AF97" i="17"/>
  <c r="L68" i="16"/>
  <c r="P68" i="16"/>
  <c r="AF98" i="14"/>
  <c r="AD68" i="16"/>
  <c r="AG98" i="14"/>
  <c r="AF68" i="16"/>
  <c r="X97" i="17"/>
  <c r="H98" i="14"/>
  <c r="K98" i="14"/>
  <c r="X98" i="14"/>
  <c r="O98" i="14"/>
  <c r="G69" i="12"/>
  <c r="Y98" i="14"/>
  <c r="T98" i="14"/>
  <c r="AA98" i="14"/>
  <c r="N98" i="14"/>
  <c r="AJ98" i="14"/>
  <c r="Z97" i="17"/>
  <c r="AB98" i="14"/>
  <c r="AE98" i="14"/>
  <c r="W98" i="14"/>
  <c r="S98" i="14"/>
  <c r="AC98" i="14"/>
  <c r="E98" i="14"/>
  <c r="AL98" i="14"/>
  <c r="U69" i="12"/>
  <c r="F98" i="14"/>
  <c r="J98" i="14"/>
  <c r="M98" i="14"/>
  <c r="Q98" i="14"/>
  <c r="AI98" i="14"/>
  <c r="AD98" i="14"/>
  <c r="AK98" i="14"/>
  <c r="I98" i="14"/>
  <c r="R98" i="14"/>
  <c r="Z98" i="14"/>
  <c r="N97" i="17"/>
  <c r="AJ69" i="12"/>
  <c r="AC97" i="17"/>
  <c r="R69" i="12"/>
  <c r="AE69" i="12"/>
  <c r="AA97" i="17"/>
  <c r="K97" i="17"/>
  <c r="H69" i="12"/>
  <c r="Q69" i="12"/>
  <c r="J69" i="12"/>
  <c r="M97" i="17"/>
  <c r="AH69" i="12"/>
  <c r="F69" i="12"/>
  <c r="AC69" i="12"/>
  <c r="F68" i="16"/>
  <c r="AI69" i="12"/>
  <c r="AA69" i="12"/>
  <c r="U98" i="14"/>
  <c r="L98" i="14"/>
  <c r="P98" i="14"/>
  <c r="E97" i="17"/>
  <c r="I97" i="17"/>
  <c r="X69" i="12"/>
  <c r="V97" i="17"/>
  <c r="J97" i="17"/>
  <c r="R97" i="17"/>
  <c r="AK97" i="17"/>
  <c r="AC68" i="16"/>
  <c r="AK69" i="12"/>
  <c r="T69" i="12"/>
  <c r="AI97" i="17"/>
  <c r="H97" i="17"/>
  <c r="T68" i="16"/>
  <c r="E68" i="16"/>
  <c r="S68" i="16"/>
  <c r="H68" i="16"/>
  <c r="AH68" i="16"/>
  <c r="AC68" i="15"/>
  <c r="AK68" i="15"/>
  <c r="J68" i="15"/>
  <c r="L68" i="15"/>
  <c r="R68" i="15"/>
  <c r="AJ68" i="16"/>
  <c r="Z68" i="15"/>
  <c r="W68" i="15"/>
  <c r="F68" i="15"/>
  <c r="P68" i="15"/>
  <c r="Y68" i="16"/>
  <c r="W68" i="16"/>
  <c r="Q68" i="16"/>
  <c r="AB68" i="16"/>
  <c r="E69" i="12"/>
  <c r="Y69" i="12"/>
  <c r="V69" i="12"/>
  <c r="U68" i="15"/>
  <c r="X68" i="15"/>
  <c r="AG68" i="15"/>
  <c r="AD68" i="15"/>
  <c r="O97" i="17"/>
  <c r="AJ97" i="17"/>
  <c r="AB97" i="17"/>
  <c r="Q97" i="17"/>
  <c r="E68" i="15"/>
  <c r="R68" i="16"/>
  <c r="AG68" i="16"/>
  <c r="V68" i="16"/>
  <c r="U68" i="16"/>
  <c r="X68" i="16"/>
  <c r="W69" i="12"/>
  <c r="AG69" i="12"/>
  <c r="P69" i="12"/>
  <c r="Y68" i="15"/>
  <c r="K68" i="15"/>
  <c r="AF68" i="15"/>
  <c r="AB68" i="15"/>
  <c r="P97" i="17"/>
  <c r="S97" i="17"/>
  <c r="L97" i="17"/>
  <c r="T97" i="17"/>
  <c r="H68" i="15"/>
  <c r="T68" i="15"/>
  <c r="J68" i="16"/>
  <c r="AA68" i="16"/>
  <c r="AE68" i="16"/>
  <c r="AL68" i="16"/>
  <c r="I68" i="16"/>
  <c r="G68" i="15"/>
  <c r="AJ68" i="15"/>
  <c r="AA68" i="15"/>
  <c r="Q68" i="15"/>
  <c r="AE97" i="17"/>
  <c r="AD97" i="17"/>
  <c r="AL97" i="17"/>
  <c r="G97" i="17"/>
  <c r="AE68" i="15"/>
  <c r="AI68" i="15"/>
  <c r="O68" i="16"/>
  <c r="M68" i="16"/>
  <c r="K68" i="16"/>
  <c r="AI68" i="16"/>
  <c r="Z68" i="16"/>
  <c r="AH68" i="15"/>
  <c r="O68" i="15"/>
  <c r="M68" i="15"/>
  <c r="I68" i="15"/>
  <c r="Y97" i="17"/>
  <c r="F97" i="17"/>
  <c r="AG97" i="17"/>
  <c r="AD69" i="12"/>
  <c r="L69" i="12"/>
  <c r="M69" i="12"/>
  <c r="AF69" i="12"/>
  <c r="N68" i="15"/>
  <c r="I69" i="12"/>
  <c r="AB69" i="12"/>
  <c r="S69" i="12"/>
  <c r="O69" i="12"/>
  <c r="AL69" i="12"/>
  <c r="N69" i="12"/>
  <c r="Z69" i="12"/>
  <c r="V68" i="15"/>
  <c r="S68" i="15"/>
  <c r="W97" i="17"/>
  <c r="U97" i="17"/>
  <c r="J97" i="13"/>
  <c r="Y97" i="13"/>
  <c r="AG97" i="13"/>
  <c r="AD97" i="13"/>
  <c r="AJ97" i="13"/>
  <c r="AE97" i="13"/>
  <c r="H97" i="13"/>
  <c r="K97" i="13"/>
  <c r="AK97" i="13"/>
  <c r="U97" i="13"/>
  <c r="Z97" i="13"/>
  <c r="M97" i="13"/>
  <c r="S97" i="13"/>
  <c r="I97" i="13"/>
  <c r="AF97" i="13"/>
  <c r="V97" i="13"/>
  <c r="F97" i="13"/>
  <c r="Q97" i="13"/>
  <c r="L97" i="13"/>
  <c r="AI97" i="13"/>
  <c r="R97" i="13"/>
  <c r="P97" i="13"/>
  <c r="X97" i="13"/>
  <c r="AB97" i="13"/>
  <c r="AC97" i="13"/>
  <c r="O97" i="13"/>
  <c r="G97" i="13"/>
  <c r="N97" i="13"/>
  <c r="AL97" i="13"/>
  <c r="AA97" i="13"/>
  <c r="W97" i="13"/>
  <c r="E97" i="13"/>
  <c r="AH97" i="13"/>
  <c r="T97" i="13"/>
  <c r="Z97" i="15"/>
  <c r="AI97" i="15"/>
  <c r="Y97" i="15"/>
  <c r="R97" i="15"/>
  <c r="AB97" i="15"/>
  <c r="AF97" i="15"/>
  <c r="AL97" i="15"/>
  <c r="T97" i="15"/>
  <c r="X97" i="15"/>
  <c r="M97" i="15"/>
  <c r="I97" i="15"/>
  <c r="AA97" i="15"/>
  <c r="AE97" i="15"/>
  <c r="N97" i="15"/>
  <c r="G97" i="15"/>
  <c r="W97" i="15"/>
  <c r="AJ97" i="15"/>
  <c r="P97" i="15"/>
  <c r="AK97" i="15"/>
  <c r="AG97" i="15"/>
  <c r="F97" i="15"/>
  <c r="J97" i="15"/>
  <c r="AH97" i="15"/>
  <c r="O97" i="15"/>
  <c r="L97" i="15"/>
  <c r="U97" i="15"/>
  <c r="H97" i="15"/>
  <c r="E97" i="15"/>
  <c r="K97" i="15"/>
  <c r="AD97" i="15"/>
  <c r="V97" i="15"/>
  <c r="Q97" i="15"/>
  <c r="S97" i="15"/>
  <c r="AC97" i="15"/>
  <c r="AG95" i="18"/>
  <c r="T95" i="18"/>
  <c r="M95" i="18"/>
  <c r="I95" i="18"/>
  <c r="O95" i="18"/>
  <c r="AH95" i="18"/>
  <c r="AA95" i="18"/>
  <c r="Q95" i="18"/>
  <c r="AL95" i="18"/>
  <c r="K95" i="18"/>
  <c r="AB95" i="18"/>
  <c r="AE95" i="18"/>
  <c r="Z95" i="18"/>
  <c r="P95" i="18"/>
  <c r="Y95" i="18"/>
  <c r="G95" i="18"/>
  <c r="X95" i="18"/>
  <c r="AI95" i="18"/>
  <c r="E95" i="18"/>
  <c r="L95" i="18"/>
  <c r="AJ95" i="18"/>
  <c r="AD95" i="18"/>
  <c r="F95" i="18"/>
  <c r="J95" i="18"/>
  <c r="S95" i="18"/>
  <c r="V95" i="18"/>
  <c r="H95" i="18"/>
  <c r="N95" i="18"/>
  <c r="U95" i="18"/>
  <c r="AF95" i="18"/>
  <c r="AK95" i="18"/>
  <c r="W95" i="18"/>
  <c r="R95" i="18"/>
  <c r="AC95" i="18"/>
  <c r="Z69" i="14"/>
  <c r="X69" i="14"/>
  <c r="U69" i="14"/>
  <c r="S69" i="14"/>
  <c r="T69" i="14"/>
  <c r="E69" i="14"/>
  <c r="O69" i="14"/>
  <c r="V69" i="14"/>
  <c r="AI69" i="14"/>
  <c r="W69" i="14"/>
  <c r="N69" i="14"/>
  <c r="R69" i="14"/>
  <c r="P69" i="14"/>
  <c r="M69" i="14"/>
  <c r="AG69" i="14"/>
  <c r="L69" i="14"/>
  <c r="AH69" i="14"/>
  <c r="AK69" i="14"/>
  <c r="Y69" i="14"/>
  <c r="J69" i="14"/>
  <c r="G69" i="14"/>
  <c r="AL69" i="14"/>
  <c r="AB69" i="14"/>
  <c r="H69" i="14"/>
  <c r="AF69" i="14"/>
  <c r="AA69" i="14"/>
  <c r="AE69" i="14"/>
  <c r="AD69" i="14"/>
  <c r="AJ69" i="14"/>
  <c r="F69" i="14"/>
  <c r="K69" i="14"/>
  <c r="AC69" i="14"/>
  <c r="Q69" i="14"/>
  <c r="I69" i="14"/>
  <c r="K68" i="17"/>
  <c r="AL68" i="17"/>
  <c r="AA68" i="17"/>
  <c r="AK68" i="17"/>
  <c r="J68" i="17"/>
  <c r="AE68" i="17"/>
  <c r="H68" i="17"/>
  <c r="AB68" i="17"/>
  <c r="AD68" i="17"/>
  <c r="T68" i="17"/>
  <c r="X68" i="17"/>
  <c r="AH68" i="17"/>
  <c r="N68" i="17"/>
  <c r="O68" i="17"/>
  <c r="E68" i="17"/>
  <c r="Q68" i="17"/>
  <c r="F68" i="17"/>
  <c r="AI68" i="17"/>
  <c r="G68" i="17"/>
  <c r="W68" i="17"/>
  <c r="Z68" i="17"/>
  <c r="AG68" i="17"/>
  <c r="AC68" i="17"/>
  <c r="U68" i="17"/>
  <c r="AF68" i="17"/>
  <c r="P68" i="17"/>
  <c r="S68" i="17"/>
  <c r="M68" i="17"/>
  <c r="V68" i="17"/>
  <c r="AJ68" i="17"/>
  <c r="L68" i="17"/>
  <c r="Y68" i="17"/>
  <c r="R68" i="17"/>
  <c r="I68" i="17"/>
  <c r="AJ101" i="16"/>
  <c r="S101" i="16"/>
  <c r="Y101" i="16"/>
  <c r="AE101" i="16"/>
  <c r="R101" i="16"/>
  <c r="AK101" i="16"/>
  <c r="V101" i="16"/>
  <c r="X101" i="16"/>
  <c r="M101" i="16"/>
  <c r="Z101" i="16"/>
  <c r="AI101" i="16"/>
  <c r="AA101" i="16"/>
  <c r="AH101" i="16"/>
  <c r="G101" i="16"/>
  <c r="N101" i="16"/>
  <c r="O101" i="16"/>
  <c r="AL101" i="16"/>
  <c r="AC101" i="16"/>
  <c r="K101" i="16"/>
  <c r="W101" i="16"/>
  <c r="Q101" i="16"/>
  <c r="U101" i="16"/>
  <c r="AG101" i="16"/>
  <c r="AF101" i="16"/>
  <c r="F101" i="16"/>
  <c r="I101" i="16"/>
  <c r="T101" i="16"/>
  <c r="H101" i="16"/>
  <c r="J101" i="16"/>
  <c r="L101" i="16"/>
  <c r="E101" i="16"/>
  <c r="P101" i="16"/>
  <c r="AD101" i="16"/>
  <c r="AB101" i="16"/>
  <c r="AC73" i="13"/>
  <c r="E73" i="13"/>
  <c r="AA73" i="13"/>
  <c r="R73" i="13"/>
  <c r="W73" i="13"/>
  <c r="AE73" i="13"/>
  <c r="AI73" i="13"/>
  <c r="P73" i="13"/>
  <c r="L73" i="13"/>
  <c r="AK73" i="13"/>
  <c r="H73" i="13"/>
  <c r="N73" i="13"/>
  <c r="AG73" i="13"/>
  <c r="AL73" i="13"/>
  <c r="AF73" i="13"/>
  <c r="G73" i="13"/>
  <c r="AD73" i="13"/>
  <c r="J73" i="13"/>
  <c r="S73" i="13"/>
  <c r="K73" i="13"/>
  <c r="O73" i="13"/>
  <c r="V73" i="13"/>
  <c r="Y73" i="13"/>
  <c r="Z73" i="13"/>
  <c r="X73" i="13"/>
  <c r="T73" i="13"/>
  <c r="F73" i="13"/>
  <c r="AB73" i="13"/>
  <c r="AH73" i="13"/>
  <c r="M73" i="13"/>
  <c r="I73" i="13"/>
  <c r="U73" i="13"/>
  <c r="AJ73" i="13"/>
  <c r="Q73" i="13"/>
  <c r="AG100" i="12"/>
  <c r="AI100" i="12"/>
  <c r="AE100" i="12"/>
  <c r="Y100" i="12"/>
  <c r="AB100" i="12"/>
  <c r="AC100" i="12"/>
  <c r="N100" i="12"/>
  <c r="AF100" i="12"/>
  <c r="L100" i="12"/>
  <c r="AD100" i="12"/>
  <c r="AA100" i="12"/>
  <c r="AJ100" i="12"/>
  <c r="U100" i="12"/>
  <c r="O100" i="12"/>
  <c r="R100" i="12"/>
  <c r="E100" i="12"/>
  <c r="M100" i="12"/>
  <c r="K100" i="12"/>
  <c r="J100" i="12"/>
  <c r="Z100" i="12"/>
  <c r="S100" i="12"/>
  <c r="F100" i="12"/>
  <c r="W100" i="12"/>
  <c r="P100" i="12"/>
  <c r="I100" i="12"/>
  <c r="Q100" i="12"/>
  <c r="V100" i="12"/>
  <c r="X100" i="12"/>
  <c r="AL100" i="12"/>
  <c r="AK100" i="12"/>
  <c r="H100" i="12"/>
  <c r="G100" i="12"/>
  <c r="T100" i="12"/>
  <c r="AH100" i="12"/>
  <c r="Z99" i="14"/>
  <c r="J99" i="14"/>
  <c r="M99" i="14"/>
  <c r="Q99" i="14"/>
  <c r="V99" i="14"/>
  <c r="AI99" i="14"/>
  <c r="F99" i="14"/>
  <c r="S99" i="14"/>
  <c r="AH99" i="14"/>
  <c r="N99" i="14"/>
  <c r="L99" i="14"/>
  <c r="W99" i="14"/>
  <c r="AJ99" i="14"/>
  <c r="AA99" i="14"/>
  <c r="U99" i="14"/>
  <c r="AB99" i="14"/>
  <c r="AD99" i="14"/>
  <c r="K99" i="14"/>
  <c r="AC99" i="14"/>
  <c r="AL99" i="14"/>
  <c r="AG99" i="14"/>
  <c r="AF99" i="14"/>
  <c r="Y99" i="14"/>
  <c r="R99" i="14"/>
  <c r="P99" i="14"/>
  <c r="T99" i="14"/>
  <c r="H99" i="14"/>
  <c r="X99" i="14"/>
  <c r="G99" i="14"/>
  <c r="AE99" i="14"/>
  <c r="I99" i="14"/>
  <c r="E99" i="14"/>
  <c r="AK99" i="14"/>
  <c r="O99" i="14"/>
  <c r="AD74" i="13"/>
  <c r="M74" i="13"/>
  <c r="N74" i="13"/>
  <c r="AG74" i="13"/>
  <c r="AA74" i="13"/>
  <c r="O74" i="13"/>
  <c r="H74" i="13"/>
  <c r="K74" i="13"/>
  <c r="G74" i="13"/>
  <c r="P74" i="13"/>
  <c r="AC74" i="13"/>
  <c r="J74" i="13"/>
  <c r="U74" i="13"/>
  <c r="AE74" i="13"/>
  <c r="V74" i="13"/>
  <c r="F74" i="13"/>
  <c r="Q74" i="13"/>
  <c r="E74" i="13"/>
  <c r="AH74" i="13"/>
  <c r="Z74" i="13"/>
  <c r="I74" i="13"/>
  <c r="X74" i="13"/>
  <c r="AF74" i="13"/>
  <c r="T74" i="13"/>
  <c r="AB74" i="13"/>
  <c r="AJ74" i="13"/>
  <c r="L74" i="13"/>
  <c r="AK74" i="13"/>
  <c r="AL74" i="13"/>
  <c r="W74" i="13"/>
  <c r="AI74" i="13"/>
  <c r="Y74" i="13"/>
  <c r="S74" i="13"/>
  <c r="R74" i="13"/>
  <c r="S97" i="14"/>
  <c r="G97" i="14"/>
  <c r="Q97" i="14"/>
  <c r="Y97" i="14"/>
  <c r="F97" i="14"/>
  <c r="R97" i="14"/>
  <c r="T97" i="14"/>
  <c r="X97" i="14"/>
  <c r="E97" i="14"/>
  <c r="AH97" i="14"/>
  <c r="J97" i="14"/>
  <c r="Z97" i="14"/>
  <c r="AA97" i="14"/>
  <c r="P97" i="14"/>
  <c r="I97" i="14"/>
  <c r="AE97" i="14"/>
  <c r="AC97" i="14"/>
  <c r="N97" i="14"/>
  <c r="U97" i="14"/>
  <c r="AD97" i="14"/>
  <c r="K97" i="14"/>
  <c r="AK97" i="14"/>
  <c r="V97" i="14"/>
  <c r="AB97" i="14"/>
  <c r="L97" i="14"/>
  <c r="O97" i="14"/>
  <c r="W97" i="14"/>
  <c r="AI97" i="14"/>
  <c r="AG97" i="14"/>
  <c r="H97" i="14"/>
  <c r="AL97" i="14"/>
  <c r="AJ97" i="14"/>
  <c r="AF97" i="14"/>
  <c r="M97" i="14"/>
  <c r="AK96" i="18"/>
  <c r="AI96" i="18"/>
  <c r="M96" i="18"/>
  <c r="AC96" i="18"/>
  <c r="AJ96" i="18"/>
  <c r="X96" i="18"/>
  <c r="Z96" i="18"/>
  <c r="P96" i="18"/>
  <c r="AL96" i="18"/>
  <c r="W96" i="18"/>
  <c r="AG96" i="18"/>
  <c r="Y96" i="18"/>
  <c r="K96" i="18"/>
  <c r="U96" i="18"/>
  <c r="T96" i="18"/>
  <c r="AA96" i="18"/>
  <c r="AH96" i="18"/>
  <c r="N96" i="18"/>
  <c r="S96" i="18"/>
  <c r="O96" i="18"/>
  <c r="H96" i="18"/>
  <c r="J96" i="18"/>
  <c r="R96" i="18"/>
  <c r="F96" i="18"/>
  <c r="V96" i="18"/>
  <c r="AB96" i="18"/>
  <c r="G96" i="18"/>
  <c r="AE96" i="18"/>
  <c r="L96" i="18"/>
  <c r="AD96" i="18"/>
  <c r="Q96" i="18"/>
  <c r="E96" i="18"/>
  <c r="I96" i="18"/>
  <c r="AF96" i="18"/>
  <c r="K100" i="17"/>
  <c r="Z100" i="17"/>
  <c r="AD100" i="17"/>
  <c r="S100" i="17"/>
  <c r="F100" i="17"/>
  <c r="AI100" i="17"/>
  <c r="W100" i="17"/>
  <c r="H100" i="17"/>
  <c r="L100" i="17"/>
  <c r="M100" i="17"/>
  <c r="AK100" i="17"/>
  <c r="P100" i="17"/>
  <c r="AB100" i="17"/>
  <c r="AG100" i="17"/>
  <c r="O100" i="17"/>
  <c r="AA100" i="17"/>
  <c r="T100" i="17"/>
  <c r="J100" i="17"/>
  <c r="U100" i="17"/>
  <c r="X100" i="17"/>
  <c r="N100" i="17"/>
  <c r="AL100" i="17"/>
  <c r="AF100" i="17"/>
  <c r="AE100" i="17"/>
  <c r="Y100" i="17"/>
  <c r="G100" i="17"/>
  <c r="E100" i="17"/>
  <c r="V100" i="17"/>
  <c r="R100" i="17"/>
  <c r="AH100" i="17"/>
  <c r="AC100" i="17"/>
  <c r="Q100" i="17"/>
  <c r="I100" i="17"/>
  <c r="AJ100" i="17"/>
  <c r="Z99" i="16"/>
  <c r="V99" i="16"/>
  <c r="U99" i="16"/>
  <c r="N99" i="16"/>
  <c r="AA99" i="16"/>
  <c r="AL99" i="16"/>
  <c r="AE99" i="16"/>
  <c r="X99" i="16"/>
  <c r="F99" i="16"/>
  <c r="E99" i="16"/>
  <c r="R99" i="16"/>
  <c r="AG99" i="16"/>
  <c r="AC99" i="16"/>
  <c r="AH99" i="16"/>
  <c r="AK99" i="16"/>
  <c r="L99" i="16"/>
  <c r="P99" i="16"/>
  <c r="J99" i="16"/>
  <c r="T99" i="16"/>
  <c r="AD99" i="16"/>
  <c r="M99" i="16"/>
  <c r="AB99" i="16"/>
  <c r="AI99" i="16"/>
  <c r="S99" i="16"/>
  <c r="I99" i="16"/>
  <c r="AF99" i="16"/>
  <c r="K99" i="16"/>
  <c r="G99" i="16"/>
  <c r="O99" i="16"/>
  <c r="W99" i="16"/>
  <c r="H99" i="16"/>
  <c r="Y99" i="16"/>
  <c r="Q99" i="16"/>
  <c r="AJ99" i="16"/>
  <c r="L68" i="14"/>
  <c r="AD68" i="14"/>
  <c r="U68" i="14"/>
  <c r="J68" i="14"/>
  <c r="Y68" i="14"/>
  <c r="AH68" i="14"/>
  <c r="Q68" i="14"/>
  <c r="AF68" i="14"/>
  <c r="E68" i="14"/>
  <c r="AI68" i="14"/>
  <c r="AL68" i="14"/>
  <c r="I68" i="14"/>
  <c r="T68" i="14"/>
  <c r="AC68" i="14"/>
  <c r="P68" i="14"/>
  <c r="AG68" i="14"/>
  <c r="G68" i="14"/>
  <c r="F68" i="14"/>
  <c r="O68" i="14"/>
  <c r="X68" i="14"/>
  <c r="AE68" i="14"/>
  <c r="R68" i="14"/>
  <c r="AJ68" i="14"/>
  <c r="AB68" i="14"/>
  <c r="K68" i="14"/>
  <c r="M68" i="14"/>
  <c r="AA68" i="14"/>
  <c r="S68" i="14"/>
  <c r="N68" i="14"/>
  <c r="AK68" i="14"/>
  <c r="V68" i="14"/>
  <c r="Z68" i="14"/>
  <c r="H68" i="14"/>
  <c r="W68" i="14"/>
  <c r="AL70" i="13"/>
  <c r="H70" i="13"/>
  <c r="V70" i="13"/>
  <c r="R70" i="13"/>
  <c r="Q70" i="13"/>
  <c r="K70" i="13"/>
  <c r="S70" i="13"/>
  <c r="AC70" i="13"/>
  <c r="I70" i="13"/>
  <c r="Y70" i="13"/>
  <c r="AK70" i="13"/>
  <c r="E70" i="13"/>
  <c r="AI70" i="13"/>
  <c r="AB70" i="13"/>
  <c r="J70" i="13"/>
  <c r="AE70" i="13"/>
  <c r="M70" i="13"/>
  <c r="X70" i="13"/>
  <c r="AD70" i="13"/>
  <c r="Z70" i="13"/>
  <c r="AG70" i="13"/>
  <c r="AJ70" i="13"/>
  <c r="W70" i="13"/>
  <c r="L70" i="13"/>
  <c r="AA70" i="13"/>
  <c r="T70" i="13"/>
  <c r="G70" i="13"/>
  <c r="AF70" i="13"/>
  <c r="U70" i="13"/>
  <c r="P70" i="13"/>
  <c r="F70" i="13"/>
  <c r="O70" i="13"/>
  <c r="N70" i="13"/>
  <c r="AH70" i="13"/>
  <c r="AC70" i="14"/>
  <c r="K70" i="14"/>
  <c r="X70" i="14"/>
  <c r="J70" i="14"/>
  <c r="AL70" i="14"/>
  <c r="U70" i="14"/>
  <c r="AJ70" i="14"/>
  <c r="T70" i="14"/>
  <c r="O70" i="14"/>
  <c r="P70" i="14"/>
  <c r="AA70" i="14"/>
  <c r="R70" i="14"/>
  <c r="F70" i="14"/>
  <c r="S70" i="14"/>
  <c r="V70" i="14"/>
  <c r="AK70" i="14"/>
  <c r="AB70" i="14"/>
  <c r="L70" i="14"/>
  <c r="I70" i="14"/>
  <c r="AE70" i="14"/>
  <c r="G70" i="14"/>
  <c r="AI70" i="14"/>
  <c r="AF70" i="14"/>
  <c r="N70" i="14"/>
  <c r="AH70" i="14"/>
  <c r="Q70" i="14"/>
  <c r="M70" i="14"/>
  <c r="Z70" i="14"/>
  <c r="Y70" i="14"/>
  <c r="E70" i="14"/>
  <c r="W70" i="14"/>
  <c r="AG70" i="14"/>
  <c r="AD70" i="14"/>
  <c r="H70" i="14"/>
  <c r="U96" i="16"/>
  <c r="T96" i="16"/>
  <c r="E96" i="16"/>
  <c r="M96" i="16"/>
  <c r="Y96" i="16"/>
  <c r="Z96" i="16"/>
  <c r="X96" i="16"/>
  <c r="AE96" i="16"/>
  <c r="Q96" i="16"/>
  <c r="G96" i="16"/>
  <c r="AL96" i="16"/>
  <c r="N96" i="16"/>
  <c r="K96" i="16"/>
  <c r="AA96" i="16"/>
  <c r="H96" i="16"/>
  <c r="W96" i="16"/>
  <c r="S96" i="16"/>
  <c r="AF96" i="16"/>
  <c r="AK96" i="16"/>
  <c r="J96" i="16"/>
  <c r="AJ96" i="16"/>
  <c r="AB96" i="16"/>
  <c r="AH96" i="16"/>
  <c r="I96" i="16"/>
  <c r="O96" i="16"/>
  <c r="V96" i="16"/>
  <c r="P96" i="16"/>
  <c r="L96" i="16"/>
  <c r="AD96" i="16"/>
  <c r="AG96" i="16"/>
  <c r="F96" i="16"/>
  <c r="AI96" i="16"/>
  <c r="R96" i="16"/>
  <c r="AC96" i="16"/>
  <c r="H97" i="18"/>
  <c r="AA97" i="18"/>
  <c r="AI97" i="18"/>
  <c r="AF97" i="18"/>
  <c r="E97" i="18"/>
  <c r="Y97" i="18"/>
  <c r="S97" i="18"/>
  <c r="T97" i="18"/>
  <c r="I97" i="18"/>
  <c r="AL97" i="18"/>
  <c r="R97" i="18"/>
  <c r="X97" i="18"/>
  <c r="J97" i="18"/>
  <c r="AG97" i="18"/>
  <c r="G97" i="18"/>
  <c r="AC97" i="18"/>
  <c r="Z97" i="18"/>
  <c r="AB97" i="18"/>
  <c r="P97" i="18"/>
  <c r="N97" i="18"/>
  <c r="AJ97" i="18"/>
  <c r="AK97" i="18"/>
  <c r="W97" i="18"/>
  <c r="AH97" i="18"/>
  <c r="O97" i="18"/>
  <c r="Q97" i="18"/>
  <c r="M97" i="18"/>
  <c r="L97" i="18"/>
  <c r="K97" i="18"/>
  <c r="AD97" i="18"/>
  <c r="F97" i="18"/>
  <c r="V97" i="18"/>
  <c r="U97" i="18"/>
  <c r="AE97" i="18"/>
  <c r="F73" i="18"/>
  <c r="AF73" i="18"/>
  <c r="AE73" i="18"/>
  <c r="P73" i="18"/>
  <c r="AG73" i="18"/>
  <c r="Z73" i="18"/>
  <c r="M73" i="18"/>
  <c r="U73" i="18"/>
  <c r="W73" i="18"/>
  <c r="E73" i="18"/>
  <c r="AD73" i="18"/>
  <c r="Y73" i="18"/>
  <c r="V73" i="18"/>
  <c r="AH73" i="18"/>
  <c r="AI73" i="18"/>
  <c r="AA73" i="18"/>
  <c r="H73" i="18"/>
  <c r="L73" i="18"/>
  <c r="AB73" i="18"/>
  <c r="Q73" i="18"/>
  <c r="S73" i="18"/>
  <c r="N73" i="18"/>
  <c r="R73" i="18"/>
  <c r="AC73" i="18"/>
  <c r="AL73" i="18"/>
  <c r="X73" i="18"/>
  <c r="AJ73" i="18"/>
  <c r="O73" i="18"/>
  <c r="T73" i="18"/>
  <c r="G73" i="18"/>
  <c r="J73" i="18"/>
  <c r="K73" i="18"/>
  <c r="AK73" i="18"/>
  <c r="I73" i="18"/>
  <c r="E74" i="16"/>
  <c r="AC74" i="16"/>
  <c r="Y74" i="16"/>
  <c r="H74" i="16"/>
  <c r="X74" i="16"/>
  <c r="G74" i="16"/>
  <c r="P74" i="16"/>
  <c r="Z74" i="16"/>
  <c r="J74" i="16"/>
  <c r="S74" i="16"/>
  <c r="AE74" i="16"/>
  <c r="O74" i="16"/>
  <c r="AB74" i="16"/>
  <c r="AA74" i="16"/>
  <c r="AL74" i="16"/>
  <c r="Q74" i="16"/>
  <c r="AJ74" i="16"/>
  <c r="R74" i="16"/>
  <c r="W74" i="16"/>
  <c r="AK74" i="16"/>
  <c r="AG74" i="16"/>
  <c r="V74" i="16"/>
  <c r="T74" i="16"/>
  <c r="K74" i="16"/>
  <c r="AI74" i="16"/>
  <c r="U74" i="16"/>
  <c r="M74" i="16"/>
  <c r="L74" i="16"/>
  <c r="F74" i="16"/>
  <c r="N74" i="16"/>
  <c r="I74" i="16"/>
  <c r="AD74" i="16"/>
  <c r="AF74" i="16"/>
  <c r="AH74" i="16"/>
  <c r="U95" i="14"/>
  <c r="V95" i="14"/>
  <c r="AH95" i="14"/>
  <c r="AJ95" i="14"/>
  <c r="I95" i="14"/>
  <c r="T95" i="14"/>
  <c r="L95" i="14"/>
  <c r="AF95" i="14"/>
  <c r="AB95" i="14"/>
  <c r="AI95" i="14"/>
  <c r="E95" i="14"/>
  <c r="AK95" i="14"/>
  <c r="AA95" i="14"/>
  <c r="Y95" i="14"/>
  <c r="AL95" i="14"/>
  <c r="P95" i="14"/>
  <c r="Z95" i="14"/>
  <c r="O95" i="14"/>
  <c r="M95" i="14"/>
  <c r="X95" i="14"/>
  <c r="AD95" i="14"/>
  <c r="Q95" i="14"/>
  <c r="AC95" i="14"/>
  <c r="W95" i="14"/>
  <c r="AE95" i="14"/>
  <c r="N95" i="14"/>
  <c r="AG95" i="14"/>
  <c r="J95" i="14"/>
  <c r="S95" i="14"/>
  <c r="F95" i="14"/>
  <c r="K95" i="14"/>
  <c r="G95" i="14"/>
  <c r="H95" i="14"/>
  <c r="R95" i="14"/>
  <c r="K98" i="18"/>
  <c r="AC98" i="18"/>
  <c r="AH98" i="18"/>
  <c r="L98" i="18"/>
  <c r="V98" i="18"/>
  <c r="N98" i="18"/>
  <c r="G98" i="18"/>
  <c r="AL98" i="18"/>
  <c r="AA98" i="18"/>
  <c r="AK98" i="18"/>
  <c r="O98" i="18"/>
  <c r="R98" i="18"/>
  <c r="H98" i="18"/>
  <c r="U98" i="18"/>
  <c r="Q98" i="18"/>
  <c r="F98" i="18"/>
  <c r="X98" i="18"/>
  <c r="I98" i="18"/>
  <c r="W98" i="18"/>
  <c r="AF98" i="18"/>
  <c r="AD98" i="18"/>
  <c r="AB98" i="18"/>
  <c r="J98" i="18"/>
  <c r="Y98" i="18"/>
  <c r="AG98" i="18"/>
  <c r="T98" i="18"/>
  <c r="P98" i="18"/>
  <c r="S98" i="18"/>
  <c r="E98" i="18"/>
  <c r="Z98" i="18"/>
  <c r="AI98" i="18"/>
  <c r="M98" i="18"/>
  <c r="AE98" i="18"/>
  <c r="AJ98" i="18"/>
  <c r="J73" i="12"/>
  <c r="I73" i="12"/>
  <c r="N73" i="12"/>
  <c r="AF73" i="12"/>
  <c r="U73" i="12"/>
  <c r="R73" i="12"/>
  <c r="AA73" i="12"/>
  <c r="AJ73" i="12"/>
  <c r="AB73" i="12"/>
  <c r="S73" i="12"/>
  <c r="AD73" i="12"/>
  <c r="P73" i="12"/>
  <c r="E73" i="12"/>
  <c r="Z73" i="12"/>
  <c r="AE73" i="12"/>
  <c r="O73" i="12"/>
  <c r="AH73" i="12"/>
  <c r="H73" i="12"/>
  <c r="X73" i="12"/>
  <c r="T73" i="12"/>
  <c r="W73" i="12"/>
  <c r="AK73" i="12"/>
  <c r="AG73" i="12"/>
  <c r="Q73" i="12"/>
  <c r="Y73" i="12"/>
  <c r="M73" i="12"/>
  <c r="G73" i="12"/>
  <c r="L73" i="12"/>
  <c r="AC73" i="12"/>
  <c r="F73" i="12"/>
  <c r="AL73" i="12"/>
  <c r="K73" i="12"/>
  <c r="AI73" i="12"/>
  <c r="V73" i="12"/>
  <c r="F69" i="15"/>
  <c r="AF69" i="15"/>
  <c r="T69" i="15"/>
  <c r="O69" i="15"/>
  <c r="AB69" i="15"/>
  <c r="X69" i="15"/>
  <c r="AI69" i="15"/>
  <c r="L69" i="15"/>
  <c r="S69" i="15"/>
  <c r="AC69" i="15"/>
  <c r="G69" i="15"/>
  <c r="AJ69" i="15"/>
  <c r="R69" i="15"/>
  <c r="M69" i="15"/>
  <c r="U69" i="15"/>
  <c r="Y69" i="15"/>
  <c r="K69" i="15"/>
  <c r="V69" i="15"/>
  <c r="E69" i="15"/>
  <c r="W69" i="15"/>
  <c r="I69" i="15"/>
  <c r="N69" i="15"/>
  <c r="Q69" i="15"/>
  <c r="AG69" i="15"/>
  <c r="Z69" i="15"/>
  <c r="J69" i="15"/>
  <c r="AH69" i="15"/>
  <c r="H69" i="15"/>
  <c r="AA69" i="15"/>
  <c r="AE69" i="15"/>
  <c r="P69" i="15"/>
  <c r="AK69" i="15"/>
  <c r="AL69" i="15"/>
  <c r="AD69" i="15"/>
  <c r="AE98" i="12"/>
  <c r="K98" i="12"/>
  <c r="Z98" i="12"/>
  <c r="G98" i="12"/>
  <c r="AA98" i="12"/>
  <c r="W98" i="12"/>
  <c r="J98" i="12"/>
  <c r="U98" i="12"/>
  <c r="E98" i="12"/>
  <c r="AC98" i="12"/>
  <c r="S98" i="12"/>
  <c r="H98" i="12"/>
  <c r="AH98" i="12"/>
  <c r="V98" i="12"/>
  <c r="X98" i="12"/>
  <c r="AI98" i="12"/>
  <c r="AL98" i="12"/>
  <c r="L98" i="12"/>
  <c r="P98" i="12"/>
  <c r="O98" i="12"/>
  <c r="AB98" i="12"/>
  <c r="AK98" i="12"/>
  <c r="M98" i="12"/>
  <c r="F98" i="12"/>
  <c r="Y98" i="12"/>
  <c r="AG98" i="12"/>
  <c r="AJ98" i="12"/>
  <c r="AD98" i="12"/>
  <c r="Q98" i="12"/>
  <c r="N98" i="12"/>
  <c r="T98" i="12"/>
  <c r="AF98" i="12"/>
  <c r="R98" i="12"/>
  <c r="I98" i="12"/>
  <c r="L99" i="18"/>
  <c r="AC99" i="18"/>
  <c r="AL99" i="18"/>
  <c r="AI99" i="18"/>
  <c r="I99" i="18"/>
  <c r="AJ99" i="18"/>
  <c r="R99" i="18"/>
  <c r="V99" i="18"/>
  <c r="AF99" i="18"/>
  <c r="Q99" i="18"/>
  <c r="U99" i="18"/>
  <c r="F99" i="18"/>
  <c r="P99" i="18"/>
  <c r="AA99" i="18"/>
  <c r="K99" i="18"/>
  <c r="S99" i="18"/>
  <c r="N99" i="18"/>
  <c r="AD99" i="18"/>
  <c r="J99" i="18"/>
  <c r="AB99" i="18"/>
  <c r="H99" i="18"/>
  <c r="X99" i="18"/>
  <c r="W99" i="18"/>
  <c r="AG99" i="18"/>
  <c r="AE99" i="18"/>
  <c r="G99" i="18"/>
  <c r="Y99" i="18"/>
  <c r="O99" i="18"/>
  <c r="M99" i="18"/>
  <c r="Z99" i="18"/>
  <c r="E99" i="18"/>
  <c r="AK99" i="18"/>
  <c r="AH99" i="18"/>
  <c r="T99" i="18"/>
  <c r="U74" i="17"/>
  <c r="J74" i="17"/>
  <c r="Z74" i="17"/>
  <c r="F74" i="17"/>
  <c r="AA74" i="17"/>
  <c r="X74" i="17"/>
  <c r="AF74" i="17"/>
  <c r="Q74" i="17"/>
  <c r="R74" i="17"/>
  <c r="P74" i="17"/>
  <c r="W74" i="17"/>
  <c r="E74" i="17"/>
  <c r="T74" i="17"/>
  <c r="AC74" i="17"/>
  <c r="H74" i="17"/>
  <c r="AD74" i="17"/>
  <c r="AK74" i="17"/>
  <c r="Y74" i="17"/>
  <c r="G74" i="17"/>
  <c r="AJ74" i="17"/>
  <c r="M74" i="17"/>
  <c r="AB74" i="17"/>
  <c r="AG74" i="17"/>
  <c r="AI74" i="17"/>
  <c r="AH74" i="17"/>
  <c r="S74" i="17"/>
  <c r="N74" i="17"/>
  <c r="L74" i="17"/>
  <c r="O74" i="17"/>
  <c r="AL74" i="17"/>
  <c r="V74" i="17"/>
  <c r="AE74" i="17"/>
  <c r="K74" i="17"/>
  <c r="I74" i="17"/>
  <c r="AF72" i="13"/>
  <c r="E72" i="13"/>
  <c r="AI72" i="13"/>
  <c r="P72" i="13"/>
  <c r="AK72" i="13"/>
  <c r="N72" i="13"/>
  <c r="AC72" i="13"/>
  <c r="AH72" i="13"/>
  <c r="I72" i="13"/>
  <c r="AJ72" i="13"/>
  <c r="AE72" i="13"/>
  <c r="S72" i="13"/>
  <c r="T72" i="13"/>
  <c r="W72" i="13"/>
  <c r="O72" i="13"/>
  <c r="X72" i="13"/>
  <c r="H72" i="13"/>
  <c r="V72" i="13"/>
  <c r="U72" i="13"/>
  <c r="AA72" i="13"/>
  <c r="Z72" i="13"/>
  <c r="J72" i="13"/>
  <c r="K72" i="13"/>
  <c r="Y72" i="13"/>
  <c r="R72" i="13"/>
  <c r="F72" i="13"/>
  <c r="L72" i="13"/>
  <c r="AL72" i="13"/>
  <c r="Q72" i="13"/>
  <c r="G72" i="13"/>
  <c r="AD72" i="13"/>
  <c r="M72" i="13"/>
  <c r="AG72" i="13"/>
  <c r="AB72" i="13"/>
  <c r="R71" i="13"/>
  <c r="W71" i="13"/>
  <c r="L71" i="13"/>
  <c r="AB71" i="13"/>
  <c r="AI71" i="13"/>
  <c r="H71" i="13"/>
  <c r="AH71" i="13"/>
  <c r="AA71" i="13"/>
  <c r="Z71" i="13"/>
  <c r="E71" i="13"/>
  <c r="AJ71" i="13"/>
  <c r="O71" i="13"/>
  <c r="AD71" i="13"/>
  <c r="Y71" i="13"/>
  <c r="Q71" i="13"/>
  <c r="T71" i="13"/>
  <c r="U71" i="13"/>
  <c r="AC71" i="13"/>
  <c r="J71" i="13"/>
  <c r="P71" i="13"/>
  <c r="V71" i="13"/>
  <c r="G71" i="13"/>
  <c r="AF71" i="13"/>
  <c r="N71" i="13"/>
  <c r="X71" i="13"/>
  <c r="AK71" i="13"/>
  <c r="S71" i="13"/>
  <c r="AL71" i="13"/>
  <c r="I71" i="13"/>
  <c r="AG71" i="13"/>
  <c r="M71" i="13"/>
  <c r="K71" i="13"/>
  <c r="F71" i="13"/>
  <c r="AE71" i="13"/>
  <c r="U69" i="13"/>
  <c r="H69" i="13"/>
  <c r="AD69" i="13"/>
  <c r="F69" i="13"/>
  <c r="AG69" i="13"/>
  <c r="M69" i="13"/>
  <c r="AF69" i="13"/>
  <c r="Q69" i="13"/>
  <c r="AC69" i="13"/>
  <c r="AI69" i="13"/>
  <c r="I69" i="13"/>
  <c r="N69" i="13"/>
  <c r="X69" i="13"/>
  <c r="V69" i="13"/>
  <c r="K69" i="13"/>
  <c r="S69" i="13"/>
  <c r="AH69" i="13"/>
  <c r="AJ69" i="13"/>
  <c r="AE69" i="13"/>
  <c r="W69" i="13"/>
  <c r="Y69" i="13"/>
  <c r="AL69" i="13"/>
  <c r="J69" i="13"/>
  <c r="R69" i="13"/>
  <c r="AA69" i="13"/>
  <c r="O69" i="13"/>
  <c r="P69" i="13"/>
  <c r="AK69" i="13"/>
  <c r="AB69" i="13"/>
  <c r="Z69" i="13"/>
  <c r="G69" i="13"/>
  <c r="L69" i="13"/>
  <c r="T69" i="13"/>
  <c r="E69" i="13"/>
  <c r="G70" i="17"/>
  <c r="Q70" i="17"/>
  <c r="L70" i="17"/>
  <c r="V70" i="17"/>
  <c r="AF70" i="17"/>
  <c r="P70" i="17"/>
  <c r="W70" i="17"/>
  <c r="S70" i="17"/>
  <c r="AD70" i="17"/>
  <c r="O70" i="17"/>
  <c r="AL70" i="17"/>
  <c r="J70" i="17"/>
  <c r="T70" i="17"/>
  <c r="Y70" i="17"/>
  <c r="E70" i="17"/>
  <c r="F70" i="17"/>
  <c r="AK70" i="17"/>
  <c r="AJ70" i="17"/>
  <c r="AA70" i="17"/>
  <c r="AG70" i="17"/>
  <c r="U70" i="17"/>
  <c r="X70" i="17"/>
  <c r="AE70" i="17"/>
  <c r="Z70" i="17"/>
  <c r="K70" i="17"/>
  <c r="H70" i="17"/>
  <c r="AI70" i="17"/>
  <c r="AC70" i="17"/>
  <c r="M70" i="17"/>
  <c r="I70" i="17"/>
  <c r="AB70" i="17"/>
  <c r="R70" i="17"/>
  <c r="N70" i="17"/>
  <c r="AH70" i="17"/>
  <c r="S101" i="15"/>
  <c r="O101" i="15"/>
  <c r="Q101" i="15"/>
  <c r="AA101" i="15"/>
  <c r="L101" i="15"/>
  <c r="AJ101" i="15"/>
  <c r="U101" i="15"/>
  <c r="AI101" i="15"/>
  <c r="X101" i="15"/>
  <c r="AK101" i="15"/>
  <c r="AH101" i="15"/>
  <c r="T101" i="15"/>
  <c r="G101" i="15"/>
  <c r="I101" i="15"/>
  <c r="AD101" i="15"/>
  <c r="R101" i="15"/>
  <c r="K101" i="15"/>
  <c r="V101" i="15"/>
  <c r="E101" i="15"/>
  <c r="W101" i="15"/>
  <c r="M101" i="15"/>
  <c r="AG101" i="15"/>
  <c r="F101" i="15"/>
  <c r="AB101" i="15"/>
  <c r="P101" i="15"/>
  <c r="AC101" i="15"/>
  <c r="Y101" i="15"/>
  <c r="H101" i="15"/>
  <c r="Z101" i="15"/>
  <c r="N101" i="15"/>
  <c r="J101" i="15"/>
  <c r="AF101" i="15"/>
  <c r="AL101" i="15"/>
  <c r="AE101" i="15"/>
  <c r="AJ69" i="16"/>
  <c r="H69" i="16"/>
  <c r="AB69" i="16"/>
  <c r="AI69" i="16"/>
  <c r="Z69" i="16"/>
  <c r="AF69" i="16"/>
  <c r="AE69" i="16"/>
  <c r="AA69" i="16"/>
  <c r="N69" i="16"/>
  <c r="O69" i="16"/>
  <c r="AK69" i="16"/>
  <c r="AC69" i="16"/>
  <c r="R69" i="16"/>
  <c r="T69" i="16"/>
  <c r="V69" i="16"/>
  <c r="E69" i="16"/>
  <c r="L69" i="16"/>
  <c r="W69" i="16"/>
  <c r="P69" i="16"/>
  <c r="M69" i="16"/>
  <c r="G69" i="16"/>
  <c r="AH69" i="16"/>
  <c r="K69" i="16"/>
  <c r="U69" i="16"/>
  <c r="Q69" i="16"/>
  <c r="J69" i="16"/>
  <c r="AL69" i="16"/>
  <c r="S69" i="16"/>
  <c r="X69" i="16"/>
  <c r="Y69" i="16"/>
  <c r="F69" i="16"/>
  <c r="AG69" i="16"/>
  <c r="AD69" i="16"/>
  <c r="I69" i="16"/>
  <c r="AB70" i="16"/>
  <c r="AL70" i="16"/>
  <c r="V70" i="16"/>
  <c r="O70" i="16"/>
  <c r="Y70" i="16"/>
  <c r="AH70" i="16"/>
  <c r="Q70" i="16"/>
  <c r="H70" i="16"/>
  <c r="J70" i="16"/>
  <c r="N70" i="16"/>
  <c r="U70" i="16"/>
  <c r="T70" i="16"/>
  <c r="X70" i="16"/>
  <c r="F70" i="16"/>
  <c r="R70" i="16"/>
  <c r="Z70" i="16"/>
  <c r="I70" i="16"/>
  <c r="E70" i="16"/>
  <c r="AJ70" i="16"/>
  <c r="AE70" i="16"/>
  <c r="P70" i="16"/>
  <c r="G70" i="16"/>
  <c r="AF70" i="16"/>
  <c r="AC70" i="16"/>
  <c r="K70" i="16"/>
  <c r="AD70" i="16"/>
  <c r="AA70" i="16"/>
  <c r="AI70" i="16"/>
  <c r="AG70" i="16"/>
  <c r="W70" i="16"/>
  <c r="AK70" i="16"/>
  <c r="M70" i="16"/>
  <c r="S70" i="16"/>
  <c r="L70" i="16"/>
  <c r="AE68" i="18"/>
  <c r="W68" i="18"/>
  <c r="AJ68" i="18"/>
  <c r="R68" i="18"/>
  <c r="H68" i="18"/>
  <c r="Z68" i="18"/>
  <c r="Y68" i="18"/>
  <c r="X68" i="18"/>
  <c r="L68" i="18"/>
  <c r="U68" i="18"/>
  <c r="F68" i="18"/>
  <c r="AH68" i="18"/>
  <c r="AK68" i="18"/>
  <c r="G68" i="18"/>
  <c r="AD68" i="18"/>
  <c r="K68" i="18"/>
  <c r="AI68" i="18"/>
  <c r="Q68" i="18"/>
  <c r="E68" i="18"/>
  <c r="AA68" i="18"/>
  <c r="AG68" i="18"/>
  <c r="O68" i="18"/>
  <c r="J68" i="18"/>
  <c r="N68" i="18"/>
  <c r="M68" i="18"/>
  <c r="AC68" i="18"/>
  <c r="T68" i="18"/>
  <c r="I68" i="18"/>
  <c r="P68" i="18"/>
  <c r="V68" i="18"/>
  <c r="S68" i="18"/>
  <c r="AL68" i="18"/>
  <c r="AF68" i="18"/>
  <c r="AB68" i="18"/>
  <c r="AG99" i="12"/>
  <c r="M99" i="12"/>
  <c r="X99" i="12"/>
  <c r="Y99" i="12"/>
  <c r="W99" i="12"/>
  <c r="AJ99" i="12"/>
  <c r="I99" i="12"/>
  <c r="F99" i="12"/>
  <c r="S99" i="12"/>
  <c r="L99" i="12"/>
  <c r="J99" i="12"/>
  <c r="AB99" i="12"/>
  <c r="AI99" i="12"/>
  <c r="P99" i="12"/>
  <c r="AE99" i="12"/>
  <c r="U99" i="12"/>
  <c r="O99" i="12"/>
  <c r="R99" i="12"/>
  <c r="N99" i="12"/>
  <c r="AC99" i="12"/>
  <c r="Q99" i="12"/>
  <c r="AD99" i="12"/>
  <c r="H99" i="12"/>
  <c r="E99" i="12"/>
  <c r="AL99" i="12"/>
  <c r="AH99" i="12"/>
  <c r="AA99" i="12"/>
  <c r="K99" i="12"/>
  <c r="AK99" i="12"/>
  <c r="V99" i="12"/>
  <c r="Z99" i="12"/>
  <c r="T99" i="12"/>
  <c r="G99" i="12"/>
  <c r="AF99" i="12"/>
  <c r="J96" i="15"/>
  <c r="H96" i="15"/>
  <c r="G96" i="15"/>
  <c r="N96" i="15"/>
  <c r="AB96" i="15"/>
  <c r="Q96" i="15"/>
  <c r="AK96" i="15"/>
  <c r="AD96" i="15"/>
  <c r="E96" i="15"/>
  <c r="AL96" i="15"/>
  <c r="S96" i="15"/>
  <c r="F96" i="15"/>
  <c r="AF96" i="15"/>
  <c r="V96" i="15"/>
  <c r="P96" i="15"/>
  <c r="AG96" i="15"/>
  <c r="I96" i="15"/>
  <c r="L96" i="15"/>
  <c r="AH96" i="15"/>
  <c r="AC96" i="15"/>
  <c r="U96" i="15"/>
  <c r="R96" i="15"/>
  <c r="T96" i="15"/>
  <c r="W96" i="15"/>
  <c r="AA96" i="15"/>
  <c r="O96" i="15"/>
  <c r="AJ96" i="15"/>
  <c r="AE96" i="15"/>
  <c r="X96" i="15"/>
  <c r="Y96" i="15"/>
  <c r="AI96" i="15"/>
  <c r="Z96" i="15"/>
  <c r="M96" i="15"/>
  <c r="K96" i="15"/>
  <c r="AB73" i="16"/>
  <c r="R73" i="16"/>
  <c r="AA73" i="16"/>
  <c r="O73" i="16"/>
  <c r="P73" i="16"/>
  <c r="AI73" i="16"/>
  <c r="M73" i="16"/>
  <c r="X73" i="16"/>
  <c r="G73" i="16"/>
  <c r="AD73" i="16"/>
  <c r="AE73" i="16"/>
  <c r="L73" i="16"/>
  <c r="N73" i="16"/>
  <c r="K73" i="16"/>
  <c r="AG73" i="16"/>
  <c r="Z73" i="16"/>
  <c r="T73" i="16"/>
  <c r="I73" i="16"/>
  <c r="U73" i="16"/>
  <c r="V73" i="16"/>
  <c r="AJ73" i="16"/>
  <c r="Q73" i="16"/>
  <c r="E73" i="16"/>
  <c r="AF73" i="16"/>
  <c r="AL73" i="16"/>
  <c r="AC73" i="16"/>
  <c r="F73" i="16"/>
  <c r="AK73" i="16"/>
  <c r="J73" i="16"/>
  <c r="Y73" i="16"/>
  <c r="W73" i="16"/>
  <c r="S73" i="16"/>
  <c r="H73" i="16"/>
  <c r="AH73" i="16"/>
  <c r="AC71" i="15"/>
  <c r="AK71" i="15"/>
  <c r="Y71" i="15"/>
  <c r="W71" i="15"/>
  <c r="E71" i="15"/>
  <c r="AH71" i="15"/>
  <c r="I71" i="15"/>
  <c r="AJ71" i="15"/>
  <c r="N71" i="15"/>
  <c r="AF71" i="15"/>
  <c r="R71" i="15"/>
  <c r="P71" i="15"/>
  <c r="AB71" i="15"/>
  <c r="L71" i="15"/>
  <c r="M71" i="15"/>
  <c r="Q71" i="15"/>
  <c r="AD71" i="15"/>
  <c r="AG71" i="15"/>
  <c r="AI71" i="15"/>
  <c r="AA71" i="15"/>
  <c r="O71" i="15"/>
  <c r="U71" i="15"/>
  <c r="T71" i="15"/>
  <c r="X71" i="15"/>
  <c r="AL71" i="15"/>
  <c r="AE71" i="15"/>
  <c r="H71" i="15"/>
  <c r="Z71" i="15"/>
  <c r="S71" i="15"/>
  <c r="V71" i="15"/>
  <c r="F71" i="15"/>
  <c r="J71" i="15"/>
  <c r="G71" i="15"/>
  <c r="K71" i="15"/>
  <c r="AC99" i="13"/>
  <c r="AB99" i="13"/>
  <c r="K99" i="13"/>
  <c r="Q99" i="13"/>
  <c r="I99" i="13"/>
  <c r="X99" i="13"/>
  <c r="J99" i="13"/>
  <c r="Z99" i="13"/>
  <c r="U99" i="13"/>
  <c r="R99" i="13"/>
  <c r="AL99" i="13"/>
  <c r="AJ99" i="13"/>
  <c r="AD99" i="13"/>
  <c r="AH99" i="13"/>
  <c r="E99" i="13"/>
  <c r="AE99" i="13"/>
  <c r="M99" i="13"/>
  <c r="AF99" i="13"/>
  <c r="P99" i="13"/>
  <c r="V99" i="13"/>
  <c r="AI99" i="13"/>
  <c r="G99" i="13"/>
  <c r="H99" i="13"/>
  <c r="N99" i="13"/>
  <c r="F99" i="13"/>
  <c r="W99" i="13"/>
  <c r="L99" i="13"/>
  <c r="AK99" i="13"/>
  <c r="S99" i="13"/>
  <c r="AG99" i="13"/>
  <c r="O99" i="13"/>
  <c r="T99" i="13"/>
  <c r="AA99" i="13"/>
  <c r="Y99" i="13"/>
  <c r="AG95" i="16"/>
  <c r="O95" i="16"/>
  <c r="AE95" i="16"/>
  <c r="N95" i="16"/>
  <c r="X95" i="16"/>
  <c r="AA95" i="16"/>
  <c r="I95" i="16"/>
  <c r="AB95" i="16"/>
  <c r="AD95" i="16"/>
  <c r="T95" i="16"/>
  <c r="J95" i="16"/>
  <c r="AH95" i="16"/>
  <c r="AC95" i="16"/>
  <c r="W95" i="16"/>
  <c r="V95" i="16"/>
  <c r="E95" i="16"/>
  <c r="H95" i="16"/>
  <c r="Z95" i="16"/>
  <c r="Y95" i="16"/>
  <c r="F95" i="16"/>
  <c r="Q95" i="16"/>
  <c r="S95" i="16"/>
  <c r="U95" i="16"/>
  <c r="AJ95" i="16"/>
  <c r="P95" i="16"/>
  <c r="G95" i="16"/>
  <c r="R95" i="16"/>
  <c r="AL95" i="16"/>
  <c r="M95" i="16"/>
  <c r="AF95" i="16"/>
  <c r="L95" i="16"/>
  <c r="AI95" i="16"/>
  <c r="AK95" i="16"/>
  <c r="K95" i="16"/>
  <c r="Q72" i="15"/>
  <c r="I72" i="15"/>
  <c r="E72" i="15"/>
  <c r="AD72" i="15"/>
  <c r="R72" i="15"/>
  <c r="S72" i="15"/>
  <c r="AG72" i="15"/>
  <c r="AH72" i="15"/>
  <c r="H72" i="15"/>
  <c r="AE72" i="15"/>
  <c r="AL72" i="15"/>
  <c r="AJ72" i="15"/>
  <c r="AF72" i="15"/>
  <c r="AK72" i="15"/>
  <c r="P72" i="15"/>
  <c r="J72" i="15"/>
  <c r="X72" i="15"/>
  <c r="N72" i="15"/>
  <c r="O72" i="15"/>
  <c r="F72" i="15"/>
  <c r="K72" i="15"/>
  <c r="G72" i="15"/>
  <c r="AA72" i="15"/>
  <c r="L72" i="15"/>
  <c r="V72" i="15"/>
  <c r="Y72" i="15"/>
  <c r="W72" i="15"/>
  <c r="T72" i="15"/>
  <c r="U72" i="15"/>
  <c r="AB72" i="15"/>
  <c r="Z72" i="15"/>
  <c r="AI72" i="15"/>
  <c r="M72" i="15"/>
  <c r="AC72" i="15"/>
  <c r="W97" i="12"/>
  <c r="X97" i="12"/>
  <c r="O97" i="12"/>
  <c r="P97" i="12"/>
  <c r="AI97" i="12"/>
  <c r="E97" i="12"/>
  <c r="N97" i="12"/>
  <c r="Y97" i="12"/>
  <c r="J97" i="12"/>
  <c r="AJ97" i="12"/>
  <c r="AB97" i="12"/>
  <c r="Z97" i="12"/>
  <c r="I97" i="12"/>
  <c r="AG97" i="12"/>
  <c r="AC97" i="12"/>
  <c r="AE97" i="12"/>
  <c r="F97" i="12"/>
  <c r="AA97" i="12"/>
  <c r="L97" i="12"/>
  <c r="R97" i="12"/>
  <c r="K97" i="12"/>
  <c r="G97" i="12"/>
  <c r="U97" i="12"/>
  <c r="Q97" i="12"/>
  <c r="V97" i="12"/>
  <c r="S97" i="12"/>
  <c r="T97" i="12"/>
  <c r="AL97" i="12"/>
  <c r="AF97" i="12"/>
  <c r="AD97" i="12"/>
  <c r="AK97" i="12"/>
  <c r="AH97" i="12"/>
  <c r="M97" i="12"/>
  <c r="H97" i="12"/>
  <c r="J70" i="12"/>
  <c r="AH70" i="12"/>
  <c r="AI70" i="12"/>
  <c r="H70" i="12"/>
  <c r="Q70" i="12"/>
  <c r="N70" i="12"/>
  <c r="T70" i="12"/>
  <c r="I70" i="12"/>
  <c r="M70" i="12"/>
  <c r="AJ70" i="12"/>
  <c r="U70" i="12"/>
  <c r="Z70" i="12"/>
  <c r="V70" i="12"/>
  <c r="AE70" i="12"/>
  <c r="W70" i="12"/>
  <c r="AD70" i="12"/>
  <c r="P70" i="12"/>
  <c r="R70" i="12"/>
  <c r="AC70" i="12"/>
  <c r="Y70" i="12"/>
  <c r="G70" i="12"/>
  <c r="AL70" i="12"/>
  <c r="AA70" i="12"/>
  <c r="X70" i="12"/>
  <c r="K70" i="12"/>
  <c r="AB70" i="12"/>
  <c r="AK70" i="12"/>
  <c r="F70" i="12"/>
  <c r="S70" i="12"/>
  <c r="AG70" i="12"/>
  <c r="L70" i="12"/>
  <c r="AF70" i="12"/>
  <c r="O70" i="12"/>
  <c r="E70" i="12"/>
  <c r="E73" i="14"/>
  <c r="N73" i="14"/>
  <c r="W73" i="14"/>
  <c r="Z73" i="14"/>
  <c r="Y73" i="14"/>
  <c r="S73" i="14"/>
  <c r="AB73" i="14"/>
  <c r="AH73" i="14"/>
  <c r="J73" i="14"/>
  <c r="L73" i="14"/>
  <c r="AC73" i="14"/>
  <c r="M73" i="14"/>
  <c r="AK73" i="14"/>
  <c r="G73" i="14"/>
  <c r="K73" i="14"/>
  <c r="AE73" i="14"/>
  <c r="U73" i="14"/>
  <c r="T73" i="14"/>
  <c r="F73" i="14"/>
  <c r="AJ73" i="14"/>
  <c r="AD73" i="14"/>
  <c r="AL73" i="14"/>
  <c r="Q73" i="14"/>
  <c r="O73" i="14"/>
  <c r="AI73" i="14"/>
  <c r="H73" i="14"/>
  <c r="R73" i="14"/>
  <c r="I73" i="14"/>
  <c r="P73" i="14"/>
  <c r="V73" i="14"/>
  <c r="X73" i="14"/>
  <c r="AF73" i="14"/>
  <c r="AA73" i="14"/>
  <c r="AG73" i="14"/>
  <c r="O98" i="17"/>
  <c r="AB98" i="17"/>
  <c r="AF98" i="17"/>
  <c r="AE98" i="17"/>
  <c r="AC98" i="17"/>
  <c r="K98" i="17"/>
  <c r="AH98" i="17"/>
  <c r="S98" i="17"/>
  <c r="AL98" i="17"/>
  <c r="E98" i="17"/>
  <c r="M98" i="17"/>
  <c r="R98" i="17"/>
  <c r="L98" i="17"/>
  <c r="W98" i="17"/>
  <c r="J98" i="17"/>
  <c r="AI98" i="17"/>
  <c r="I98" i="17"/>
  <c r="U98" i="17"/>
  <c r="AK98" i="17"/>
  <c r="X98" i="17"/>
  <c r="V98" i="17"/>
  <c r="AA98" i="17"/>
  <c r="AJ98" i="17"/>
  <c r="AD98" i="17"/>
  <c r="N98" i="17"/>
  <c r="Y98" i="17"/>
  <c r="F98" i="17"/>
  <c r="H98" i="17"/>
  <c r="Z98" i="17"/>
  <c r="G98" i="17"/>
  <c r="T98" i="17"/>
  <c r="AG98" i="17"/>
  <c r="P98" i="17"/>
  <c r="Q98" i="17"/>
  <c r="R98" i="13"/>
  <c r="V98" i="13"/>
  <c r="Q98" i="13"/>
  <c r="E98" i="13"/>
  <c r="AH98" i="13"/>
  <c r="P98" i="13"/>
  <c r="AG98" i="13"/>
  <c r="K98" i="13"/>
  <c r="AL98" i="13"/>
  <c r="H98" i="13"/>
  <c r="F98" i="13"/>
  <c r="AA98" i="13"/>
  <c r="AF98" i="13"/>
  <c r="AE98" i="13"/>
  <c r="U98" i="13"/>
  <c r="W98" i="13"/>
  <c r="AI98" i="13"/>
  <c r="Y98" i="13"/>
  <c r="AJ98" i="13"/>
  <c r="Z98" i="13"/>
  <c r="X98" i="13"/>
  <c r="O98" i="13"/>
  <c r="S98" i="13"/>
  <c r="L98" i="13"/>
  <c r="AK98" i="13"/>
  <c r="AD98" i="13"/>
  <c r="I98" i="13"/>
  <c r="M98" i="13"/>
  <c r="N98" i="13"/>
  <c r="T98" i="13"/>
  <c r="AC98" i="13"/>
  <c r="G98" i="13"/>
  <c r="AB98" i="13"/>
  <c r="J98" i="13"/>
  <c r="AK100" i="14"/>
  <c r="I100" i="14"/>
  <c r="W100" i="14"/>
  <c r="AC100" i="14"/>
  <c r="AH100" i="14"/>
  <c r="AE100" i="14"/>
  <c r="E100" i="14"/>
  <c r="M100" i="14"/>
  <c r="H100" i="14"/>
  <c r="AI100" i="14"/>
  <c r="AF100" i="14"/>
  <c r="Q100" i="14"/>
  <c r="V100" i="14"/>
  <c r="U100" i="14"/>
  <c r="AG100" i="14"/>
  <c r="N100" i="14"/>
  <c r="AA100" i="14"/>
  <c r="AJ100" i="14"/>
  <c r="Y100" i="14"/>
  <c r="S100" i="14"/>
  <c r="T100" i="14"/>
  <c r="P100" i="14"/>
  <c r="K100" i="14"/>
  <c r="F100" i="14"/>
  <c r="AD100" i="14"/>
  <c r="G100" i="14"/>
  <c r="X100" i="14"/>
  <c r="J100" i="14"/>
  <c r="Z100" i="14"/>
  <c r="O100" i="14"/>
  <c r="L100" i="14"/>
  <c r="R100" i="14"/>
  <c r="AL100" i="14"/>
  <c r="AB100" i="14"/>
  <c r="AF101" i="17"/>
  <c r="E101" i="17"/>
  <c r="Y101" i="17"/>
  <c r="AG101" i="17"/>
  <c r="AD101" i="17"/>
  <c r="M101" i="17"/>
  <c r="X101" i="17"/>
  <c r="AL101" i="17"/>
  <c r="O101" i="17"/>
  <c r="P101" i="17"/>
  <c r="R101" i="17"/>
  <c r="H101" i="17"/>
  <c r="K101" i="17"/>
  <c r="G101" i="17"/>
  <c r="S101" i="17"/>
  <c r="AI101" i="17"/>
  <c r="AJ101" i="17"/>
  <c r="W101" i="17"/>
  <c r="AK101" i="17"/>
  <c r="U101" i="17"/>
  <c r="L101" i="17"/>
  <c r="AB101" i="17"/>
  <c r="Z101" i="17"/>
  <c r="J101" i="17"/>
  <c r="AH101" i="17"/>
  <c r="V101" i="17"/>
  <c r="N101" i="17"/>
  <c r="AE101" i="17"/>
  <c r="Q101" i="17"/>
  <c r="F101" i="17"/>
  <c r="AC101" i="17"/>
  <c r="T101" i="17"/>
  <c r="AA101" i="17"/>
  <c r="I101" i="17"/>
  <c r="J99" i="15"/>
  <c r="Q99" i="15"/>
  <c r="L99" i="15"/>
  <c r="Z99" i="15"/>
  <c r="K99" i="15"/>
  <c r="T99" i="15"/>
  <c r="V99" i="15"/>
  <c r="M99" i="15"/>
  <c r="F99" i="15"/>
  <c r="AJ99" i="15"/>
  <c r="AK99" i="15"/>
  <c r="AC99" i="15"/>
  <c r="P99" i="15"/>
  <c r="AL99" i="15"/>
  <c r="G99" i="15"/>
  <c r="I99" i="15"/>
  <c r="Y99" i="15"/>
  <c r="AF99" i="15"/>
  <c r="N99" i="15"/>
  <c r="AG99" i="15"/>
  <c r="AB99" i="15"/>
  <c r="S99" i="15"/>
  <c r="AD99" i="15"/>
  <c r="E99" i="15"/>
  <c r="H99" i="15"/>
  <c r="X99" i="15"/>
  <c r="O99" i="15"/>
  <c r="AE99" i="15"/>
  <c r="W99" i="15"/>
  <c r="AA99" i="15"/>
  <c r="AH99" i="15"/>
  <c r="R99" i="15"/>
  <c r="U99" i="15"/>
  <c r="AI99" i="15"/>
  <c r="E70" i="15"/>
  <c r="K70" i="15"/>
  <c r="AH70" i="15"/>
  <c r="F70" i="15"/>
  <c r="I70" i="15"/>
  <c r="N70" i="15"/>
  <c r="U70" i="15"/>
  <c r="AG70" i="15"/>
  <c r="S70" i="15"/>
  <c r="R70" i="15"/>
  <c r="O70" i="15"/>
  <c r="AL70" i="15"/>
  <c r="AE70" i="15"/>
  <c r="AJ70" i="15"/>
  <c r="V70" i="15"/>
  <c r="AC70" i="15"/>
  <c r="AF70" i="15"/>
  <c r="Q70" i="15"/>
  <c r="T70" i="15"/>
  <c r="Z70" i="15"/>
  <c r="Y70" i="15"/>
  <c r="J70" i="15"/>
  <c r="AD70" i="15"/>
  <c r="P70" i="15"/>
  <c r="AA70" i="15"/>
  <c r="AI70" i="15"/>
  <c r="W70" i="15"/>
  <c r="AK70" i="15"/>
  <c r="H70" i="15"/>
  <c r="AB70" i="15"/>
  <c r="G70" i="15"/>
  <c r="L70" i="15"/>
  <c r="M70" i="15"/>
  <c r="X70" i="15"/>
  <c r="Z73" i="15"/>
  <c r="O73" i="15"/>
  <c r="W73" i="15"/>
  <c r="AJ73" i="15"/>
  <c r="J73" i="15"/>
  <c r="AC73" i="15"/>
  <c r="M73" i="15"/>
  <c r="AE73" i="15"/>
  <c r="F73" i="15"/>
  <c r="AI73" i="15"/>
  <c r="Q73" i="15"/>
  <c r="T73" i="15"/>
  <c r="G73" i="15"/>
  <c r="AH73" i="15"/>
  <c r="H73" i="15"/>
  <c r="AA73" i="15"/>
  <c r="Y73" i="15"/>
  <c r="AG73" i="15"/>
  <c r="K73" i="15"/>
  <c r="V73" i="15"/>
  <c r="P73" i="15"/>
  <c r="L73" i="15"/>
  <c r="N73" i="15"/>
  <c r="I73" i="15"/>
  <c r="AK73" i="15"/>
  <c r="U73" i="15"/>
  <c r="R73" i="15"/>
  <c r="AL73" i="15"/>
  <c r="S73" i="15"/>
  <c r="AB73" i="15"/>
  <c r="AD73" i="15"/>
  <c r="X73" i="15"/>
  <c r="AF73" i="15"/>
  <c r="E73" i="15"/>
  <c r="R96" i="14"/>
  <c r="AF96" i="14"/>
  <c r="AB96" i="14"/>
  <c r="AE96" i="14"/>
  <c r="G96" i="14"/>
  <c r="W96" i="14"/>
  <c r="AI96" i="14"/>
  <c r="M96" i="14"/>
  <c r="AJ96" i="14"/>
  <c r="AD96" i="14"/>
  <c r="I96" i="14"/>
  <c r="AH96" i="14"/>
  <c r="J96" i="14"/>
  <c r="L96" i="14"/>
  <c r="O96" i="14"/>
  <c r="Y96" i="14"/>
  <c r="X96" i="14"/>
  <c r="E96" i="14"/>
  <c r="F96" i="14"/>
  <c r="P96" i="14"/>
  <c r="H96" i="14"/>
  <c r="U96" i="14"/>
  <c r="Q96" i="14"/>
  <c r="AC96" i="14"/>
  <c r="K96" i="14"/>
  <c r="AK96" i="14"/>
  <c r="S96" i="14"/>
  <c r="Z96" i="14"/>
  <c r="V96" i="14"/>
  <c r="AG96" i="14"/>
  <c r="AL96" i="14"/>
  <c r="T96" i="14"/>
  <c r="N96" i="14"/>
  <c r="AA96" i="14"/>
  <c r="U100" i="18"/>
  <c r="G100" i="18"/>
  <c r="X100" i="18"/>
  <c r="P100" i="18"/>
  <c r="AG100" i="18"/>
  <c r="O100" i="18"/>
  <c r="E100" i="18"/>
  <c r="I100" i="18"/>
  <c r="AB100" i="18"/>
  <c r="M100" i="18"/>
  <c r="L100" i="18"/>
  <c r="AJ100" i="18"/>
  <c r="AC100" i="18"/>
  <c r="N100" i="18"/>
  <c r="AI100" i="18"/>
  <c r="Q100" i="18"/>
  <c r="H100" i="18"/>
  <c r="AH100" i="18"/>
  <c r="S100" i="18"/>
  <c r="AF100" i="18"/>
  <c r="AA100" i="18"/>
  <c r="T100" i="18"/>
  <c r="V100" i="18"/>
  <c r="Y100" i="18"/>
  <c r="AK100" i="18"/>
  <c r="AD100" i="18"/>
  <c r="J100" i="18"/>
  <c r="Z100" i="18"/>
  <c r="W100" i="18"/>
  <c r="F100" i="18"/>
  <c r="AE100" i="18"/>
  <c r="AL100" i="18"/>
  <c r="R100" i="18"/>
  <c r="K100" i="18"/>
  <c r="X71" i="18"/>
  <c r="L71" i="18"/>
  <c r="R71" i="18"/>
  <c r="G71" i="18"/>
  <c r="AL71" i="18"/>
  <c r="O71" i="18"/>
  <c r="M71" i="18"/>
  <c r="W71" i="18"/>
  <c r="AB71" i="18"/>
  <c r="F71" i="18"/>
  <c r="AD71" i="18"/>
  <c r="Y71" i="18"/>
  <c r="T71" i="18"/>
  <c r="N71" i="18"/>
  <c r="AK71" i="18"/>
  <c r="U71" i="18"/>
  <c r="H71" i="18"/>
  <c r="AC71" i="18"/>
  <c r="S71" i="18"/>
  <c r="AA71" i="18"/>
  <c r="AJ71" i="18"/>
  <c r="AH71" i="18"/>
  <c r="E71" i="18"/>
  <c r="AI71" i="18"/>
  <c r="P71" i="18"/>
  <c r="K71" i="18"/>
  <c r="Z71" i="18"/>
  <c r="AF71" i="18"/>
  <c r="AG71" i="18"/>
  <c r="J71" i="18"/>
  <c r="I71" i="18"/>
  <c r="V71" i="18"/>
  <c r="Q71" i="18"/>
  <c r="AE71" i="18"/>
  <c r="R95" i="15"/>
  <c r="T95" i="15"/>
  <c r="M95" i="15"/>
  <c r="J95" i="15"/>
  <c r="Y95" i="15"/>
  <c r="L95" i="15"/>
  <c r="E95" i="15"/>
  <c r="AF95" i="15"/>
  <c r="Z95" i="15"/>
  <c r="H95" i="15"/>
  <c r="S95" i="15"/>
  <c r="U95" i="15"/>
  <c r="O95" i="15"/>
  <c r="I95" i="15"/>
  <c r="AH95" i="15"/>
  <c r="AI95" i="15"/>
  <c r="W95" i="15"/>
  <c r="AJ95" i="15"/>
  <c r="X95" i="15"/>
  <c r="N95" i="15"/>
  <c r="AK95" i="15"/>
  <c r="AE95" i="15"/>
  <c r="V95" i="15"/>
  <c r="AG95" i="15"/>
  <c r="G95" i="15"/>
  <c r="AB95" i="15"/>
  <c r="AD95" i="15"/>
  <c r="AA95" i="15"/>
  <c r="F95" i="15"/>
  <c r="AC95" i="15"/>
  <c r="K95" i="15"/>
  <c r="Q95" i="15"/>
  <c r="P95" i="15"/>
  <c r="AL95" i="15"/>
  <c r="W95" i="17"/>
  <c r="V95" i="17"/>
  <c r="AA95" i="17"/>
  <c r="AK95" i="17"/>
  <c r="AD95" i="17"/>
  <c r="Z95" i="17"/>
  <c r="F95" i="17"/>
  <c r="T95" i="17"/>
  <c r="O95" i="17"/>
  <c r="G95" i="17"/>
  <c r="P95" i="17"/>
  <c r="R95" i="17"/>
  <c r="I95" i="17"/>
  <c r="AJ95" i="17"/>
  <c r="Y95" i="17"/>
  <c r="H95" i="17"/>
  <c r="E95" i="17"/>
  <c r="AE95" i="17"/>
  <c r="M95" i="17"/>
  <c r="AC95" i="17"/>
  <c r="N95" i="17"/>
  <c r="L95" i="17"/>
  <c r="U95" i="17"/>
  <c r="AH95" i="17"/>
  <c r="AI95" i="17"/>
  <c r="AL95" i="17"/>
  <c r="Q95" i="17"/>
  <c r="K95" i="17"/>
  <c r="AB95" i="17"/>
  <c r="AF95" i="17"/>
  <c r="X95" i="17"/>
  <c r="J95" i="17"/>
  <c r="S95" i="17"/>
  <c r="AG95" i="17"/>
  <c r="S101" i="18"/>
  <c r="AL101" i="18"/>
  <c r="AK101" i="18"/>
  <c r="AH101" i="18"/>
  <c r="Z101" i="18"/>
  <c r="AJ101" i="18"/>
  <c r="H101" i="18"/>
  <c r="N101" i="18"/>
  <c r="AC101" i="18"/>
  <c r="F101" i="18"/>
  <c r="AD101" i="18"/>
  <c r="AF101" i="18"/>
  <c r="AG101" i="18"/>
  <c r="M101" i="18"/>
  <c r="E101" i="18"/>
  <c r="I101" i="18"/>
  <c r="L101" i="18"/>
  <c r="W101" i="18"/>
  <c r="K101" i="18"/>
  <c r="V101" i="18"/>
  <c r="Q101" i="18"/>
  <c r="R101" i="18"/>
  <c r="X101" i="18"/>
  <c r="G101" i="18"/>
  <c r="U101" i="18"/>
  <c r="J101" i="18"/>
  <c r="AI101" i="18"/>
  <c r="AB101" i="18"/>
  <c r="O101" i="18"/>
  <c r="T101" i="18"/>
  <c r="AA101" i="18"/>
  <c r="Y101" i="18"/>
  <c r="P101" i="18"/>
  <c r="AE101" i="18"/>
  <c r="AK71" i="12"/>
  <c r="AI71" i="12"/>
  <c r="Y71" i="12"/>
  <c r="AC71" i="12"/>
  <c r="R71" i="12"/>
  <c r="F71" i="12"/>
  <c r="Z71" i="12"/>
  <c r="AJ71" i="12"/>
  <c r="T71" i="12"/>
  <c r="U71" i="12"/>
  <c r="E71" i="12"/>
  <c r="G71" i="12"/>
  <c r="S71" i="12"/>
  <c r="W71" i="12"/>
  <c r="AL71" i="12"/>
  <c r="AF71" i="12"/>
  <c r="AG71" i="12"/>
  <c r="AH71" i="12"/>
  <c r="M71" i="12"/>
  <c r="L71" i="12"/>
  <c r="I71" i="12"/>
  <c r="AD71" i="12"/>
  <c r="X71" i="12"/>
  <c r="AE71" i="12"/>
  <c r="P71" i="12"/>
  <c r="N71" i="12"/>
  <c r="AB71" i="12"/>
  <c r="V71" i="12"/>
  <c r="K71" i="12"/>
  <c r="AA71" i="12"/>
  <c r="O71" i="12"/>
  <c r="Q71" i="12"/>
  <c r="J71" i="12"/>
  <c r="H71" i="12"/>
  <c r="Y96" i="13"/>
  <c r="T96" i="13"/>
  <c r="S96" i="13"/>
  <c r="AG96" i="13"/>
  <c r="AC96" i="13"/>
  <c r="AH96" i="13"/>
  <c r="AD96" i="13"/>
  <c r="U96" i="13"/>
  <c r="I96" i="13"/>
  <c r="V96" i="13"/>
  <c r="W96" i="13"/>
  <c r="AL96" i="13"/>
  <c r="G96" i="13"/>
  <c r="AI96" i="13"/>
  <c r="H96" i="13"/>
  <c r="AJ96" i="13"/>
  <c r="E96" i="13"/>
  <c r="Q96" i="13"/>
  <c r="O96" i="13"/>
  <c r="J96" i="13"/>
  <c r="AF96" i="13"/>
  <c r="AB96" i="13"/>
  <c r="P96" i="13"/>
  <c r="F96" i="13"/>
  <c r="AK96" i="13"/>
  <c r="L96" i="13"/>
  <c r="K96" i="13"/>
  <c r="X96" i="13"/>
  <c r="M96" i="13"/>
  <c r="Z96" i="13"/>
  <c r="AE96" i="13"/>
  <c r="AA96" i="13"/>
  <c r="N96" i="13"/>
  <c r="R96" i="13"/>
  <c r="AL96" i="12"/>
  <c r="AH96" i="12"/>
  <c r="T96" i="12"/>
  <c r="K96" i="12"/>
  <c r="AB96" i="12"/>
  <c r="AF96" i="12"/>
  <c r="H96" i="12"/>
  <c r="I96" i="12"/>
  <c r="P96" i="12"/>
  <c r="Q96" i="12"/>
  <c r="Z96" i="12"/>
  <c r="V96" i="12"/>
  <c r="AI96" i="12"/>
  <c r="L96" i="12"/>
  <c r="M96" i="12"/>
  <c r="W96" i="12"/>
  <c r="AG96" i="12"/>
  <c r="AE96" i="12"/>
  <c r="AA96" i="12"/>
  <c r="S96" i="12"/>
  <c r="AD96" i="12"/>
  <c r="AK96" i="12"/>
  <c r="O96" i="12"/>
  <c r="J96" i="12"/>
  <c r="F96" i="12"/>
  <c r="Y96" i="12"/>
  <c r="X96" i="12"/>
  <c r="E96" i="12"/>
  <c r="AJ96" i="12"/>
  <c r="N96" i="12"/>
  <c r="U96" i="12"/>
  <c r="G96" i="12"/>
  <c r="R96" i="12"/>
  <c r="AC96" i="12"/>
  <c r="AG101" i="14"/>
  <c r="N101" i="14"/>
  <c r="Y101" i="14"/>
  <c r="AI101" i="14"/>
  <c r="F101" i="14"/>
  <c r="AC101" i="14"/>
  <c r="K101" i="14"/>
  <c r="AA101" i="14"/>
  <c r="E101" i="14"/>
  <c r="AE101" i="14"/>
  <c r="AF101" i="14"/>
  <c r="L101" i="14"/>
  <c r="AJ101" i="14"/>
  <c r="U101" i="14"/>
  <c r="AK101" i="14"/>
  <c r="W101" i="14"/>
  <c r="O101" i="14"/>
  <c r="AD101" i="14"/>
  <c r="G101" i="14"/>
  <c r="R101" i="14"/>
  <c r="V101" i="14"/>
  <c r="P101" i="14"/>
  <c r="H101" i="14"/>
  <c r="AB101" i="14"/>
  <c r="X101" i="14"/>
  <c r="J101" i="14"/>
  <c r="AH101" i="14"/>
  <c r="Q101" i="14"/>
  <c r="I101" i="14"/>
  <c r="T101" i="14"/>
  <c r="AL101" i="14"/>
  <c r="M101" i="14"/>
  <c r="S101" i="14"/>
  <c r="Z101" i="14"/>
  <c r="Z74" i="15"/>
  <c r="N74" i="15"/>
  <c r="AA74" i="15"/>
  <c r="E74" i="15"/>
  <c r="AC74" i="15"/>
  <c r="AF74" i="15"/>
  <c r="Q74" i="15"/>
  <c r="L74" i="15"/>
  <c r="G74" i="15"/>
  <c r="AI74" i="15"/>
  <c r="AG74" i="15"/>
  <c r="AD74" i="15"/>
  <c r="AE74" i="15"/>
  <c r="K74" i="15"/>
  <c r="R74" i="15"/>
  <c r="W74" i="15"/>
  <c r="AK74" i="15"/>
  <c r="J74" i="15"/>
  <c r="AL74" i="15"/>
  <c r="AB74" i="15"/>
  <c r="AJ74" i="15"/>
  <c r="T74" i="15"/>
  <c r="S74" i="15"/>
  <c r="Y74" i="15"/>
  <c r="H74" i="15"/>
  <c r="X74" i="15"/>
  <c r="I74" i="15"/>
  <c r="V74" i="15"/>
  <c r="U74" i="15"/>
  <c r="AH74" i="15"/>
  <c r="M74" i="15"/>
  <c r="P74" i="15"/>
  <c r="F74" i="15"/>
  <c r="O74" i="15"/>
  <c r="T99" i="17"/>
  <c r="L99" i="17"/>
  <c r="AH99" i="17"/>
  <c r="J99" i="17"/>
  <c r="AE99" i="17"/>
  <c r="AD99" i="17"/>
  <c r="E99" i="17"/>
  <c r="N99" i="17"/>
  <c r="Y99" i="17"/>
  <c r="W99" i="17"/>
  <c r="AL99" i="17"/>
  <c r="AB99" i="17"/>
  <c r="AF99" i="17"/>
  <c r="M99" i="17"/>
  <c r="P99" i="17"/>
  <c r="AC99" i="17"/>
  <c r="U99" i="17"/>
  <c r="O99" i="17"/>
  <c r="H99" i="17"/>
  <c r="I99" i="17"/>
  <c r="AA99" i="17"/>
  <c r="S99" i="17"/>
  <c r="AG99" i="17"/>
  <c r="Q99" i="17"/>
  <c r="AJ99" i="17"/>
  <c r="X99" i="17"/>
  <c r="V99" i="17"/>
  <c r="AI99" i="17"/>
  <c r="Z99" i="17"/>
  <c r="K99" i="17"/>
  <c r="R99" i="17"/>
  <c r="F99" i="17"/>
  <c r="G99" i="17"/>
  <c r="AK99" i="17"/>
  <c r="U97" i="16"/>
  <c r="J97" i="16"/>
  <c r="H97" i="16"/>
  <c r="N97" i="16"/>
  <c r="L97" i="16"/>
  <c r="AB97" i="16"/>
  <c r="F97" i="16"/>
  <c r="AJ97" i="16"/>
  <c r="AE97" i="16"/>
  <c r="AL97" i="16"/>
  <c r="K97" i="16"/>
  <c r="R97" i="16"/>
  <c r="AC97" i="16"/>
  <c r="AI97" i="16"/>
  <c r="Q97" i="16"/>
  <c r="E97" i="16"/>
  <c r="AH97" i="16"/>
  <c r="Y97" i="16"/>
  <c r="AK97" i="16"/>
  <c r="T97" i="16"/>
  <c r="P97" i="16"/>
  <c r="Z97" i="16"/>
  <c r="G97" i="16"/>
  <c r="M97" i="16"/>
  <c r="S97" i="16"/>
  <c r="W97" i="16"/>
  <c r="X97" i="16"/>
  <c r="AD97" i="16"/>
  <c r="AG97" i="16"/>
  <c r="O97" i="16"/>
  <c r="AF97" i="16"/>
  <c r="V97" i="16"/>
  <c r="AA97" i="16"/>
  <c r="I97" i="16"/>
  <c r="O74" i="12"/>
  <c r="AJ74" i="12"/>
  <c r="N74" i="12"/>
  <c r="Q74" i="12"/>
  <c r="AG74" i="12"/>
  <c r="AH74" i="12"/>
  <c r="AB74" i="12"/>
  <c r="E74" i="12"/>
  <c r="S74" i="12"/>
  <c r="R74" i="12"/>
  <c r="W74" i="12"/>
  <c r="M74" i="12"/>
  <c r="G74" i="12"/>
  <c r="AI74" i="12"/>
  <c r="P74" i="12"/>
  <c r="AC74" i="12"/>
  <c r="H74" i="12"/>
  <c r="T74" i="12"/>
  <c r="L74" i="12"/>
  <c r="K74" i="12"/>
  <c r="AL74" i="12"/>
  <c r="V74" i="12"/>
  <c r="F74" i="12"/>
  <c r="AA74" i="12"/>
  <c r="AD74" i="12"/>
  <c r="Y74" i="12"/>
  <c r="AE74" i="12"/>
  <c r="AK74" i="12"/>
  <c r="U74" i="12"/>
  <c r="X74" i="12"/>
  <c r="I74" i="12"/>
  <c r="J74" i="12"/>
  <c r="AF74" i="12"/>
  <c r="Z74" i="12"/>
  <c r="AE71" i="16"/>
  <c r="Z71" i="16"/>
  <c r="F71" i="16"/>
  <c r="Q71" i="16"/>
  <c r="O71" i="16"/>
  <c r="AJ71" i="16"/>
  <c r="M71" i="16"/>
  <c r="AL71" i="16"/>
  <c r="J71" i="16"/>
  <c r="H71" i="16"/>
  <c r="L71" i="16"/>
  <c r="AC71" i="16"/>
  <c r="X71" i="16"/>
  <c r="AB71" i="16"/>
  <c r="I71" i="16"/>
  <c r="AI71" i="16"/>
  <c r="AH71" i="16"/>
  <c r="W71" i="16"/>
  <c r="G71" i="16"/>
  <c r="S71" i="16"/>
  <c r="AA71" i="16"/>
  <c r="AK71" i="16"/>
  <c r="AD71" i="16"/>
  <c r="U71" i="16"/>
  <c r="Y71" i="16"/>
  <c r="R71" i="16"/>
  <c r="AG71" i="16"/>
  <c r="E71" i="16"/>
  <c r="N71" i="16"/>
  <c r="V71" i="16"/>
  <c r="K71" i="16"/>
  <c r="P71" i="16"/>
  <c r="T71" i="16"/>
  <c r="AF71" i="16"/>
  <c r="AI71" i="14"/>
  <c r="AC71" i="14"/>
  <c r="AJ71" i="14"/>
  <c r="AE71" i="14"/>
  <c r="H71" i="14"/>
  <c r="X71" i="14"/>
  <c r="AH71" i="14"/>
  <c r="AB71" i="14"/>
  <c r="U71" i="14"/>
  <c r="R71" i="14"/>
  <c r="L71" i="14"/>
  <c r="M71" i="14"/>
  <c r="V71" i="14"/>
  <c r="Y71" i="14"/>
  <c r="AG71" i="14"/>
  <c r="E71" i="14"/>
  <c r="AF71" i="14"/>
  <c r="W71" i="14"/>
  <c r="AL71" i="14"/>
  <c r="S71" i="14"/>
  <c r="I71" i="14"/>
  <c r="Q71" i="14"/>
  <c r="P71" i="14"/>
  <c r="N71" i="14"/>
  <c r="AD71" i="14"/>
  <c r="J71" i="14"/>
  <c r="G71" i="14"/>
  <c r="K71" i="14"/>
  <c r="AA71" i="14"/>
  <c r="Z71" i="14"/>
  <c r="T71" i="14"/>
  <c r="AK71" i="14"/>
  <c r="F71" i="14"/>
  <c r="O71" i="14"/>
  <c r="P101" i="12"/>
  <c r="AI101" i="12"/>
  <c r="H101" i="12"/>
  <c r="Q101" i="12"/>
  <c r="AE101" i="12"/>
  <c r="I101" i="12"/>
  <c r="AG101" i="12"/>
  <c r="J101" i="12"/>
  <c r="N101" i="12"/>
  <c r="W101" i="12"/>
  <c r="AA101" i="12"/>
  <c r="F101" i="12"/>
  <c r="X101" i="12"/>
  <c r="L101" i="12"/>
  <c r="Y101" i="12"/>
  <c r="U101" i="12"/>
  <c r="AJ101" i="12"/>
  <c r="E101" i="12"/>
  <c r="G101" i="12"/>
  <c r="R101" i="12"/>
  <c r="AL101" i="12"/>
  <c r="AH101" i="12"/>
  <c r="AK101" i="12"/>
  <c r="S101" i="12"/>
  <c r="K101" i="12"/>
  <c r="AC101" i="12"/>
  <c r="AB101" i="12"/>
  <c r="V101" i="12"/>
  <c r="M101" i="12"/>
  <c r="AD101" i="12"/>
  <c r="O101" i="12"/>
  <c r="Z101" i="12"/>
  <c r="T101" i="12"/>
  <c r="AF101" i="12"/>
  <c r="F72" i="14"/>
  <c r="AB72" i="14"/>
  <c r="L72" i="14"/>
  <c r="O72" i="14"/>
  <c r="K72" i="14"/>
  <c r="S72" i="14"/>
  <c r="W72" i="14"/>
  <c r="AL72" i="14"/>
  <c r="AC72" i="14"/>
  <c r="U72" i="14"/>
  <c r="Y72" i="14"/>
  <c r="AJ72" i="14"/>
  <c r="E72" i="14"/>
  <c r="AK72" i="14"/>
  <c r="V72" i="14"/>
  <c r="AI72" i="14"/>
  <c r="R72" i="14"/>
  <c r="N72" i="14"/>
  <c r="Z72" i="14"/>
  <c r="Q72" i="14"/>
  <c r="AD72" i="14"/>
  <c r="AH72" i="14"/>
  <c r="I72" i="14"/>
  <c r="H72" i="14"/>
  <c r="T72" i="14"/>
  <c r="J72" i="14"/>
  <c r="P72" i="14"/>
  <c r="AF72" i="14"/>
  <c r="G72" i="14"/>
  <c r="AA72" i="14"/>
  <c r="AG72" i="14"/>
  <c r="M72" i="14"/>
  <c r="AE72" i="14"/>
  <c r="X72" i="14"/>
  <c r="I101" i="13"/>
  <c r="AC101" i="13"/>
  <c r="AK101" i="13"/>
  <c r="AF101" i="13"/>
  <c r="AA101" i="13"/>
  <c r="O101" i="13"/>
  <c r="AD101" i="13"/>
  <c r="Y101" i="13"/>
  <c r="Q101" i="13"/>
  <c r="E101" i="13"/>
  <c r="G101" i="13"/>
  <c r="M101" i="13"/>
  <c r="L101" i="13"/>
  <c r="K101" i="13"/>
  <c r="AB101" i="13"/>
  <c r="AL101" i="13"/>
  <c r="AH101" i="13"/>
  <c r="AE101" i="13"/>
  <c r="W101" i="13"/>
  <c r="V101" i="13"/>
  <c r="J101" i="13"/>
  <c r="P101" i="13"/>
  <c r="N101" i="13"/>
  <c r="X101" i="13"/>
  <c r="H101" i="13"/>
  <c r="F101" i="13"/>
  <c r="T101" i="13"/>
  <c r="AI101" i="13"/>
  <c r="AJ101" i="13"/>
  <c r="U101" i="13"/>
  <c r="S101" i="13"/>
  <c r="Z101" i="13"/>
  <c r="R101" i="13"/>
  <c r="AG101" i="13"/>
  <c r="S72" i="17"/>
  <c r="AL72" i="17"/>
  <c r="Z72" i="17"/>
  <c r="AB72" i="17"/>
  <c r="AC72" i="17"/>
  <c r="E72" i="17"/>
  <c r="R72" i="17"/>
  <c r="N72" i="17"/>
  <c r="U72" i="17"/>
  <c r="AF72" i="17"/>
  <c r="H72" i="17"/>
  <c r="G72" i="17"/>
  <c r="AI72" i="17"/>
  <c r="O72" i="17"/>
  <c r="AA72" i="17"/>
  <c r="K72" i="17"/>
  <c r="P72" i="17"/>
  <c r="W72" i="17"/>
  <c r="F72" i="17"/>
  <c r="AD72" i="17"/>
  <c r="AG72" i="17"/>
  <c r="AH72" i="17"/>
  <c r="AE72" i="17"/>
  <c r="AJ72" i="17"/>
  <c r="L72" i="17"/>
  <c r="X72" i="17"/>
  <c r="J72" i="17"/>
  <c r="Q72" i="17"/>
  <c r="V72" i="17"/>
  <c r="M72" i="17"/>
  <c r="Y72" i="17"/>
  <c r="T72" i="17"/>
  <c r="AK72" i="17"/>
  <c r="I72" i="17"/>
  <c r="R96" i="17"/>
  <c r="AG96" i="17"/>
  <c r="AE96" i="17"/>
  <c r="X96" i="17"/>
  <c r="K96" i="17"/>
  <c r="AC96" i="17"/>
  <c r="H96" i="17"/>
  <c r="V96" i="17"/>
  <c r="AI96" i="17"/>
  <c r="AJ96" i="17"/>
  <c r="P96" i="17"/>
  <c r="F96" i="17"/>
  <c r="Y96" i="17"/>
  <c r="W96" i="17"/>
  <c r="Z96" i="17"/>
  <c r="AA96" i="17"/>
  <c r="AH96" i="17"/>
  <c r="AF96" i="17"/>
  <c r="I96" i="17"/>
  <c r="L96" i="17"/>
  <c r="Q96" i="17"/>
  <c r="N96" i="17"/>
  <c r="AD96" i="17"/>
  <c r="U96" i="17"/>
  <c r="AL96" i="17"/>
  <c r="T96" i="17"/>
  <c r="M96" i="17"/>
  <c r="J96" i="17"/>
  <c r="AK96" i="17"/>
  <c r="O96" i="17"/>
  <c r="G96" i="17"/>
  <c r="AB96" i="17"/>
  <c r="E96" i="17"/>
  <c r="S96" i="17"/>
  <c r="Y72" i="12"/>
  <c r="AC72" i="12"/>
  <c r="AG72" i="12"/>
  <c r="AE72" i="12"/>
  <c r="N72" i="12"/>
  <c r="K72" i="12"/>
  <c r="E72" i="12"/>
  <c r="U72" i="12"/>
  <c r="T72" i="12"/>
  <c r="AI72" i="12"/>
  <c r="W72" i="12"/>
  <c r="O72" i="12"/>
  <c r="F72" i="12"/>
  <c r="AL72" i="12"/>
  <c r="Z72" i="12"/>
  <c r="AJ72" i="12"/>
  <c r="AH72" i="12"/>
  <c r="AD72" i="12"/>
  <c r="G72" i="12"/>
  <c r="AK72" i="12"/>
  <c r="Q72" i="12"/>
  <c r="L72" i="12"/>
  <c r="AA72" i="12"/>
  <c r="AF72" i="12"/>
  <c r="M72" i="12"/>
  <c r="S72" i="12"/>
  <c r="V72" i="12"/>
  <c r="AB72" i="12"/>
  <c r="P72" i="12"/>
  <c r="X72" i="12"/>
  <c r="H72" i="12"/>
  <c r="I72" i="12"/>
  <c r="J72" i="12"/>
  <c r="R72" i="12"/>
  <c r="AK95" i="13"/>
  <c r="J95" i="13"/>
  <c r="AB95" i="13"/>
  <c r="R95" i="13"/>
  <c r="G95" i="13"/>
  <c r="S95" i="13"/>
  <c r="Q95" i="13"/>
  <c r="U95" i="13"/>
  <c r="L95" i="13"/>
  <c r="O95" i="13"/>
  <c r="AI95" i="13"/>
  <c r="X95" i="13"/>
  <c r="AF95" i="13"/>
  <c r="Y95" i="13"/>
  <c r="M95" i="13"/>
  <c r="H95" i="13"/>
  <c r="N95" i="13"/>
  <c r="Z95" i="13"/>
  <c r="P95" i="13"/>
  <c r="F95" i="13"/>
  <c r="V95" i="13"/>
  <c r="AJ95" i="13"/>
  <c r="AC95" i="13"/>
  <c r="AL95" i="13"/>
  <c r="AA95" i="13"/>
  <c r="AD95" i="13"/>
  <c r="AE95" i="13"/>
  <c r="AH95" i="13"/>
  <c r="K95" i="13"/>
  <c r="I95" i="13"/>
  <c r="AG95" i="13"/>
  <c r="T95" i="13"/>
  <c r="E95" i="13"/>
  <c r="W95" i="13"/>
  <c r="I69" i="18"/>
  <c r="AG69" i="18"/>
  <c r="K69" i="18"/>
  <c r="AE69" i="18"/>
  <c r="V69" i="18"/>
  <c r="O69" i="18"/>
  <c r="Y69" i="18"/>
  <c r="W69" i="18"/>
  <c r="E69" i="18"/>
  <c r="Q69" i="18"/>
  <c r="U69" i="18"/>
  <c r="AA69" i="18"/>
  <c r="X69" i="18"/>
  <c r="AC69" i="18"/>
  <c r="F69" i="18"/>
  <c r="AB69" i="18"/>
  <c r="N69" i="18"/>
  <c r="AH69" i="18"/>
  <c r="L69" i="18"/>
  <c r="J69" i="18"/>
  <c r="P69" i="18"/>
  <c r="AK69" i="18"/>
  <c r="AI69" i="18"/>
  <c r="AJ69" i="18"/>
  <c r="S69" i="18"/>
  <c r="G69" i="18"/>
  <c r="AL69" i="18"/>
  <c r="T69" i="18"/>
  <c r="AD69" i="18"/>
  <c r="H69" i="18"/>
  <c r="AF69" i="18"/>
  <c r="M69" i="18"/>
  <c r="R69" i="18"/>
  <c r="Z69" i="18"/>
  <c r="S98" i="15"/>
  <c r="Q98" i="15"/>
  <c r="T98" i="15"/>
  <c r="V98" i="15"/>
  <c r="N98" i="15"/>
  <c r="U98" i="15"/>
  <c r="AD98" i="15"/>
  <c r="X98" i="15"/>
  <c r="W98" i="15"/>
  <c r="AF98" i="15"/>
  <c r="H98" i="15"/>
  <c r="AG98" i="15"/>
  <c r="L98" i="15"/>
  <c r="AI98" i="15"/>
  <c r="AK98" i="15"/>
  <c r="J98" i="15"/>
  <c r="AA98" i="15"/>
  <c r="AE98" i="15"/>
  <c r="AL98" i="15"/>
  <c r="Y98" i="15"/>
  <c r="I98" i="15"/>
  <c r="AB98" i="15"/>
  <c r="M98" i="15"/>
  <c r="Z98" i="15"/>
  <c r="AJ98" i="15"/>
  <c r="O98" i="15"/>
  <c r="K98" i="15"/>
  <c r="AC98" i="15"/>
  <c r="R98" i="15"/>
  <c r="E98" i="15"/>
  <c r="F98" i="15"/>
  <c r="AH98" i="15"/>
  <c r="G98" i="15"/>
  <c r="P98" i="15"/>
  <c r="AL72" i="18"/>
  <c r="AC72" i="18"/>
  <c r="V72" i="18"/>
  <c r="R72" i="18"/>
  <c r="AG72" i="18"/>
  <c r="AK72" i="18"/>
  <c r="T72" i="18"/>
  <c r="AA72" i="18"/>
  <c r="AD72" i="18"/>
  <c r="M72" i="18"/>
  <c r="AB72" i="18"/>
  <c r="Q72" i="18"/>
  <c r="AF72" i="18"/>
  <c r="Z72" i="18"/>
  <c r="F72" i="18"/>
  <c r="AI72" i="18"/>
  <c r="S72" i="18"/>
  <c r="AJ72" i="18"/>
  <c r="I72" i="18"/>
  <c r="O72" i="18"/>
  <c r="G72" i="18"/>
  <c r="X72" i="18"/>
  <c r="AH72" i="18"/>
  <c r="P72" i="18"/>
  <c r="AE72" i="18"/>
  <c r="E72" i="18"/>
  <c r="Y72" i="18"/>
  <c r="K72" i="18"/>
  <c r="J72" i="18"/>
  <c r="N72" i="18"/>
  <c r="W72" i="18"/>
  <c r="L72" i="18"/>
  <c r="H72" i="18"/>
  <c r="U72" i="18"/>
  <c r="J95" i="12"/>
  <c r="O95" i="12"/>
  <c r="K95" i="12"/>
  <c r="Q95" i="12"/>
  <c r="G95" i="12"/>
  <c r="AB95" i="12"/>
  <c r="AH95" i="12"/>
  <c r="H95" i="12"/>
  <c r="P95" i="12"/>
  <c r="V95" i="12"/>
  <c r="AF95" i="12"/>
  <c r="T95" i="12"/>
  <c r="Z95" i="12"/>
  <c r="AC95" i="12"/>
  <c r="L95" i="12"/>
  <c r="Y95" i="12"/>
  <c r="F95" i="12"/>
  <c r="AL95" i="12"/>
  <c r="E95" i="12"/>
  <c r="AA95" i="12"/>
  <c r="I95" i="12"/>
  <c r="AJ95" i="12"/>
  <c r="R95" i="12"/>
  <c r="M95" i="12"/>
  <c r="X95" i="12"/>
  <c r="W95" i="12"/>
  <c r="S95" i="12"/>
  <c r="N95" i="12"/>
  <c r="AI95" i="12"/>
  <c r="AE95" i="12"/>
  <c r="AG95" i="12"/>
  <c r="U95" i="12"/>
  <c r="AD95" i="12"/>
  <c r="AK95" i="12"/>
  <c r="P73" i="17"/>
  <c r="AJ73" i="17"/>
  <c r="AE73" i="17"/>
  <c r="Z73" i="17"/>
  <c r="G73" i="17"/>
  <c r="K73" i="17"/>
  <c r="AH73" i="17"/>
  <c r="V73" i="17"/>
  <c r="X73" i="17"/>
  <c r="AG73" i="17"/>
  <c r="AL73" i="17"/>
  <c r="O73" i="17"/>
  <c r="F73" i="17"/>
  <c r="Y73" i="17"/>
  <c r="I73" i="17"/>
  <c r="H73" i="17"/>
  <c r="E73" i="17"/>
  <c r="AC73" i="17"/>
  <c r="AD73" i="17"/>
  <c r="R73" i="17"/>
  <c r="W73" i="17"/>
  <c r="T73" i="17"/>
  <c r="AB73" i="17"/>
  <c r="AI73" i="17"/>
  <c r="AK73" i="17"/>
  <c r="AF73" i="17"/>
  <c r="N73" i="17"/>
  <c r="S73" i="17"/>
  <c r="L73" i="17"/>
  <c r="J73" i="17"/>
  <c r="Q73" i="17"/>
  <c r="U73" i="17"/>
  <c r="M73" i="17"/>
  <c r="AA73" i="17"/>
  <c r="S74" i="18"/>
  <c r="H74" i="18"/>
  <c r="Z74" i="18"/>
  <c r="F74" i="18"/>
  <c r="G74" i="18"/>
  <c r="AB74" i="18"/>
  <c r="O74" i="18"/>
  <c r="W74" i="18"/>
  <c r="Q74" i="18"/>
  <c r="L74" i="18"/>
  <c r="AG74" i="18"/>
  <c r="R74" i="18"/>
  <c r="P74" i="18"/>
  <c r="I74" i="18"/>
  <c r="AK74" i="18"/>
  <c r="AF74" i="18"/>
  <c r="V74" i="18"/>
  <c r="AH74" i="18"/>
  <c r="AC74" i="18"/>
  <c r="U74" i="18"/>
  <c r="E74" i="18"/>
  <c r="Y74" i="18"/>
  <c r="N74" i="18"/>
  <c r="J74" i="18"/>
  <c r="AD74" i="18"/>
  <c r="AI74" i="18"/>
  <c r="AL74" i="18"/>
  <c r="T74" i="18"/>
  <c r="M74" i="18"/>
  <c r="AJ74" i="18"/>
  <c r="K74" i="18"/>
  <c r="AE74" i="18"/>
  <c r="X74" i="18"/>
  <c r="AA74" i="18"/>
  <c r="H68" i="13"/>
  <c r="X68" i="13"/>
  <c r="F68" i="13"/>
  <c r="AA68" i="13"/>
  <c r="T68" i="13"/>
  <c r="AD68" i="13"/>
  <c r="AJ68" i="13"/>
  <c r="L68" i="13"/>
  <c r="Q68" i="13"/>
  <c r="U68" i="13"/>
  <c r="Z68" i="13"/>
  <c r="N68" i="13"/>
  <c r="M68" i="13"/>
  <c r="W68" i="13"/>
  <c r="R68" i="13"/>
  <c r="I68" i="13"/>
  <c r="AE68" i="13"/>
  <c r="AL68" i="13"/>
  <c r="Y68" i="13"/>
  <c r="P68" i="13"/>
  <c r="S68" i="13"/>
  <c r="AK68" i="13"/>
  <c r="AH68" i="13"/>
  <c r="V68" i="13"/>
  <c r="AB68" i="13"/>
  <c r="G68" i="13"/>
  <c r="AI68" i="13"/>
  <c r="O68" i="13"/>
  <c r="E68" i="13"/>
  <c r="J68" i="13"/>
  <c r="K68" i="13"/>
  <c r="AG68" i="13"/>
  <c r="AF68" i="13"/>
  <c r="AC68" i="13"/>
  <c r="AE71" i="17"/>
  <c r="Q71" i="17"/>
  <c r="AJ71" i="17"/>
  <c r="U71" i="17"/>
  <c r="AD71" i="17"/>
  <c r="N71" i="17"/>
  <c r="H71" i="17"/>
  <c r="X71" i="17"/>
  <c r="AA71" i="17"/>
  <c r="AB71" i="17"/>
  <c r="Y71" i="17"/>
  <c r="Z71" i="17"/>
  <c r="AH71" i="17"/>
  <c r="F71" i="17"/>
  <c r="J71" i="17"/>
  <c r="AC71" i="17"/>
  <c r="G71" i="17"/>
  <c r="O71" i="17"/>
  <c r="AG71" i="17"/>
  <c r="W71" i="17"/>
  <c r="R71" i="17"/>
  <c r="AL71" i="17"/>
  <c r="E71" i="17"/>
  <c r="S71" i="17"/>
  <c r="T71" i="17"/>
  <c r="L71" i="17"/>
  <c r="P71" i="17"/>
  <c r="AF71" i="17"/>
  <c r="K71" i="17"/>
  <c r="AI71" i="17"/>
  <c r="M71" i="17"/>
  <c r="AK71" i="17"/>
  <c r="V71" i="17"/>
  <c r="I71" i="17"/>
  <c r="Q98" i="16"/>
  <c r="J98" i="16"/>
  <c r="E98" i="16"/>
  <c r="O98" i="16"/>
  <c r="G98" i="16"/>
  <c r="K98" i="16"/>
  <c r="AJ98" i="16"/>
  <c r="T98" i="16"/>
  <c r="W98" i="16"/>
  <c r="AE98" i="16"/>
  <c r="AB98" i="16"/>
  <c r="AH98" i="16"/>
  <c r="I98" i="16"/>
  <c r="S98" i="16"/>
  <c r="AL98" i="16"/>
  <c r="Z98" i="16"/>
  <c r="AC98" i="16"/>
  <c r="N98" i="16"/>
  <c r="F98" i="16"/>
  <c r="AI98" i="16"/>
  <c r="AK98" i="16"/>
  <c r="AD98" i="16"/>
  <c r="R98" i="16"/>
  <c r="X98" i="16"/>
  <c r="AA98" i="16"/>
  <c r="M98" i="16"/>
  <c r="U98" i="16"/>
  <c r="Y98" i="16"/>
  <c r="AG98" i="16"/>
  <c r="P98" i="16"/>
  <c r="AF98" i="16"/>
  <c r="H98" i="16"/>
  <c r="V98" i="16"/>
  <c r="L98" i="16"/>
  <c r="AE100" i="15"/>
  <c r="R100" i="15"/>
  <c r="M100" i="15"/>
  <c r="P100" i="15"/>
  <c r="F100" i="15"/>
  <c r="L100" i="15"/>
  <c r="AA100" i="15"/>
  <c r="AC100" i="15"/>
  <c r="O100" i="15"/>
  <c r="J100" i="15"/>
  <c r="AH100" i="15"/>
  <c r="W100" i="15"/>
  <c r="Z100" i="15"/>
  <c r="N100" i="15"/>
  <c r="AJ100" i="15"/>
  <c r="S100" i="15"/>
  <c r="I100" i="15"/>
  <c r="AL100" i="15"/>
  <c r="X100" i="15"/>
  <c r="Y100" i="15"/>
  <c r="V100" i="15"/>
  <c r="E100" i="15"/>
  <c r="Q100" i="15"/>
  <c r="AF100" i="15"/>
  <c r="AD100" i="15"/>
  <c r="AK100" i="15"/>
  <c r="AB100" i="15"/>
  <c r="AI100" i="15"/>
  <c r="AG100" i="15"/>
  <c r="G100" i="15"/>
  <c r="H100" i="15"/>
  <c r="T100" i="15"/>
  <c r="U100" i="15"/>
  <c r="K100" i="15"/>
  <c r="AC72" i="16"/>
  <c r="I72" i="16"/>
  <c r="X72" i="16"/>
  <c r="Z72" i="16"/>
  <c r="H72" i="16"/>
  <c r="AI72" i="16"/>
  <c r="Y72" i="16"/>
  <c r="E72" i="16"/>
  <c r="Q72" i="16"/>
  <c r="R72" i="16"/>
  <c r="O72" i="16"/>
  <c r="AB72" i="16"/>
  <c r="W72" i="16"/>
  <c r="AD72" i="16"/>
  <c r="G72" i="16"/>
  <c r="L72" i="16"/>
  <c r="V72" i="16"/>
  <c r="S72" i="16"/>
  <c r="AK72" i="16"/>
  <c r="AL72" i="16"/>
  <c r="K72" i="16"/>
  <c r="AG72" i="16"/>
  <c r="AJ72" i="16"/>
  <c r="P72" i="16"/>
  <c r="AE72" i="16"/>
  <c r="AH72" i="16"/>
  <c r="AA72" i="16"/>
  <c r="J72" i="16"/>
  <c r="T72" i="16"/>
  <c r="M72" i="16"/>
  <c r="U72" i="16"/>
  <c r="F72" i="16"/>
  <c r="N72" i="16"/>
  <c r="AF72" i="16"/>
  <c r="P68" i="12"/>
  <c r="Z68" i="12"/>
  <c r="N68" i="12"/>
  <c r="I68" i="12"/>
  <c r="R68" i="12"/>
  <c r="AH68" i="12"/>
  <c r="AC68" i="12"/>
  <c r="AJ68" i="12"/>
  <c r="AA68" i="12"/>
  <c r="AI68" i="12"/>
  <c r="AD68" i="12"/>
  <c r="Q68" i="12"/>
  <c r="G68" i="12"/>
  <c r="X68" i="12"/>
  <c r="AB68" i="12"/>
  <c r="L68" i="12"/>
  <c r="F68" i="12"/>
  <c r="AK68" i="12"/>
  <c r="K68" i="12"/>
  <c r="AG68" i="12"/>
  <c r="AL68" i="12"/>
  <c r="AE68" i="12"/>
  <c r="T68" i="12"/>
  <c r="O68" i="12"/>
  <c r="U68" i="12"/>
  <c r="M68" i="12"/>
  <c r="AF68" i="12"/>
  <c r="J68" i="12"/>
  <c r="W68" i="12"/>
  <c r="E68" i="12"/>
  <c r="S68" i="12"/>
  <c r="V68" i="12"/>
  <c r="Y68" i="12"/>
  <c r="H68" i="12"/>
  <c r="V69" i="17"/>
  <c r="AK69" i="17"/>
  <c r="O69" i="17"/>
  <c r="E69" i="17"/>
  <c r="R69" i="17"/>
  <c r="AE69" i="17"/>
  <c r="U69" i="17"/>
  <c r="W69" i="17"/>
  <c r="AF69" i="17"/>
  <c r="P69" i="17"/>
  <c r="J69" i="17"/>
  <c r="AB69" i="17"/>
  <c r="AG69" i="17"/>
  <c r="T69" i="17"/>
  <c r="AH69" i="17"/>
  <c r="H69" i="17"/>
  <c r="AI69" i="17"/>
  <c r="Q69" i="17"/>
  <c r="AD69" i="17"/>
  <c r="AA69" i="17"/>
  <c r="F69" i="17"/>
  <c r="G69" i="17"/>
  <c r="Z69" i="17"/>
  <c r="Y69" i="17"/>
  <c r="X69" i="17"/>
  <c r="K69" i="17"/>
  <c r="AL69" i="17"/>
  <c r="N69" i="17"/>
  <c r="S69" i="17"/>
  <c r="I69" i="17"/>
  <c r="AJ69" i="17"/>
  <c r="L69" i="17"/>
  <c r="AC69" i="17"/>
  <c r="M69" i="17"/>
  <c r="AL70" i="18"/>
  <c r="G70" i="18"/>
  <c r="AA70" i="18"/>
  <c r="R70" i="18"/>
  <c r="AF70" i="18"/>
  <c r="AJ70" i="18"/>
  <c r="Q70" i="18"/>
  <c r="E70" i="18"/>
  <c r="S70" i="18"/>
  <c r="V70" i="18"/>
  <c r="AE70" i="18"/>
  <c r="AB70" i="18"/>
  <c r="AH70" i="18"/>
  <c r="N70" i="18"/>
  <c r="L70" i="18"/>
  <c r="W70" i="18"/>
  <c r="AK70" i="18"/>
  <c r="F70" i="18"/>
  <c r="AI70" i="18"/>
  <c r="Z70" i="18"/>
  <c r="AG70" i="18"/>
  <c r="P70" i="18"/>
  <c r="Y70" i="18"/>
  <c r="T70" i="18"/>
  <c r="K70" i="18"/>
  <c r="M70" i="18"/>
  <c r="X70" i="18"/>
  <c r="AC70" i="18"/>
  <c r="J70" i="18"/>
  <c r="I70" i="18"/>
  <c r="H70" i="18"/>
  <c r="U70" i="18"/>
  <c r="O70" i="18"/>
  <c r="AD70" i="18"/>
  <c r="AC100" i="13"/>
  <c r="AE100" i="13"/>
  <c r="AH100" i="13"/>
  <c r="Z100" i="13"/>
  <c r="K100" i="13"/>
  <c r="P100" i="13"/>
  <c r="AB100" i="13"/>
  <c r="S100" i="13"/>
  <c r="M100" i="13"/>
  <c r="I100" i="13"/>
  <c r="AG100" i="13"/>
  <c r="F100" i="13"/>
  <c r="X100" i="13"/>
  <c r="N100" i="13"/>
  <c r="T100" i="13"/>
  <c r="U100" i="13"/>
  <c r="V100" i="13"/>
  <c r="AF100" i="13"/>
  <c r="E100" i="13"/>
  <c r="AD100" i="13"/>
  <c r="Y100" i="13"/>
  <c r="AJ100" i="13"/>
  <c r="AA100" i="13"/>
  <c r="G100" i="13"/>
  <c r="O100" i="13"/>
  <c r="R100" i="13"/>
  <c r="AL100" i="13"/>
  <c r="AK100" i="13"/>
  <c r="W100" i="13"/>
  <c r="AI100" i="13"/>
  <c r="L100" i="13"/>
  <c r="J100" i="13"/>
  <c r="H100" i="13"/>
  <c r="Q100" i="13"/>
  <c r="AI26" i="16"/>
  <c r="Y26" i="16"/>
  <c r="J26" i="16"/>
  <c r="O26" i="16"/>
  <c r="P26" i="16"/>
  <c r="V26" i="16"/>
  <c r="AC26" i="16"/>
  <c r="H26" i="16"/>
  <c r="AJ26" i="16"/>
  <c r="AH26" i="16"/>
  <c r="Z26" i="15"/>
  <c r="R26" i="15"/>
  <c r="X26" i="16"/>
  <c r="N26" i="15"/>
  <c r="U26" i="16"/>
  <c r="N26" i="16"/>
  <c r="P26" i="15"/>
  <c r="AG26" i="15"/>
  <c r="Q26" i="15"/>
  <c r="Z26" i="16"/>
  <c r="Y26" i="15"/>
  <c r="AL26" i="15"/>
  <c r="M26" i="15"/>
  <c r="AF26" i="16"/>
  <c r="R26" i="16"/>
  <c r="O26" i="15"/>
  <c r="L26" i="16"/>
  <c r="J26" i="15"/>
  <c r="AL26" i="16"/>
  <c r="X26" i="15"/>
  <c r="M26" i="16"/>
  <c r="AD26" i="15"/>
  <c r="AC26" i="15"/>
  <c r="AA26" i="15"/>
  <c r="K26" i="15"/>
  <c r="AB26" i="16"/>
  <c r="W26" i="15"/>
  <c r="I26" i="15"/>
  <c r="U26" i="15"/>
  <c r="T26" i="16"/>
  <c r="H26" i="15"/>
  <c r="AG26" i="16"/>
  <c r="AE26" i="16"/>
  <c r="W26" i="16"/>
  <c r="S26" i="16"/>
  <c r="K26" i="16"/>
  <c r="AI26" i="15"/>
  <c r="AF26" i="15"/>
  <c r="Q26" i="16"/>
  <c r="AE26" i="15"/>
  <c r="V26" i="15"/>
  <c r="AJ26" i="15"/>
  <c r="AD26" i="16"/>
  <c r="AH26" i="15"/>
  <c r="AA26" i="16"/>
  <c r="AK26" i="16"/>
  <c r="L26" i="15"/>
  <c r="T26" i="15"/>
  <c r="I26" i="16"/>
  <c r="AB26" i="15"/>
  <c r="S26" i="15"/>
  <c r="AK26" i="15"/>
  <c r="AK26" i="12"/>
  <c r="AK14" i="12"/>
  <c r="M26" i="12"/>
  <c r="AA26" i="12"/>
  <c r="K26" i="12"/>
  <c r="K14" i="12"/>
  <c r="AI26" i="12"/>
  <c r="Q26" i="12"/>
  <c r="AB26" i="12"/>
  <c r="AB14" i="12"/>
  <c r="AF26" i="12"/>
  <c r="AF14" i="12"/>
  <c r="R26" i="12"/>
  <c r="R14" i="12"/>
  <c r="AL26" i="12"/>
  <c r="Z26" i="12"/>
  <c r="Z14" i="12"/>
  <c r="AH26" i="12"/>
  <c r="AH14" i="12"/>
  <c r="X26" i="17"/>
  <c r="X14" i="17"/>
  <c r="J26" i="12"/>
  <c r="J14" i="12"/>
  <c r="M26" i="17"/>
  <c r="Y26" i="12"/>
  <c r="S26" i="12"/>
  <c r="AA26" i="17"/>
  <c r="L26" i="12"/>
  <c r="L14" i="12"/>
  <c r="V26" i="12"/>
  <c r="AE26" i="12"/>
  <c r="AE14" i="12"/>
  <c r="N26" i="12"/>
  <c r="W26" i="12"/>
  <c r="U26" i="12"/>
  <c r="U14" i="12"/>
  <c r="T26" i="12"/>
  <c r="O26" i="12"/>
  <c r="O26" i="17"/>
  <c r="AJ26" i="17"/>
  <c r="AD26" i="12"/>
  <c r="AG26" i="12"/>
  <c r="X26" i="12"/>
  <c r="I26" i="17"/>
  <c r="I26" i="12"/>
  <c r="I14" i="12"/>
  <c r="H26" i="12"/>
  <c r="H14" i="12"/>
  <c r="AC26" i="12"/>
  <c r="H26" i="17"/>
  <c r="S26" i="17"/>
  <c r="AB26" i="17"/>
  <c r="Z26" i="17"/>
  <c r="Q26" i="17"/>
  <c r="AL26" i="17"/>
  <c r="N26" i="17"/>
  <c r="K26" i="17"/>
  <c r="AG26" i="17"/>
  <c r="T26" i="17"/>
  <c r="AE26" i="17"/>
  <c r="R26" i="17"/>
  <c r="J26" i="17"/>
  <c r="AC26" i="17"/>
  <c r="L26" i="17"/>
  <c r="AH26" i="17"/>
  <c r="AI26" i="17"/>
  <c r="U26" i="17"/>
  <c r="AD26" i="17"/>
  <c r="AK26" i="17"/>
  <c r="P26" i="17"/>
  <c r="Y26" i="17"/>
  <c r="V26" i="17"/>
  <c r="W26" i="17"/>
  <c r="AF26" i="17"/>
  <c r="L22" i="18"/>
  <c r="AF22" i="15"/>
  <c r="O22" i="15"/>
  <c r="AC22" i="15"/>
  <c r="AF22" i="12"/>
  <c r="R27" i="16"/>
  <c r="W22" i="12"/>
  <c r="AI22" i="12"/>
  <c r="O22" i="12"/>
  <c r="Y22" i="15"/>
  <c r="AI27" i="16"/>
  <c r="I22" i="15"/>
  <c r="R27" i="12"/>
  <c r="AK27" i="17"/>
  <c r="X22" i="18"/>
  <c r="H22" i="15"/>
  <c r="P22" i="15"/>
  <c r="R22" i="15"/>
  <c r="U22" i="16"/>
  <c r="AE27" i="16"/>
  <c r="N27" i="16"/>
  <c r="Z22" i="12"/>
  <c r="AF22" i="14"/>
  <c r="U22" i="14"/>
  <c r="J22" i="15"/>
  <c r="O22" i="14"/>
  <c r="AA22" i="14"/>
  <c r="E27" i="18"/>
  <c r="W22" i="14"/>
  <c r="AE27" i="12"/>
  <c r="E22" i="18"/>
  <c r="Z27" i="17"/>
  <c r="N22" i="14"/>
  <c r="AC27" i="16"/>
  <c r="AJ27" i="15"/>
  <c r="Y22" i="14"/>
  <c r="O22" i="18"/>
  <c r="H22" i="14"/>
  <c r="AD22" i="14"/>
  <c r="I22" i="16"/>
  <c r="S22" i="16"/>
  <c r="AH22" i="15"/>
  <c r="AA22" i="15"/>
  <c r="AJ22" i="12"/>
  <c r="L22" i="15"/>
  <c r="AH22" i="16"/>
  <c r="P22" i="16"/>
  <c r="Y22" i="12"/>
  <c r="Y22" i="18"/>
  <c r="J27" i="12"/>
  <c r="W22" i="18"/>
  <c r="Z27" i="15"/>
  <c r="U27" i="15"/>
  <c r="AI22" i="14"/>
  <c r="AG22" i="14"/>
  <c r="AL27" i="16"/>
  <c r="R22" i="16"/>
  <c r="V22" i="14"/>
  <c r="F22" i="14"/>
  <c r="W27" i="16"/>
  <c r="S27" i="16"/>
  <c r="AA22" i="16"/>
  <c r="Z22" i="14"/>
  <c r="AL22" i="18"/>
  <c r="AF27" i="12"/>
  <c r="AE22" i="12"/>
  <c r="X22" i="14"/>
  <c r="S22" i="17"/>
  <c r="AL22" i="15"/>
  <c r="S27" i="12"/>
  <c r="AD27" i="16"/>
  <c r="Q27" i="16"/>
  <c r="AJ22" i="15"/>
  <c r="AI22" i="16"/>
  <c r="AC27" i="12"/>
  <c r="AK22" i="16"/>
  <c r="AF27" i="16"/>
  <c r="L22" i="14"/>
  <c r="AE22" i="15"/>
  <c r="W22" i="15"/>
  <c r="V27" i="12"/>
  <c r="AJ22" i="14"/>
  <c r="AB27" i="16"/>
  <c r="AH27" i="12"/>
  <c r="W27" i="12"/>
  <c r="P22" i="14"/>
  <c r="AE22" i="14"/>
  <c r="V27" i="16"/>
  <c r="M27" i="16"/>
  <c r="W22" i="16"/>
  <c r="R22" i="14"/>
  <c r="K22" i="14"/>
  <c r="F27" i="16"/>
  <c r="AG27" i="12"/>
  <c r="U27" i="17"/>
  <c r="E22" i="15"/>
  <c r="AG22" i="16"/>
  <c r="AH22" i="14"/>
  <c r="I27" i="16"/>
  <c r="AJ27" i="16"/>
  <c r="AH27" i="16"/>
  <c r="S22" i="12"/>
  <c r="Z27" i="16"/>
  <c r="M22" i="14"/>
  <c r="X27" i="16"/>
  <c r="AD27" i="17"/>
  <c r="G22" i="14"/>
  <c r="X22" i="15"/>
  <c r="U27" i="16"/>
  <c r="AK27" i="12"/>
  <c r="J22" i="14"/>
  <c r="E27" i="14"/>
  <c r="S22" i="14"/>
  <c r="K27" i="16"/>
  <c r="T27" i="16"/>
  <c r="AA27" i="16"/>
  <c r="AG27" i="16"/>
  <c r="J27" i="16"/>
  <c r="Q22" i="14"/>
  <c r="AC22" i="14"/>
  <c r="AK27" i="16"/>
  <c r="G22" i="18"/>
  <c r="AG27" i="15"/>
  <c r="AB22" i="14"/>
  <c r="K27" i="17"/>
  <c r="AJ22" i="16"/>
  <c r="N27" i="12"/>
  <c r="AK22" i="14"/>
  <c r="AL22" i="14"/>
  <c r="Y22" i="16"/>
  <c r="AL27" i="12"/>
  <c r="G27" i="12"/>
  <c r="F27" i="14"/>
  <c r="AK22" i="12"/>
  <c r="L27" i="16"/>
  <c r="T22" i="14"/>
  <c r="P27" i="16"/>
  <c r="O27" i="16"/>
  <c r="I22" i="14"/>
  <c r="Y27" i="16"/>
  <c r="M22" i="12"/>
  <c r="AD22" i="16"/>
  <c r="M22" i="18"/>
  <c r="Q27" i="17"/>
  <c r="S22" i="15"/>
  <c r="T27" i="12"/>
  <c r="O27" i="12"/>
  <c r="AB22" i="18"/>
  <c r="AA27" i="12"/>
  <c r="U22" i="12"/>
  <c r="L27" i="12"/>
  <c r="V22" i="16"/>
  <c r="L27" i="17"/>
  <c r="N22" i="16"/>
  <c r="AE27" i="15"/>
  <c r="E27" i="15"/>
  <c r="N22" i="15"/>
  <c r="T22" i="16"/>
  <c r="I27" i="12"/>
  <c r="AG22" i="12"/>
  <c r="E27" i="16"/>
  <c r="X22" i="12"/>
  <c r="P22" i="12"/>
  <c r="K27" i="12"/>
  <c r="K22" i="18"/>
  <c r="O27" i="15"/>
  <c r="J22" i="16"/>
  <c r="U27" i="12"/>
  <c r="H27" i="12"/>
  <c r="U22" i="15"/>
  <c r="AG22" i="15"/>
  <c r="M27" i="12"/>
  <c r="AF22" i="16"/>
  <c r="P27" i="15"/>
  <c r="R27" i="17"/>
  <c r="Q22" i="16"/>
  <c r="AE22" i="17"/>
  <c r="X27" i="15"/>
  <c r="AB22" i="16"/>
  <c r="AE22" i="16"/>
  <c r="O22" i="16"/>
  <c r="P27" i="17"/>
  <c r="F27" i="15"/>
  <c r="S27" i="17"/>
  <c r="J27" i="17"/>
  <c r="T22" i="15"/>
  <c r="Z22" i="16"/>
  <c r="E22" i="14"/>
  <c r="AL27" i="15"/>
  <c r="N27" i="17"/>
  <c r="I27" i="15"/>
  <c r="V22" i="15"/>
  <c r="AB27" i="12"/>
  <c r="K22" i="16"/>
  <c r="M22" i="15"/>
  <c r="J22" i="12"/>
  <c r="AB22" i="12"/>
  <c r="N22" i="12"/>
  <c r="AK22" i="15"/>
  <c r="F27" i="17"/>
  <c r="E22" i="16"/>
  <c r="AC22" i="17"/>
  <c r="X22" i="16"/>
  <c r="AD22" i="12"/>
  <c r="X27" i="12"/>
  <c r="T22" i="12"/>
  <c r="Q22" i="18"/>
  <c r="AA22" i="12"/>
  <c r="G27" i="16"/>
  <c r="X27" i="17"/>
  <c r="AH22" i="18"/>
  <c r="S27" i="15"/>
  <c r="U22" i="17"/>
  <c r="L27" i="15"/>
  <c r="AC22" i="16"/>
  <c r="M22" i="17"/>
  <c r="AK22" i="17"/>
  <c r="F27" i="13"/>
  <c r="K27" i="15"/>
  <c r="AI27" i="12"/>
  <c r="H27" i="16"/>
  <c r="Q27" i="12"/>
  <c r="AL22" i="16"/>
  <c r="I22" i="18"/>
  <c r="AC22" i="18"/>
  <c r="AA22" i="17"/>
  <c r="V22" i="17"/>
  <c r="I22" i="12"/>
  <c r="L22" i="16"/>
  <c r="F22" i="12"/>
  <c r="Y27" i="12"/>
  <c r="H22" i="12"/>
  <c r="V22" i="12"/>
  <c r="AH22" i="17"/>
  <c r="M22" i="16"/>
  <c r="Z27" i="12"/>
  <c r="AF27" i="17"/>
  <c r="O27" i="17"/>
  <c r="W22" i="17"/>
  <c r="K22" i="12"/>
  <c r="V27" i="17"/>
  <c r="AI27" i="17"/>
  <c r="AL22" i="12"/>
  <c r="AD27" i="12"/>
  <c r="AE27" i="17"/>
  <c r="I27" i="17"/>
  <c r="AJ22" i="17"/>
  <c r="L22" i="12"/>
  <c r="AC22" i="12"/>
  <c r="AC27" i="15"/>
  <c r="E27" i="12"/>
  <c r="AL27" i="17"/>
  <c r="AI22" i="15"/>
  <c r="AD22" i="15"/>
  <c r="AH22" i="12"/>
  <c r="G22" i="12"/>
  <c r="R22" i="12"/>
  <c r="Y27" i="17"/>
  <c r="F22" i="16"/>
  <c r="G22" i="16"/>
  <c r="Q22" i="12"/>
  <c r="Q22" i="15"/>
  <c r="T27" i="17"/>
  <c r="AB22" i="15"/>
  <c r="AD22" i="17"/>
  <c r="AJ27" i="17"/>
  <c r="H22" i="16"/>
  <c r="E22" i="12"/>
  <c r="AD22" i="18"/>
  <c r="AA27" i="17"/>
  <c r="AF27" i="15"/>
  <c r="Z22" i="15"/>
  <c r="Y22" i="17"/>
  <c r="AK22" i="18"/>
  <c r="AD22" i="13"/>
  <c r="Q22" i="17"/>
  <c r="F22" i="13"/>
  <c r="AE22" i="18"/>
  <c r="R22" i="18"/>
  <c r="AB27" i="17"/>
  <c r="R22" i="17"/>
  <c r="J22" i="13"/>
  <c r="R27" i="15"/>
  <c r="AF22" i="17"/>
  <c r="L22" i="17"/>
  <c r="K22" i="17"/>
  <c r="Q27" i="15"/>
  <c r="AB22" i="17"/>
  <c r="F22" i="15"/>
  <c r="H22" i="18"/>
  <c r="K22" i="13"/>
  <c r="G27" i="15"/>
  <c r="G27" i="13"/>
  <c r="M22" i="13"/>
  <c r="AL22" i="13"/>
  <c r="O22" i="17"/>
  <c r="V27" i="15"/>
  <c r="E27" i="13"/>
  <c r="AG22" i="17"/>
  <c r="AJ22" i="18"/>
  <c r="AA27" i="15"/>
  <c r="N22" i="18"/>
  <c r="W27" i="15"/>
  <c r="AD27" i="15"/>
  <c r="F27" i="12"/>
  <c r="AF22" i="13"/>
  <c r="S22" i="18"/>
  <c r="AK27" i="15"/>
  <c r="AH27" i="17"/>
  <c r="T22" i="13"/>
  <c r="J27" i="15"/>
  <c r="G22" i="15"/>
  <c r="L22" i="13"/>
  <c r="AI27" i="15"/>
  <c r="N22" i="13"/>
  <c r="AB27" i="15"/>
  <c r="F27" i="18"/>
  <c r="AF22" i="18"/>
  <c r="R22" i="13"/>
  <c r="AH27" i="15"/>
  <c r="AL22" i="17"/>
  <c r="T22" i="17"/>
  <c r="AB22" i="13"/>
  <c r="X22" i="13"/>
  <c r="X22" i="17"/>
  <c r="AI22" i="13"/>
  <c r="AJ22" i="13"/>
  <c r="H22" i="17"/>
  <c r="W22" i="13"/>
  <c r="N27" i="15"/>
  <c r="J22" i="18"/>
  <c r="H27" i="15"/>
  <c r="Z22" i="18"/>
  <c r="K22" i="15"/>
  <c r="Z22" i="13"/>
  <c r="AK22" i="13"/>
  <c r="P22" i="17"/>
  <c r="N22" i="17"/>
  <c r="AG27" i="17"/>
  <c r="H27" i="17"/>
  <c r="Q22" i="13"/>
  <c r="S22" i="13"/>
  <c r="P22" i="13"/>
  <c r="M27" i="17"/>
  <c r="V22" i="13"/>
  <c r="Y27" i="15"/>
  <c r="E27" i="17"/>
  <c r="V22" i="18"/>
  <c r="P22" i="18"/>
  <c r="U22" i="18"/>
  <c r="T27" i="15"/>
  <c r="I22" i="17"/>
  <c r="AA22" i="13"/>
  <c r="T22" i="18"/>
  <c r="W27" i="17"/>
  <c r="AI22" i="18"/>
  <c r="AG22" i="18"/>
  <c r="AH22" i="13"/>
  <c r="G22" i="13"/>
  <c r="F22" i="17"/>
  <c r="AA22" i="18"/>
  <c r="J22" i="17"/>
  <c r="M27" i="15"/>
  <c r="AI22" i="17"/>
  <c r="AC22" i="13"/>
  <c r="U22" i="13"/>
  <c r="G22" i="17"/>
  <c r="O22" i="13"/>
  <c r="Z22" i="17"/>
  <c r="AE22" i="13"/>
  <c r="AG22" i="13"/>
  <c r="I22" i="13"/>
  <c r="G27" i="17"/>
  <c r="E22" i="17"/>
  <c r="Y22" i="13"/>
  <c r="H22" i="13"/>
  <c r="G27" i="14"/>
  <c r="AC27" i="17"/>
  <c r="E22" i="13"/>
  <c r="F22" i="18"/>
  <c r="G27" i="18"/>
  <c r="AA27" i="13"/>
  <c r="N26" i="13"/>
  <c r="BU54" i="10"/>
  <c r="BZ54" i="10"/>
  <c r="CJ54" i="10"/>
  <c r="BV54" i="10"/>
  <c r="CD54" i="10"/>
  <c r="N27" i="13"/>
  <c r="U27" i="14"/>
  <c r="BI54" i="10"/>
  <c r="BD54" i="10"/>
  <c r="CL54" i="10"/>
  <c r="AN54" i="10"/>
  <c r="BE54" i="10"/>
  <c r="BG54" i="10"/>
  <c r="O54" i="10"/>
  <c r="F54" i="10"/>
  <c r="G54" i="10"/>
  <c r="BX54" i="10"/>
  <c r="BC54" i="10"/>
  <c r="AT54" i="10"/>
  <c r="AZ54" i="10"/>
  <c r="AE54" i="10"/>
  <c r="BS54" i="10"/>
  <c r="S54" i="10"/>
  <c r="CQ54" i="10"/>
  <c r="AR54" i="10"/>
  <c r="CF54" i="10"/>
  <c r="BT54" i="10"/>
  <c r="V54" i="10"/>
  <c r="AV54" i="10"/>
  <c r="BM54" i="10"/>
  <c r="CH54" i="10"/>
  <c r="BY54" i="10"/>
  <c r="BB54" i="10"/>
  <c r="AB54" i="10"/>
  <c r="CO54" i="10"/>
  <c r="AX54" i="10"/>
  <c r="U54" i="10"/>
  <c r="AI54" i="10"/>
  <c r="CG54" i="10"/>
  <c r="AQ54" i="10"/>
  <c r="CB54" i="10"/>
  <c r="AS54" i="10"/>
  <c r="AU54" i="10"/>
  <c r="P54" i="10"/>
  <c r="BN54" i="10"/>
  <c r="BP54" i="10"/>
  <c r="CP54" i="10"/>
  <c r="AK54" i="10"/>
  <c r="BH54" i="10"/>
  <c r="CI54" i="10"/>
  <c r="Y54" i="10"/>
  <c r="M54" i="10"/>
  <c r="L54" i="10"/>
  <c r="W54" i="10"/>
  <c r="BA54" i="10"/>
  <c r="CK54" i="10"/>
  <c r="BJ54" i="10"/>
  <c r="E54" i="10"/>
  <c r="K54" i="10"/>
  <c r="T54" i="10"/>
  <c r="H54" i="10"/>
  <c r="BF54" i="10"/>
  <c r="CM54" i="10"/>
  <c r="I54" i="10"/>
  <c r="R54" i="10"/>
  <c r="BK54" i="10"/>
  <c r="Z54" i="10"/>
  <c r="BQ54" i="10"/>
  <c r="BW54" i="10"/>
  <c r="CC54" i="10"/>
  <c r="CN54" i="10"/>
  <c r="U26" i="14"/>
  <c r="J54" i="10"/>
  <c r="BO54" i="10"/>
  <c r="CS54" i="10"/>
  <c r="AA54" i="10"/>
  <c r="BL54" i="10"/>
  <c r="CA54" i="10"/>
  <c r="AO54" i="10"/>
  <c r="AJ54" i="10"/>
  <c r="CE54" i="10"/>
  <c r="N54" i="10"/>
  <c r="AM54" i="10"/>
  <c r="AY54" i="10"/>
  <c r="AH54" i="10"/>
  <c r="AL54" i="10"/>
  <c r="CR54" i="10"/>
  <c r="AC54" i="10"/>
  <c r="AD54" i="10"/>
  <c r="Q54" i="10"/>
  <c r="AW54" i="10"/>
  <c r="AP54" i="10"/>
  <c r="X54" i="10"/>
  <c r="AG54" i="10"/>
  <c r="BR54" i="10"/>
  <c r="T27" i="13"/>
  <c r="AH26" i="13"/>
  <c r="AK26" i="13"/>
  <c r="W27" i="13"/>
  <c r="N26" i="14"/>
  <c r="I26" i="14"/>
  <c r="AI26" i="14"/>
  <c r="AC27" i="18"/>
  <c r="R27" i="18"/>
  <c r="AI26" i="18"/>
  <c r="L27" i="18"/>
  <c r="AA26" i="18"/>
  <c r="AD27" i="18"/>
  <c r="X26" i="18"/>
  <c r="K27" i="13"/>
  <c r="S26" i="13"/>
  <c r="O26" i="13"/>
  <c r="AE27" i="13"/>
  <c r="W26" i="18"/>
  <c r="K26" i="13"/>
  <c r="AB26" i="14"/>
  <c r="M26" i="14"/>
  <c r="L26" i="18"/>
  <c r="X26" i="14"/>
  <c r="H26" i="18"/>
  <c r="AD26" i="18"/>
  <c r="AC26" i="13"/>
  <c r="AI27" i="18"/>
  <c r="X27" i="18"/>
  <c r="AB26" i="13"/>
  <c r="AG26" i="14"/>
  <c r="M27" i="14"/>
  <c r="W27" i="18"/>
  <c r="W26" i="13"/>
  <c r="AE26" i="13"/>
  <c r="AB27" i="14"/>
  <c r="AK27" i="13"/>
  <c r="I27" i="14"/>
  <c r="S27" i="13"/>
  <c r="N27" i="14"/>
  <c r="AA27" i="18"/>
  <c r="U26" i="18"/>
  <c r="X27" i="14"/>
  <c r="AC27" i="13"/>
  <c r="O27" i="13"/>
  <c r="AG27" i="18"/>
  <c r="J27" i="14"/>
  <c r="Z26" i="18"/>
  <c r="I26" i="18"/>
  <c r="T26" i="18"/>
  <c r="L27" i="13"/>
  <c r="AC26" i="18"/>
  <c r="H27" i="18"/>
  <c r="K27" i="18"/>
  <c r="AJ27" i="13"/>
  <c r="AH27" i="18"/>
  <c r="R27" i="14"/>
  <c r="S27" i="14"/>
  <c r="M27" i="18"/>
  <c r="L26" i="13"/>
  <c r="AH27" i="13"/>
  <c r="H26" i="14"/>
  <c r="AJ26" i="13"/>
  <c r="AH26" i="18"/>
  <c r="I27" i="18"/>
  <c r="W27" i="14"/>
  <c r="S26" i="14"/>
  <c r="T27" i="18"/>
  <c r="AK27" i="14"/>
  <c r="K26" i="14"/>
  <c r="AJ26" i="18"/>
  <c r="AA26" i="13"/>
  <c r="K26" i="18"/>
  <c r="P26" i="18"/>
  <c r="R26" i="14"/>
  <c r="AG27" i="14"/>
  <c r="M26" i="18"/>
  <c r="V26" i="18"/>
  <c r="Y27" i="18"/>
  <c r="AE27" i="18"/>
  <c r="AE26" i="14"/>
  <c r="AL27" i="18"/>
  <c r="Q26" i="18"/>
  <c r="AD26" i="14"/>
  <c r="AB27" i="13"/>
  <c r="W26" i="14"/>
  <c r="AL26" i="13"/>
  <c r="S27" i="18"/>
  <c r="R26" i="18"/>
  <c r="N26" i="18"/>
  <c r="AK26" i="14"/>
  <c r="Z27" i="18"/>
  <c r="X26" i="13"/>
  <c r="AE26" i="18"/>
  <c r="AI26" i="13"/>
  <c r="AD26" i="13"/>
  <c r="J26" i="13"/>
  <c r="AG26" i="18"/>
  <c r="AL26" i="14"/>
  <c r="AD27" i="13"/>
  <c r="O26" i="18"/>
  <c r="AC26" i="14"/>
  <c r="R26" i="13"/>
  <c r="Y26" i="14"/>
  <c r="O27" i="14"/>
  <c r="H26" i="13"/>
  <c r="L26" i="14"/>
  <c r="J26" i="14"/>
  <c r="AH26" i="14"/>
  <c r="AK26" i="18"/>
  <c r="H27" i="14"/>
  <c r="P27" i="18"/>
  <c r="AF27" i="14"/>
  <c r="T26" i="14"/>
  <c r="U26" i="13"/>
  <c r="U27" i="13"/>
  <c r="AJ27" i="18"/>
  <c r="AD27" i="14"/>
  <c r="J27" i="13"/>
  <c r="Q27" i="18"/>
  <c r="AF26" i="14"/>
  <c r="O26" i="14"/>
  <c r="AE27" i="14"/>
  <c r="Y26" i="18"/>
  <c r="X27" i="13"/>
  <c r="U27" i="18"/>
  <c r="N27" i="18"/>
  <c r="AL26" i="18"/>
  <c r="L27" i="14"/>
  <c r="AH27" i="14"/>
  <c r="AB27" i="18"/>
  <c r="V26" i="14"/>
  <c r="V27" i="18"/>
  <c r="H27" i="13"/>
  <c r="Y27" i="14"/>
  <c r="Q26" i="13"/>
  <c r="K27" i="14"/>
  <c r="O27" i="18"/>
  <c r="Q26" i="14"/>
  <c r="AF27" i="13"/>
  <c r="AC27" i="14"/>
  <c r="AI27" i="14"/>
  <c r="AI27" i="13"/>
  <c r="AK27" i="18"/>
  <c r="Z26" i="14"/>
  <c r="AG26" i="13"/>
  <c r="AJ26" i="14"/>
  <c r="P27" i="13"/>
  <c r="AA27" i="14"/>
  <c r="T27" i="14"/>
  <c r="J26" i="18"/>
  <c r="T26" i="13"/>
  <c r="AL27" i="14"/>
  <c r="Y26" i="13"/>
  <c r="I27" i="13"/>
  <c r="P27" i="14"/>
  <c r="Z26" i="13"/>
  <c r="V26" i="13"/>
  <c r="M26" i="13"/>
  <c r="R27" i="13"/>
  <c r="AF26" i="18"/>
  <c r="AB26" i="18"/>
  <c r="S26" i="18"/>
  <c r="V27" i="14"/>
  <c r="I26" i="13"/>
  <c r="Y27" i="13"/>
  <c r="M27" i="13"/>
  <c r="Z27" i="13"/>
  <c r="P26" i="14"/>
  <c r="AF26" i="13"/>
  <c r="Q27" i="14"/>
  <c r="AA26" i="14"/>
  <c r="Q27" i="13"/>
  <c r="AL27" i="13"/>
  <c r="AG27" i="13"/>
  <c r="V27" i="13"/>
  <c r="Z27" i="14"/>
  <c r="J27" i="18"/>
  <c r="P26" i="13"/>
  <c r="AF27" i="18"/>
  <c r="AJ27" i="14"/>
  <c r="U29" i="17"/>
  <c r="L29" i="17"/>
  <c r="AE29" i="14"/>
  <c r="P29" i="17"/>
  <c r="S29" i="14"/>
  <c r="N29" i="14"/>
  <c r="AH24" i="15"/>
  <c r="J29" i="12"/>
  <c r="AC24" i="13"/>
  <c r="U29" i="12"/>
  <c r="Q29" i="12"/>
  <c r="AL24" i="16"/>
  <c r="L24" i="15"/>
  <c r="T29" i="14"/>
  <c r="AA29" i="17"/>
  <c r="AB29" i="14"/>
  <c r="AE29" i="18"/>
  <c r="Y29" i="13"/>
  <c r="V29" i="17"/>
  <c r="AA29" i="15"/>
  <c r="W29" i="12"/>
  <c r="N29" i="12"/>
  <c r="AF29" i="12"/>
  <c r="AJ29" i="13"/>
  <c r="AI29" i="15"/>
  <c r="Z29" i="18"/>
  <c r="U29" i="14"/>
  <c r="W29" i="14"/>
  <c r="Q24" i="15"/>
  <c r="K24" i="15"/>
  <c r="AC29" i="15"/>
  <c r="M29" i="17"/>
  <c r="M29" i="14"/>
  <c r="J29" i="13"/>
  <c r="V29" i="13"/>
  <c r="W29" i="15"/>
  <c r="AD29" i="15"/>
  <c r="AD24" i="15"/>
  <c r="Y29" i="18"/>
  <c r="Y29" i="12"/>
  <c r="P24" i="12"/>
  <c r="AI24" i="13"/>
  <c r="Z24" i="13"/>
  <c r="AD29" i="12"/>
  <c r="L29" i="15"/>
  <c r="N29" i="15"/>
  <c r="Q29" i="17"/>
  <c r="Y29" i="17"/>
  <c r="AL29" i="12"/>
  <c r="J24" i="16"/>
  <c r="AE24" i="16"/>
  <c r="AG29" i="17"/>
  <c r="AB29" i="12"/>
  <c r="I29" i="17"/>
  <c r="S24" i="15"/>
  <c r="E29" i="15"/>
  <c r="S29" i="15"/>
  <c r="AC29" i="14"/>
  <c r="J29" i="18"/>
  <c r="S29" i="18"/>
  <c r="M29" i="12"/>
  <c r="AL29" i="14"/>
  <c r="AD29" i="14"/>
  <c r="T29" i="12"/>
  <c r="O29" i="12"/>
  <c r="M29" i="13"/>
  <c r="H24" i="15"/>
  <c r="M29" i="15"/>
  <c r="J29" i="15"/>
  <c r="Q24" i="16"/>
  <c r="AL29" i="13"/>
  <c r="AI29" i="12"/>
  <c r="N29" i="17"/>
  <c r="V29" i="15"/>
  <c r="AH29" i="12"/>
  <c r="S29" i="12"/>
  <c r="K29" i="17"/>
  <c r="AG24" i="15"/>
  <c r="V24" i="13"/>
  <c r="U24" i="15"/>
  <c r="R29" i="18"/>
  <c r="AA24" i="14"/>
  <c r="AL24" i="14"/>
  <c r="O29" i="17"/>
  <c r="W29" i="17"/>
  <c r="AH29" i="18"/>
  <c r="AL29" i="18"/>
  <c r="Q29" i="14"/>
  <c r="Y29" i="14"/>
  <c r="H29" i="18"/>
  <c r="W29" i="13"/>
  <c r="X29" i="13"/>
  <c r="AF29" i="13"/>
  <c r="U29" i="13"/>
  <c r="L29" i="12"/>
  <c r="AI29" i="13"/>
  <c r="AK29" i="17"/>
  <c r="K24" i="13"/>
  <c r="AD29" i="18"/>
  <c r="AJ29" i="18"/>
  <c r="X29" i="14"/>
  <c r="AK29" i="14"/>
  <c r="AI29" i="17"/>
  <c r="AA29" i="14"/>
  <c r="AC29" i="18"/>
  <c r="V29" i="18"/>
  <c r="X29" i="17"/>
  <c r="H29" i="14"/>
  <c r="T29" i="15"/>
  <c r="AB29" i="13"/>
  <c r="R29" i="17"/>
  <c r="Z29" i="14"/>
  <c r="N29" i="18"/>
  <c r="X29" i="18"/>
  <c r="AA29" i="18"/>
  <c r="AG29" i="14"/>
  <c r="AH29" i="14"/>
  <c r="U29" i="18"/>
  <c r="O29" i="18"/>
  <c r="AG29" i="18"/>
  <c r="AK29" i="15"/>
  <c r="R29" i="13"/>
  <c r="R29" i="12"/>
  <c r="AG29" i="12"/>
  <c r="AE29" i="17"/>
  <c r="S29" i="17"/>
  <c r="AH29" i="13"/>
  <c r="I29" i="15"/>
  <c r="S24" i="16"/>
  <c r="AL29" i="15"/>
  <c r="AC29" i="12"/>
  <c r="W24" i="15"/>
  <c r="O24" i="15"/>
  <c r="R29" i="14"/>
  <c r="AI29" i="14"/>
  <c r="V29" i="14"/>
  <c r="AI24" i="15"/>
  <c r="N24" i="15"/>
  <c r="K29" i="15"/>
  <c r="N24" i="16"/>
  <c r="O24" i="17"/>
  <c r="I29" i="13"/>
  <c r="AK24" i="12"/>
  <c r="AI24" i="12"/>
  <c r="AB24" i="16"/>
  <c r="O24" i="13"/>
  <c r="P24" i="13"/>
  <c r="N24" i="13"/>
  <c r="AA24" i="13"/>
  <c r="AK29" i="12"/>
  <c r="Z29" i="13"/>
  <c r="O29" i="13"/>
  <c r="AK29" i="13"/>
  <c r="Q29" i="18"/>
  <c r="P29" i="15"/>
  <c r="AK24" i="16"/>
  <c r="L29" i="18"/>
  <c r="S24" i="14"/>
  <c r="W29" i="18"/>
  <c r="M29" i="18"/>
  <c r="H29" i="13"/>
  <c r="AF24" i="15"/>
  <c r="AE24" i="17"/>
  <c r="T29" i="18"/>
  <c r="AG29" i="15"/>
  <c r="AA29" i="13"/>
  <c r="AE29" i="13"/>
  <c r="AE24" i="13"/>
  <c r="N29" i="13"/>
  <c r="AD29" i="17"/>
  <c r="K29" i="12"/>
  <c r="F24" i="16"/>
  <c r="AH29" i="15"/>
  <c r="AE24" i="12"/>
  <c r="X24" i="12"/>
  <c r="AH24" i="12"/>
  <c r="P24" i="16"/>
  <c r="L24" i="13"/>
  <c r="AF29" i="17"/>
  <c r="AJ29" i="17"/>
  <c r="Z29" i="17"/>
  <c r="P24" i="15"/>
  <c r="J24" i="15"/>
  <c r="V24" i="15"/>
  <c r="P29" i="14"/>
  <c r="AB29" i="17"/>
  <c r="T24" i="18"/>
  <c r="K24" i="16"/>
  <c r="AE29" i="15"/>
  <c r="P29" i="13"/>
  <c r="T29" i="13"/>
  <c r="W24" i="12"/>
  <c r="AL24" i="12"/>
  <c r="R24" i="12"/>
  <c r="O29" i="15"/>
  <c r="AL29" i="17"/>
  <c r="O24" i="16"/>
  <c r="AF29" i="14"/>
  <c r="T24" i="15"/>
  <c r="AJ24" i="15"/>
  <c r="AC29" i="13"/>
  <c r="AG29" i="13"/>
  <c r="AB24" i="18"/>
  <c r="AC24" i="18"/>
  <c r="Q24" i="18"/>
  <c r="U24" i="18"/>
  <c r="W24" i="18"/>
  <c r="AF24" i="16"/>
  <c r="AC24" i="15"/>
  <c r="I29" i="14"/>
  <c r="L29" i="14"/>
  <c r="AJ24" i="17"/>
  <c r="K29" i="18"/>
  <c r="J24" i="12"/>
  <c r="J24" i="13"/>
  <c r="K29" i="14"/>
  <c r="AA24" i="16"/>
  <c r="X29" i="15"/>
  <c r="U29" i="15"/>
  <c r="AF29" i="15"/>
  <c r="AB29" i="15"/>
  <c r="Z29" i="12"/>
  <c r="H29" i="12"/>
  <c r="AE29" i="12"/>
  <c r="I29" i="12"/>
  <c r="X24" i="16"/>
  <c r="Z24" i="16"/>
  <c r="P29" i="18"/>
  <c r="I29" i="18"/>
  <c r="AE24" i="15"/>
  <c r="AB29" i="18"/>
  <c r="I24" i="15"/>
  <c r="AI29" i="18"/>
  <c r="T24" i="16"/>
  <c r="Q29" i="13"/>
  <c r="J29" i="17"/>
  <c r="H29" i="17"/>
  <c r="AJ29" i="15"/>
  <c r="H29" i="15"/>
  <c r="F24" i="15"/>
  <c r="AC24" i="16"/>
  <c r="M24" i="16"/>
  <c r="AI24" i="16"/>
  <c r="Y24" i="13"/>
  <c r="F24" i="13"/>
  <c r="F29" i="13"/>
  <c r="X29" i="12"/>
  <c r="R24" i="16"/>
  <c r="Z29" i="15"/>
  <c r="R29" i="15"/>
  <c r="Y29" i="15"/>
  <c r="Q29" i="15"/>
  <c r="E24" i="18"/>
  <c r="E29" i="18"/>
  <c r="F24" i="18"/>
  <c r="F29" i="18"/>
  <c r="AJ24" i="18"/>
  <c r="Y24" i="16"/>
  <c r="V24" i="16"/>
  <c r="F29" i="16"/>
  <c r="AA24" i="15"/>
  <c r="R24" i="15"/>
  <c r="AB24" i="15"/>
  <c r="O24" i="14"/>
  <c r="U24" i="14"/>
  <c r="AC29" i="17"/>
  <c r="AK29" i="18"/>
  <c r="E29" i="12"/>
  <c r="E24" i="12"/>
  <c r="G29" i="15"/>
  <c r="V24" i="17"/>
  <c r="Z24" i="17"/>
  <c r="N24" i="17"/>
  <c r="J24" i="17"/>
  <c r="E24" i="15"/>
  <c r="G24" i="12"/>
  <c r="G29" i="12"/>
  <c r="AA29" i="12"/>
  <c r="G24" i="15"/>
  <c r="I24" i="16"/>
  <c r="AL24" i="15"/>
  <c r="Z24" i="15"/>
  <c r="O29" i="14"/>
  <c r="K29" i="13"/>
  <c r="H24" i="16"/>
  <c r="AK24" i="15"/>
  <c r="AG24" i="17"/>
  <c r="Y24" i="15"/>
  <c r="S29" i="13"/>
  <c r="AD24" i="16"/>
  <c r="L24" i="16"/>
  <c r="AJ24" i="16"/>
  <c r="E14" i="12" a="1"/>
  <c r="V29" i="12"/>
  <c r="AD29" i="13"/>
  <c r="L29" i="13"/>
  <c r="AH29" i="17"/>
  <c r="T29" i="17"/>
  <c r="W24" i="16"/>
  <c r="G29" i="16"/>
  <c r="G24" i="16"/>
  <c r="AH24" i="16"/>
  <c r="AG24" i="16"/>
  <c r="U24" i="16"/>
  <c r="E24" i="16"/>
  <c r="M24" i="15"/>
  <c r="X24" i="15"/>
  <c r="J29" i="14"/>
  <c r="AJ29" i="14"/>
  <c r="X24" i="14"/>
  <c r="I24" i="14"/>
  <c r="J24" i="14"/>
  <c r="AF29" i="18"/>
  <c r="E14" i="15" a="1"/>
  <c r="AL14" i="15"/>
  <c r="S24" i="12"/>
  <c r="T24" i="12"/>
  <c r="AB24" i="12"/>
  <c r="AC24" i="12"/>
  <c r="E24" i="13"/>
  <c r="E29" i="13"/>
  <c r="S24" i="13"/>
  <c r="M24" i="13"/>
  <c r="T24" i="13"/>
  <c r="I24" i="18"/>
  <c r="AA24" i="18"/>
  <c r="AH24" i="18"/>
  <c r="R24" i="18"/>
  <c r="N24" i="14"/>
  <c r="AE24" i="14"/>
  <c r="T24" i="14"/>
  <c r="Y24" i="14"/>
  <c r="L24" i="17"/>
  <c r="AC24" i="17"/>
  <c r="E24" i="17"/>
  <c r="E29" i="17"/>
  <c r="H24" i="17"/>
  <c r="AG24" i="12"/>
  <c r="Q24" i="12"/>
  <c r="I24" i="12"/>
  <c r="G24" i="13"/>
  <c r="G29" i="13"/>
  <c r="AL24" i="13"/>
  <c r="U24" i="13"/>
  <c r="X24" i="13"/>
  <c r="AF24" i="18"/>
  <c r="M24" i="18"/>
  <c r="AI24" i="18"/>
  <c r="L24" i="18"/>
  <c r="AE24" i="18"/>
  <c r="W24" i="14"/>
  <c r="M24" i="14"/>
  <c r="F24" i="14"/>
  <c r="F29" i="14"/>
  <c r="AI24" i="14"/>
  <c r="AD24" i="14"/>
  <c r="M24" i="17"/>
  <c r="W24" i="17"/>
  <c r="AH24" i="17"/>
  <c r="AK24" i="17"/>
  <c r="E14" i="17" a="1"/>
  <c r="AF24" i="12"/>
  <c r="K24" i="12"/>
  <c r="AD24" i="12"/>
  <c r="N24" i="12"/>
  <c r="AF24" i="13"/>
  <c r="AB24" i="13"/>
  <c r="Q24" i="13"/>
  <c r="H24" i="13"/>
  <c r="AL24" i="18"/>
  <c r="N24" i="18"/>
  <c r="K24" i="18"/>
  <c r="X24" i="18"/>
  <c r="H24" i="14"/>
  <c r="K24" i="14"/>
  <c r="G24" i="14"/>
  <c r="G29" i="14"/>
  <c r="E24" i="14"/>
  <c r="E29" i="14"/>
  <c r="L24" i="14"/>
  <c r="S24" i="17"/>
  <c r="G24" i="17"/>
  <c r="G29" i="17"/>
  <c r="X24" i="17"/>
  <c r="AA24" i="17"/>
  <c r="H24" i="12"/>
  <c r="M24" i="12"/>
  <c r="Z24" i="12"/>
  <c r="AG24" i="13"/>
  <c r="I24" i="13"/>
  <c r="S24" i="18"/>
  <c r="J24" i="18"/>
  <c r="AD24" i="18"/>
  <c r="Y24" i="18"/>
  <c r="Z24" i="14"/>
  <c r="AB24" i="14"/>
  <c r="AG24" i="14"/>
  <c r="AF24" i="14"/>
  <c r="I24" i="17"/>
  <c r="P24" i="17"/>
  <c r="AI24" i="17"/>
  <c r="T24" i="17"/>
  <c r="AL24" i="17"/>
  <c r="E14" i="16" a="1"/>
  <c r="J14" i="16"/>
  <c r="Y24" i="12"/>
  <c r="U24" i="12"/>
  <c r="F24" i="12"/>
  <c r="F29" i="12"/>
  <c r="AA24" i="12"/>
  <c r="AH24" i="13"/>
  <c r="R24" i="13"/>
  <c r="AJ24" i="13"/>
  <c r="V24" i="18"/>
  <c r="O24" i="18"/>
  <c r="G24" i="18"/>
  <c r="G29" i="18"/>
  <c r="Z24" i="18"/>
  <c r="F29" i="15"/>
  <c r="V24" i="14"/>
  <c r="AJ24" i="14"/>
  <c r="P24" i="14"/>
  <c r="Q24" i="14"/>
  <c r="R24" i="17"/>
  <c r="AF24" i="17"/>
  <c r="F29" i="17"/>
  <c r="F24" i="17"/>
  <c r="AD24" i="17"/>
  <c r="K24" i="17"/>
  <c r="V24" i="12"/>
  <c r="O24" i="12"/>
  <c r="L24" i="12"/>
  <c r="AJ24" i="12"/>
  <c r="AK24" i="13"/>
  <c r="W24" i="13"/>
  <c r="AD24" i="13"/>
  <c r="P24" i="18"/>
  <c r="AG24" i="18"/>
  <c r="AK24" i="18"/>
  <c r="H24" i="18"/>
  <c r="AK24" i="14"/>
  <c r="R24" i="14"/>
  <c r="AC24" i="14"/>
  <c r="AH24" i="14"/>
  <c r="Y24" i="17"/>
  <c r="U24" i="17"/>
  <c r="Q24" i="17"/>
  <c r="AB24" i="17"/>
  <c r="E6" i="16" a="1"/>
  <c r="E6" i="15" a="1"/>
  <c r="AI14" i="12"/>
  <c r="N14" i="17"/>
  <c r="E6" i="17" a="1"/>
  <c r="O6" i="17"/>
  <c r="E7" i="16" a="1"/>
  <c r="AA7" i="16"/>
  <c r="E15" i="16" a="1"/>
  <c r="AK15" i="16"/>
  <c r="E7" i="15" a="1"/>
  <c r="AB7" i="15"/>
  <c r="E15" i="15" a="1"/>
  <c r="AE15" i="15"/>
  <c r="E15" i="17" a="1"/>
  <c r="AG15" i="17"/>
  <c r="E7" i="17" a="1"/>
  <c r="AF7" i="17"/>
  <c r="E14" i="18" a="1"/>
  <c r="O14" i="18"/>
  <c r="O14" i="12"/>
  <c r="AH14" i="16"/>
  <c r="M14" i="12"/>
  <c r="AI14" i="17"/>
  <c r="AA14" i="17"/>
  <c r="AI14" i="18"/>
  <c r="I14" i="17"/>
  <c r="E14" i="14" a="1"/>
  <c r="AK14" i="14"/>
  <c r="E14" i="13" a="1"/>
  <c r="P14" i="13"/>
  <c r="I14" i="15"/>
  <c r="AA14" i="12"/>
  <c r="AJ14" i="18"/>
  <c r="E6" i="18" a="1"/>
  <c r="AD6" i="18"/>
  <c r="E15" i="18" a="1"/>
  <c r="M15" i="18"/>
  <c r="E6" i="13" a="1"/>
  <c r="AG6" i="13"/>
  <c r="E15" i="14" a="1"/>
  <c r="AE15" i="14"/>
  <c r="E15" i="13" a="1"/>
  <c r="X15" i="13"/>
  <c r="E7" i="18" a="1"/>
  <c r="AC7" i="18"/>
  <c r="E7" i="13" a="1"/>
  <c r="P7" i="13"/>
  <c r="E7" i="14" a="1"/>
  <c r="F7" i="14"/>
  <c r="I14" i="16"/>
  <c r="AC14" i="17"/>
  <c r="AB14" i="16"/>
  <c r="W14" i="16"/>
  <c r="T14" i="18"/>
  <c r="AK14" i="17"/>
  <c r="AL14" i="18"/>
  <c r="AE14" i="18"/>
  <c r="S14" i="12"/>
  <c r="M14" i="18"/>
  <c r="AH14" i="18"/>
  <c r="K14" i="17"/>
  <c r="AK14" i="18"/>
  <c r="AA14" i="16"/>
  <c r="P14" i="18"/>
  <c r="AD14" i="17"/>
  <c r="AJ14" i="17"/>
  <c r="X14" i="12"/>
  <c r="Q14" i="18"/>
  <c r="AL14" i="12"/>
  <c r="AG14" i="18"/>
  <c r="X14" i="18"/>
  <c r="J14" i="17"/>
  <c r="W14" i="18"/>
  <c r="E6" i="14" a="1"/>
  <c r="AL6" i="14"/>
  <c r="AD14" i="18"/>
  <c r="T14" i="16"/>
  <c r="H14" i="16"/>
  <c r="H14" i="17"/>
  <c r="L14" i="18"/>
  <c r="R14" i="18"/>
  <c r="I14" i="18"/>
  <c r="AH14" i="17"/>
  <c r="J14" i="18"/>
  <c r="K14" i="18"/>
  <c r="H14" i="18"/>
  <c r="AE14" i="17"/>
  <c r="W14" i="17"/>
  <c r="AB14" i="17"/>
  <c r="Q14" i="17"/>
  <c r="AF14" i="18"/>
  <c r="S14" i="18"/>
  <c r="AG14" i="17"/>
  <c r="U14" i="18"/>
  <c r="AC14" i="18"/>
  <c r="AA14" i="18"/>
  <c r="E17" i="13" a="1"/>
  <c r="AF17" i="13"/>
  <c r="E17" i="15" a="1"/>
  <c r="K17" i="15"/>
  <c r="R14" i="15"/>
  <c r="Y14" i="15"/>
  <c r="AF14" i="15"/>
  <c r="O14" i="15"/>
  <c r="AJ14" i="15"/>
  <c r="E17" i="14" a="1"/>
  <c r="F17" i="14"/>
  <c r="F14" i="16"/>
  <c r="G14" i="16"/>
  <c r="E14" i="16"/>
  <c r="E17" i="16" a="1"/>
  <c r="Y14" i="16"/>
  <c r="V14" i="17"/>
  <c r="V14" i="16"/>
  <c r="Z14" i="16"/>
  <c r="X14" i="16"/>
  <c r="G14" i="12"/>
  <c r="F14" i="12"/>
  <c r="E14" i="12"/>
  <c r="AD14" i="12"/>
  <c r="Y14" i="18"/>
  <c r="P14" i="16"/>
  <c r="V14" i="12"/>
  <c r="N14" i="18"/>
  <c r="V14" i="18"/>
  <c r="W14" i="12"/>
  <c r="AG14" i="12"/>
  <c r="G14" i="15"/>
  <c r="E14" i="15"/>
  <c r="F14" i="15"/>
  <c r="S14" i="15"/>
  <c r="AC14" i="16"/>
  <c r="N14" i="16"/>
  <c r="J14" i="15"/>
  <c r="AJ14" i="16"/>
  <c r="R14" i="17"/>
  <c r="S14" i="16"/>
  <c r="AK14" i="16"/>
  <c r="V14" i="15"/>
  <c r="O14" i="16"/>
  <c r="K14" i="16"/>
  <c r="Z14" i="17"/>
  <c r="T14" i="15"/>
  <c r="E17" i="17" a="1"/>
  <c r="AC17" i="17"/>
  <c r="P14" i="17"/>
  <c r="AE14" i="16"/>
  <c r="U14" i="16"/>
  <c r="Q14" i="16"/>
  <c r="L14" i="15"/>
  <c r="AL14" i="16"/>
  <c r="AK14" i="15"/>
  <c r="Y14" i="12"/>
  <c r="P14" i="15"/>
  <c r="M14" i="15"/>
  <c r="M14" i="16"/>
  <c r="AE14" i="15"/>
  <c r="S14" i="17"/>
  <c r="AF14" i="16"/>
  <c r="U14" i="17"/>
  <c r="R14" i="16"/>
  <c r="T14" i="17"/>
  <c r="AB14" i="15"/>
  <c r="AH14" i="15"/>
  <c r="K14" i="15"/>
  <c r="AD14" i="15"/>
  <c r="L14" i="16"/>
  <c r="AA14" i="15"/>
  <c r="N14" i="12"/>
  <c r="T14" i="12"/>
  <c r="Q14" i="12"/>
  <c r="AG14" i="16"/>
  <c r="H14" i="15"/>
  <c r="X14" i="15"/>
  <c r="AC14" i="15"/>
  <c r="AI14" i="15"/>
  <c r="AI14" i="16"/>
  <c r="N14" i="15"/>
  <c r="G14" i="17"/>
  <c r="E14" i="17"/>
  <c r="F14" i="17"/>
  <c r="N14" i="14"/>
  <c r="Z14" i="15"/>
  <c r="Q14" i="15"/>
  <c r="U14" i="15"/>
  <c r="AL14" i="17"/>
  <c r="E14" i="18"/>
  <c r="G14" i="18"/>
  <c r="F14" i="18"/>
  <c r="AB14" i="18"/>
  <c r="AG14" i="15"/>
  <c r="M14" i="17"/>
  <c r="Z14" i="18"/>
  <c r="AF14" i="17"/>
  <c r="L14" i="17"/>
  <c r="W14" i="15"/>
  <c r="E17" i="18" a="1"/>
  <c r="AF17" i="18"/>
  <c r="AC14" i="12"/>
  <c r="O14" i="17"/>
  <c r="AD14" i="16"/>
  <c r="Y14" i="17"/>
  <c r="J6" i="16"/>
  <c r="AG6" i="16"/>
  <c r="R6" i="16"/>
  <c r="U6" i="16"/>
  <c r="AB6" i="16"/>
  <c r="AF6" i="16"/>
  <c r="P6" i="16"/>
  <c r="S6" i="16"/>
  <c r="AE6" i="16"/>
  <c r="AH6" i="16"/>
  <c r="L6" i="16"/>
  <c r="Z6" i="16"/>
  <c r="AI6" i="16"/>
  <c r="G6" i="16"/>
  <c r="X6" i="16"/>
  <c r="I6" i="16"/>
  <c r="AA6" i="16"/>
  <c r="AJ6" i="16"/>
  <c r="K6" i="16"/>
  <c r="O6" i="16"/>
  <c r="Q6" i="16"/>
  <c r="AK6" i="16"/>
  <c r="V6" i="16"/>
  <c r="W6" i="16"/>
  <c r="AD6" i="16"/>
  <c r="N6" i="16"/>
  <c r="AL6" i="16"/>
  <c r="AC6" i="16"/>
  <c r="E6" i="16"/>
  <c r="Y6" i="16"/>
  <c r="M6" i="16"/>
  <c r="T6" i="16"/>
  <c r="F6" i="16"/>
  <c r="H6" i="16"/>
  <c r="AK6" i="15"/>
  <c r="S6" i="15"/>
  <c r="J6" i="15"/>
  <c r="U6" i="15"/>
  <c r="AJ6" i="15"/>
  <c r="Z6" i="15"/>
  <c r="H6" i="15"/>
  <c r="Q6" i="15"/>
  <c r="L6" i="15"/>
  <c r="AB6" i="15"/>
  <c r="Y6" i="15"/>
  <c r="E6" i="15"/>
  <c r="AF6" i="15"/>
  <c r="M6" i="15"/>
  <c r="P6" i="15"/>
  <c r="O6" i="15"/>
  <c r="AA6" i="15"/>
  <c r="AL6" i="15"/>
  <c r="G6" i="15"/>
  <c r="K6" i="15"/>
  <c r="N6" i="15"/>
  <c r="AE6" i="15"/>
  <c r="W6" i="15"/>
  <c r="R6" i="15"/>
  <c r="F6" i="15"/>
  <c r="AG6" i="15"/>
  <c r="AC6" i="15"/>
  <c r="AD6" i="15"/>
  <c r="X6" i="15"/>
  <c r="V6" i="15"/>
  <c r="I6" i="15"/>
  <c r="AI6" i="15"/>
  <c r="T6" i="15"/>
  <c r="AH6" i="15"/>
  <c r="K6" i="17"/>
  <c r="L6" i="17"/>
  <c r="E6" i="17"/>
  <c r="W6" i="17"/>
  <c r="Z6" i="17"/>
  <c r="T6" i="17"/>
  <c r="AD6" i="17"/>
  <c r="M6" i="17"/>
  <c r="X6" i="17"/>
  <c r="AH6" i="17"/>
  <c r="H6" i="17"/>
  <c r="AB6" i="17"/>
  <c r="U6" i="17"/>
  <c r="V6" i="17"/>
  <c r="P6" i="17"/>
  <c r="G6" i="17"/>
  <c r="AI6" i="17"/>
  <c r="AF6" i="17"/>
  <c r="S6" i="17"/>
  <c r="Q6" i="17"/>
  <c r="I6" i="17"/>
  <c r="J6" i="17"/>
  <c r="Y6" i="17"/>
  <c r="AG6" i="17"/>
  <c r="R6" i="17"/>
  <c r="AJ6" i="17"/>
  <c r="N6" i="17"/>
  <c r="F6" i="17"/>
  <c r="AL6" i="17"/>
  <c r="AE6" i="17"/>
  <c r="AK6" i="17"/>
  <c r="AA6" i="17"/>
  <c r="AC6" i="17"/>
  <c r="AD15" i="15"/>
  <c r="Q7" i="16"/>
  <c r="O7" i="16"/>
  <c r="H7" i="16"/>
  <c r="P7" i="16"/>
  <c r="AF7" i="16"/>
  <c r="R7" i="16"/>
  <c r="M7" i="16"/>
  <c r="T7" i="16"/>
  <c r="AH7" i="16"/>
  <c r="X7" i="16"/>
  <c r="AI7" i="16"/>
  <c r="Y7" i="16"/>
  <c r="L7" i="16"/>
  <c r="J7" i="16"/>
  <c r="W7" i="16"/>
  <c r="S7" i="16"/>
  <c r="AE7" i="16"/>
  <c r="AK7" i="16"/>
  <c r="N7" i="16"/>
  <c r="F7" i="16"/>
  <c r="K7" i="16"/>
  <c r="AD7" i="16"/>
  <c r="V7" i="16"/>
  <c r="AB7" i="16"/>
  <c r="I7" i="16"/>
  <c r="U7" i="16"/>
  <c r="G7" i="16"/>
  <c r="AG7" i="16"/>
  <c r="AC7" i="16"/>
  <c r="E7" i="16"/>
  <c r="AL7" i="16"/>
  <c r="AJ7" i="16"/>
  <c r="Z7" i="16"/>
  <c r="AG15" i="16"/>
  <c r="L15" i="16"/>
  <c r="AL15" i="16"/>
  <c r="AJ15" i="16"/>
  <c r="AC15" i="16"/>
  <c r="AB15" i="16"/>
  <c r="R15" i="16"/>
  <c r="T15" i="16"/>
  <c r="I15" i="16"/>
  <c r="AD15" i="16"/>
  <c r="AA15" i="16"/>
  <c r="U15" i="16"/>
  <c r="Z15" i="16"/>
  <c r="E15" i="16"/>
  <c r="V15" i="16"/>
  <c r="Q15" i="16"/>
  <c r="AH15" i="16"/>
  <c r="Y15" i="16"/>
  <c r="M15" i="16"/>
  <c r="AI15" i="16"/>
  <c r="F15" i="16"/>
  <c r="N15" i="16"/>
  <c r="J15" i="16"/>
  <c r="H15" i="16"/>
  <c r="AE15" i="16"/>
  <c r="S15" i="16"/>
  <c r="O15" i="16"/>
  <c r="W15" i="16"/>
  <c r="P15" i="16"/>
  <c r="X15" i="16"/>
  <c r="AF15" i="16"/>
  <c r="G15" i="16"/>
  <c r="K15" i="16"/>
  <c r="S7" i="15"/>
  <c r="K7" i="15"/>
  <c r="M15" i="15"/>
  <c r="P7" i="17"/>
  <c r="Y15" i="15"/>
  <c r="AB15" i="15"/>
  <c r="R7" i="15"/>
  <c r="W15" i="15"/>
  <c r="AK15" i="15"/>
  <c r="S15" i="15"/>
  <c r="AG15" i="15"/>
  <c r="AH15" i="15"/>
  <c r="AA7" i="15"/>
  <c r="H15" i="15"/>
  <c r="P15" i="15"/>
  <c r="Z15" i="15"/>
  <c r="O15" i="15"/>
  <c r="Q15" i="15"/>
  <c r="U15" i="15"/>
  <c r="E15" i="15"/>
  <c r="AI15" i="15"/>
  <c r="V15" i="15"/>
  <c r="Y7" i="15"/>
  <c r="AJ15" i="15"/>
  <c r="AC15" i="15"/>
  <c r="R15" i="15"/>
  <c r="G15" i="15"/>
  <c r="AL7" i="15"/>
  <c r="J15" i="15"/>
  <c r="I15" i="15"/>
  <c r="T15" i="15"/>
  <c r="W7" i="15"/>
  <c r="AL15" i="15"/>
  <c r="K15" i="15"/>
  <c r="L15" i="15"/>
  <c r="AA15" i="15"/>
  <c r="AJ7" i="15"/>
  <c r="F15" i="15"/>
  <c r="N15" i="15"/>
  <c r="AF15" i="15"/>
  <c r="X15" i="15"/>
  <c r="O15" i="17"/>
  <c r="Q15" i="17"/>
  <c r="AI15" i="17"/>
  <c r="V15" i="17"/>
  <c r="J15" i="17"/>
  <c r="L15" i="17"/>
  <c r="AE15" i="17"/>
  <c r="F15" i="17"/>
  <c r="N15" i="17"/>
  <c r="U15" i="17"/>
  <c r="AD15" i="17"/>
  <c r="AA15" i="17"/>
  <c r="G15" i="17"/>
  <c r="AF15" i="17"/>
  <c r="M15" i="17"/>
  <c r="AJ15" i="17"/>
  <c r="X15" i="17"/>
  <c r="E15" i="17"/>
  <c r="AB15" i="17"/>
  <c r="P15" i="17"/>
  <c r="K15" i="17"/>
  <c r="I15" i="17"/>
  <c r="Z15" i="17"/>
  <c r="Y15" i="17"/>
  <c r="AC15" i="17"/>
  <c r="AL15" i="17"/>
  <c r="R15" i="17"/>
  <c r="AK15" i="17"/>
  <c r="H15" i="17"/>
  <c r="W15" i="17"/>
  <c r="S15" i="17"/>
  <c r="AH15" i="17"/>
  <c r="T15" i="17"/>
  <c r="Y7" i="17"/>
  <c r="S7" i="17"/>
  <c r="AC7" i="17"/>
  <c r="E7" i="17"/>
  <c r="Q7" i="17"/>
  <c r="AK7" i="17"/>
  <c r="L7" i="17"/>
  <c r="V7" i="17"/>
  <c r="AI7" i="17"/>
  <c r="U7" i="17"/>
  <c r="I7" i="17"/>
  <c r="K7" i="17"/>
  <c r="AD7" i="17"/>
  <c r="G7" i="17"/>
  <c r="T7" i="17"/>
  <c r="W7" i="17"/>
  <c r="J7" i="17"/>
  <c r="AH7" i="17"/>
  <c r="M7" i="17"/>
  <c r="Z7" i="17"/>
  <c r="F7" i="17"/>
  <c r="AL7" i="17"/>
  <c r="AJ7" i="17"/>
  <c r="H7" i="17"/>
  <c r="AE7" i="17"/>
  <c r="AG7" i="17"/>
  <c r="X7" i="17"/>
  <c r="O7" i="17"/>
  <c r="R7" i="17"/>
  <c r="AA7" i="17"/>
  <c r="AB7" i="17"/>
  <c r="N7" i="17"/>
  <c r="AH7" i="15"/>
  <c r="G7" i="15"/>
  <c r="AI7" i="15"/>
  <c r="AD7" i="15"/>
  <c r="X7" i="15"/>
  <c r="AG7" i="15"/>
  <c r="V7" i="15"/>
  <c r="AF7" i="15"/>
  <c r="M7" i="15"/>
  <c r="N7" i="15"/>
  <c r="E7" i="15"/>
  <c r="I7" i="15"/>
  <c r="F7" i="15"/>
  <c r="J7" i="15"/>
  <c r="P7" i="15"/>
  <c r="H7" i="15"/>
  <c r="Z7" i="15"/>
  <c r="T7" i="15"/>
  <c r="Q7" i="15"/>
  <c r="AE7" i="15"/>
  <c r="L7" i="15"/>
  <c r="AK7" i="15"/>
  <c r="O7" i="15"/>
  <c r="U7" i="15"/>
  <c r="AC7" i="15"/>
  <c r="S14" i="14"/>
  <c r="AC14" i="14"/>
  <c r="E14" i="14"/>
  <c r="Q15" i="18"/>
  <c r="AI14" i="14"/>
  <c r="F14" i="14"/>
  <c r="T14" i="14"/>
  <c r="G14" i="13"/>
  <c r="U14" i="13"/>
  <c r="M14" i="13"/>
  <c r="Y14" i="13"/>
  <c r="P14" i="14"/>
  <c r="H14" i="14"/>
  <c r="AA14" i="14"/>
  <c r="AE14" i="13"/>
  <c r="Q14" i="14"/>
  <c r="W14" i="14"/>
  <c r="AG14" i="13"/>
  <c r="H14" i="13"/>
  <c r="F14" i="13"/>
  <c r="V14" i="13"/>
  <c r="Y14" i="14"/>
  <c r="O14" i="14"/>
  <c r="AG14" i="14"/>
  <c r="AA14" i="13"/>
  <c r="AD14" i="13"/>
  <c r="AH14" i="13"/>
  <c r="N14" i="13"/>
  <c r="AC14" i="13"/>
  <c r="Q14" i="13"/>
  <c r="K14" i="14"/>
  <c r="L14" i="14"/>
  <c r="AD14" i="14"/>
  <c r="J14" i="14"/>
  <c r="AE14" i="14"/>
  <c r="AI14" i="13"/>
  <c r="AJ14" i="13"/>
  <c r="L14" i="13"/>
  <c r="J14" i="13"/>
  <c r="AJ14" i="14"/>
  <c r="U14" i="14"/>
  <c r="Z14" i="13"/>
  <c r="O14" i="13"/>
  <c r="AL14" i="13"/>
  <c r="AB14" i="13"/>
  <c r="T14" i="13"/>
  <c r="Z14" i="14"/>
  <c r="V14" i="14"/>
  <c r="G14" i="14"/>
  <c r="AL14" i="14"/>
  <c r="E14" i="13"/>
  <c r="K14" i="13"/>
  <c r="AF14" i="14"/>
  <c r="M14" i="14"/>
  <c r="X14" i="14"/>
  <c r="X14" i="13"/>
  <c r="S14" i="13"/>
  <c r="AF14" i="13"/>
  <c r="R14" i="13"/>
  <c r="AH14" i="14"/>
  <c r="I14" i="14"/>
  <c r="AB14" i="14"/>
  <c r="AK14" i="13"/>
  <c r="W14" i="13"/>
  <c r="I14" i="13"/>
  <c r="R14" i="14"/>
  <c r="V15" i="18"/>
  <c r="W15" i="18"/>
  <c r="AG6" i="18"/>
  <c r="K6" i="18"/>
  <c r="N6" i="18"/>
  <c r="V6" i="18"/>
  <c r="AH6" i="18"/>
  <c r="M6" i="18"/>
  <c r="X6" i="18"/>
  <c r="AK6" i="18"/>
  <c r="AJ6" i="18"/>
  <c r="P6" i="18"/>
  <c r="S6" i="18"/>
  <c r="J6" i="18"/>
  <c r="I6" i="18"/>
  <c r="Z6" i="18"/>
  <c r="AA6" i="18"/>
  <c r="W6" i="18"/>
  <c r="G6" i="18"/>
  <c r="AF6" i="18"/>
  <c r="E6" i="18"/>
  <c r="R6" i="18"/>
  <c r="AL15" i="13"/>
  <c r="O6" i="18"/>
  <c r="Q6" i="18"/>
  <c r="H6" i="18"/>
  <c r="AA15" i="13"/>
  <c r="Y15" i="13"/>
  <c r="AB15" i="13"/>
  <c r="M15" i="13"/>
  <c r="I15" i="13"/>
  <c r="E15" i="13"/>
  <c r="AE15" i="13"/>
  <c r="Q15" i="13"/>
  <c r="U15" i="13"/>
  <c r="AK15" i="13"/>
  <c r="K15" i="13"/>
  <c r="J15" i="13"/>
  <c r="H15" i="13"/>
  <c r="S15" i="13"/>
  <c r="AI15" i="13"/>
  <c r="L15" i="13"/>
  <c r="F15" i="13"/>
  <c r="P15" i="13"/>
  <c r="AH15" i="13"/>
  <c r="R15" i="13"/>
  <c r="Z15" i="13"/>
  <c r="AJ15" i="13"/>
  <c r="AF15" i="13"/>
  <c r="T15" i="13"/>
  <c r="G15" i="13"/>
  <c r="AG15" i="13"/>
  <c r="AD15" i="13"/>
  <c r="O15" i="13"/>
  <c r="V15" i="13"/>
  <c r="N15" i="13"/>
  <c r="W15" i="13"/>
  <c r="AC15" i="13"/>
  <c r="AL15" i="14"/>
  <c r="W6" i="14"/>
  <c r="R6" i="13"/>
  <c r="T6" i="18"/>
  <c r="F6" i="18"/>
  <c r="L6" i="18"/>
  <c r="AL6" i="18"/>
  <c r="AB15" i="18"/>
  <c r="H7" i="18"/>
  <c r="R15" i="18"/>
  <c r="E15" i="18"/>
  <c r="AG15" i="18"/>
  <c r="N7" i="18"/>
  <c r="O15" i="18"/>
  <c r="N15" i="18"/>
  <c r="AF15" i="18"/>
  <c r="I15" i="18"/>
  <c r="P15" i="18"/>
  <c r="AB7" i="18"/>
  <c r="G7" i="18"/>
  <c r="AB6" i="18"/>
  <c r="AI6" i="18"/>
  <c r="Y6" i="18"/>
  <c r="J15" i="18"/>
  <c r="X15" i="18"/>
  <c r="AK15" i="18"/>
  <c r="AI15" i="18"/>
  <c r="G15" i="18"/>
  <c r="T15" i="14"/>
  <c r="P6" i="13"/>
  <c r="AJ15" i="14"/>
  <c r="AF7" i="18"/>
  <c r="AH15" i="18"/>
  <c r="AL15" i="18"/>
  <c r="AJ15" i="18"/>
  <c r="U15" i="18"/>
  <c r="AA15" i="18"/>
  <c r="H6" i="13"/>
  <c r="Z15" i="18"/>
  <c r="S15" i="18"/>
  <c r="T15" i="18"/>
  <c r="L6" i="13"/>
  <c r="AE15" i="18"/>
  <c r="AD15" i="18"/>
  <c r="H15" i="18"/>
  <c r="AC15" i="18"/>
  <c r="F6" i="13"/>
  <c r="AI6" i="13"/>
  <c r="G6" i="13"/>
  <c r="AC6" i="13"/>
  <c r="I6" i="13"/>
  <c r="K6" i="13"/>
  <c r="O6" i="13"/>
  <c r="AE6" i="13"/>
  <c r="Y6" i="13"/>
  <c r="X15" i="14"/>
  <c r="R15" i="14"/>
  <c r="AG15" i="14"/>
  <c r="AK15" i="14"/>
  <c r="Z15" i="14"/>
  <c r="E6" i="14"/>
  <c r="AI7" i="18"/>
  <c r="U6" i="18"/>
  <c r="AC6" i="18"/>
  <c r="AE6" i="18"/>
  <c r="Y15" i="18"/>
  <c r="K15" i="18"/>
  <c r="F15" i="18"/>
  <c r="L15" i="18"/>
  <c r="F15" i="14"/>
  <c r="I15" i="14"/>
  <c r="AD6" i="14"/>
  <c r="AD15" i="14"/>
  <c r="Z6" i="13"/>
  <c r="R6" i="14"/>
  <c r="G15" i="14"/>
  <c r="E15" i="14"/>
  <c r="AH15" i="14"/>
  <c r="V15" i="14"/>
  <c r="J15" i="14"/>
  <c r="AC15" i="14"/>
  <c r="V6" i="13"/>
  <c r="AD6" i="13"/>
  <c r="E6" i="13"/>
  <c r="AF6" i="13"/>
  <c r="M6" i="13"/>
  <c r="O6" i="14"/>
  <c r="AK7" i="18"/>
  <c r="Y7" i="18"/>
  <c r="L15" i="14"/>
  <c r="O15" i="14"/>
  <c r="U15" i="14"/>
  <c r="W15" i="14"/>
  <c r="AJ6" i="13"/>
  <c r="AL6" i="13"/>
  <c r="S6" i="13"/>
  <c r="W6" i="13"/>
  <c r="I6" i="14"/>
  <c r="AE7" i="18"/>
  <c r="M7" i="18"/>
  <c r="P15" i="14"/>
  <c r="AH6" i="13"/>
  <c r="AA15" i="14"/>
  <c r="AI15" i="14"/>
  <c r="AB15" i="14"/>
  <c r="N15" i="14"/>
  <c r="J6" i="13"/>
  <c r="L7" i="18"/>
  <c r="S15" i="14"/>
  <c r="Y15" i="14"/>
  <c r="Q15" i="14"/>
  <c r="K15" i="14"/>
  <c r="Q6" i="13"/>
  <c r="N6" i="13"/>
  <c r="T6" i="13"/>
  <c r="X6" i="13"/>
  <c r="S7" i="18"/>
  <c r="O7" i="18"/>
  <c r="H15" i="14"/>
  <c r="AF15" i="14"/>
  <c r="AB6" i="13"/>
  <c r="F7" i="18"/>
  <c r="M15" i="14"/>
  <c r="AK6" i="13"/>
  <c r="AA6" i="13"/>
  <c r="U6" i="13"/>
  <c r="AA7" i="18"/>
  <c r="U7" i="18"/>
  <c r="AJ6" i="14"/>
  <c r="J6" i="14"/>
  <c r="I7" i="13"/>
  <c r="AD7" i="18"/>
  <c r="X7" i="18"/>
  <c r="P7" i="18"/>
  <c r="W7" i="18"/>
  <c r="U6" i="14"/>
  <c r="V7" i="18"/>
  <c r="G6" i="14"/>
  <c r="S6" i="14"/>
  <c r="R7" i="18"/>
  <c r="Q7" i="18"/>
  <c r="T7" i="18"/>
  <c r="AJ7" i="18"/>
  <c r="AL7" i="18"/>
  <c r="N6" i="14"/>
  <c r="Y7" i="13"/>
  <c r="K7" i="14"/>
  <c r="AA6" i="14"/>
  <c r="K6" i="14"/>
  <c r="K7" i="18"/>
  <c r="J7" i="18"/>
  <c r="AG7" i="18"/>
  <c r="AH7" i="18"/>
  <c r="H7" i="14"/>
  <c r="L6" i="14"/>
  <c r="X6" i="14"/>
  <c r="E7" i="18"/>
  <c r="Z7" i="18"/>
  <c r="I7" i="18"/>
  <c r="K7" i="13"/>
  <c r="R7" i="14"/>
  <c r="AF7" i="14"/>
  <c r="AA7" i="13"/>
  <c r="Z7" i="13"/>
  <c r="AG7" i="14"/>
  <c r="F7" i="13"/>
  <c r="Q7" i="14"/>
  <c r="V7" i="13"/>
  <c r="AI7" i="13"/>
  <c r="AG7" i="13"/>
  <c r="AB7" i="13"/>
  <c r="AK7" i="14"/>
  <c r="R7" i="13"/>
  <c r="AD7" i="14"/>
  <c r="AK7" i="13"/>
  <c r="X7" i="14"/>
  <c r="N7" i="13"/>
  <c r="U7" i="13"/>
  <c r="O7" i="13"/>
  <c r="AA7" i="14"/>
  <c r="AC7" i="14"/>
  <c r="AI7" i="14"/>
  <c r="AH7" i="14"/>
  <c r="G7" i="13"/>
  <c r="X7" i="13"/>
  <c r="AH7" i="13"/>
  <c r="T7" i="13"/>
  <c r="S7" i="14"/>
  <c r="V7" i="14"/>
  <c r="AJ7" i="14"/>
  <c r="P7" i="14"/>
  <c r="W7" i="13"/>
  <c r="S7" i="13"/>
  <c r="M7" i="13"/>
  <c r="AF7" i="13"/>
  <c r="E7" i="14"/>
  <c r="AE7" i="14"/>
  <c r="T7" i="14"/>
  <c r="M7" i="14"/>
  <c r="L7" i="14"/>
  <c r="I7" i="14"/>
  <c r="W7" i="14"/>
  <c r="H6" i="14"/>
  <c r="AE6" i="14"/>
  <c r="AC7" i="13"/>
  <c r="Q7" i="13"/>
  <c r="AD7" i="13"/>
  <c r="L7" i="13"/>
  <c r="E7" i="13"/>
  <c r="Y7" i="14"/>
  <c r="J7" i="14"/>
  <c r="AB7" i="14"/>
  <c r="G7" i="14"/>
  <c r="U7" i="14"/>
  <c r="AE7" i="13"/>
  <c r="O7" i="14"/>
  <c r="N7" i="14"/>
  <c r="Z7" i="14"/>
  <c r="AL7" i="14"/>
  <c r="H7" i="13"/>
  <c r="J7" i="13"/>
  <c r="AL7" i="13"/>
  <c r="AJ7" i="13"/>
  <c r="P6" i="14"/>
  <c r="AI6" i="14"/>
  <c r="AC6" i="14"/>
  <c r="AB6" i="14"/>
  <c r="AF6" i="14"/>
  <c r="Q6" i="14"/>
  <c r="V6" i="14"/>
  <c r="Z6" i="14"/>
  <c r="Y6" i="14"/>
  <c r="F6" i="14"/>
  <c r="T6" i="14"/>
  <c r="AG6" i="14"/>
  <c r="AK6" i="14"/>
  <c r="M6" i="14"/>
  <c r="AH6" i="14"/>
  <c r="G17" i="13"/>
  <c r="E17" i="13"/>
  <c r="V17" i="15"/>
  <c r="E17" i="15"/>
  <c r="T17" i="15"/>
  <c r="F17" i="16"/>
  <c r="AH17" i="15"/>
  <c r="AL17" i="15"/>
  <c r="AI17" i="15"/>
  <c r="N17" i="15"/>
  <c r="F17" i="13"/>
  <c r="P17" i="15"/>
  <c r="AC17" i="13"/>
  <c r="Z17" i="13"/>
  <c r="N17" i="13"/>
  <c r="AA17" i="13"/>
  <c r="AD17" i="13"/>
  <c r="W17" i="13"/>
  <c r="M17" i="13"/>
  <c r="AJ17" i="13"/>
  <c r="AE17" i="13"/>
  <c r="P17" i="13"/>
  <c r="H17" i="13"/>
  <c r="V17" i="13"/>
  <c r="K17" i="13"/>
  <c r="S17" i="13"/>
  <c r="AL17" i="14"/>
  <c r="I17" i="13"/>
  <c r="AG17" i="13"/>
  <c r="AH17" i="13"/>
  <c r="E17" i="14"/>
  <c r="AI17" i="13"/>
  <c r="AK17" i="14"/>
  <c r="J17" i="13"/>
  <c r="T17" i="13"/>
  <c r="AK17" i="13"/>
  <c r="X17" i="13"/>
  <c r="AL17" i="13"/>
  <c r="S17" i="15"/>
  <c r="H17" i="15"/>
  <c r="AE17" i="15"/>
  <c r="AJ17" i="15"/>
  <c r="W17" i="15"/>
  <c r="I17" i="15"/>
  <c r="O17" i="15"/>
  <c r="R17" i="15"/>
  <c r="G17" i="15"/>
  <c r="AD17" i="15"/>
  <c r="AB17" i="15"/>
  <c r="J17" i="15"/>
  <c r="R17" i="13"/>
  <c r="L17" i="13"/>
  <c r="AB17" i="13"/>
  <c r="O17" i="13"/>
  <c r="Y17" i="13"/>
  <c r="U17" i="13"/>
  <c r="Q17" i="13"/>
  <c r="L17" i="15"/>
  <c r="F17" i="15"/>
  <c r="X17" i="15"/>
  <c r="AA17" i="15"/>
  <c r="AF17" i="15"/>
  <c r="Z17" i="15"/>
  <c r="AG17" i="15"/>
  <c r="M17" i="15"/>
  <c r="U17" i="15"/>
  <c r="AK17" i="15"/>
  <c r="Q17" i="15"/>
  <c r="AC17" i="15"/>
  <c r="Y17" i="15"/>
  <c r="AA17" i="14"/>
  <c r="X17" i="14"/>
  <c r="AJ17" i="14"/>
  <c r="Q17" i="14"/>
  <c r="L17" i="14"/>
  <c r="J17" i="14"/>
  <c r="T17" i="17"/>
  <c r="V17" i="14"/>
  <c r="AB17" i="14"/>
  <c r="AI17" i="14"/>
  <c r="AK17" i="18"/>
  <c r="AH17" i="17"/>
  <c r="AH17" i="14"/>
  <c r="Y17" i="14"/>
  <c r="R17" i="14"/>
  <c r="U17" i="14"/>
  <c r="M17" i="14"/>
  <c r="K17" i="14"/>
  <c r="I17" i="14"/>
  <c r="W17" i="14"/>
  <c r="N17" i="14"/>
  <c r="P17" i="14"/>
  <c r="O17" i="14"/>
  <c r="Z17" i="14"/>
  <c r="T17" i="14"/>
  <c r="AF17" i="14"/>
  <c r="AE17" i="14"/>
  <c r="H17" i="14"/>
  <c r="S17" i="14"/>
  <c r="AC17" i="14"/>
  <c r="G17" i="14"/>
  <c r="AD17" i="14"/>
  <c r="AG17" i="14"/>
  <c r="F17" i="18"/>
  <c r="G17" i="18"/>
  <c r="E17" i="18"/>
  <c r="AI17" i="18"/>
  <c r="AG17" i="18"/>
  <c r="Z17" i="18"/>
  <c r="W17" i="18"/>
  <c r="H17" i="18"/>
  <c r="AB17" i="18"/>
  <c r="AL17" i="18"/>
  <c r="V17" i="18"/>
  <c r="R17" i="18"/>
  <c r="X17" i="18"/>
  <c r="AE17" i="18"/>
  <c r="M17" i="18"/>
  <c r="AJ17" i="18"/>
  <c r="J17" i="18"/>
  <c r="AC17" i="18"/>
  <c r="K17" i="18"/>
  <c r="P17" i="18"/>
  <c r="T17" i="18"/>
  <c r="S17" i="18"/>
  <c r="Q17" i="18"/>
  <c r="AA17" i="18"/>
  <c r="L17" i="18"/>
  <c r="AH17" i="18"/>
  <c r="I17" i="18"/>
  <c r="O17" i="18"/>
  <c r="AD17" i="18"/>
  <c r="U17" i="18"/>
  <c r="N17" i="18"/>
  <c r="Y17" i="18"/>
  <c r="G17" i="16"/>
  <c r="F17" i="17"/>
  <c r="E17" i="17"/>
  <c r="G17" i="17"/>
  <c r="W17" i="17"/>
  <c r="N17" i="17"/>
  <c r="AB17" i="17"/>
  <c r="AG17" i="17"/>
  <c r="AE17" i="17"/>
  <c r="J17" i="17"/>
  <c r="AA17" i="17"/>
  <c r="X17" i="17"/>
  <c r="H17" i="17"/>
  <c r="R17" i="17"/>
  <c r="M17" i="17"/>
  <c r="AI17" i="17"/>
  <c r="AL17" i="17"/>
  <c r="P17" i="17"/>
  <c r="AF17" i="17"/>
  <c r="U17" i="17"/>
  <c r="Z17" i="17"/>
  <c r="V17" i="17"/>
  <c r="AJ17" i="17"/>
  <c r="Y17" i="17"/>
  <c r="O17" i="17"/>
  <c r="K17" i="17"/>
  <c r="AK17" i="17"/>
  <c r="S17" i="17"/>
  <c r="L17" i="17"/>
  <c r="I17" i="17"/>
  <c r="Q17" i="17"/>
  <c r="AD17" i="17"/>
  <c r="J6" i="19"/>
  <c r="K6" i="19"/>
  <c r="I6" i="19"/>
  <c r="E5" i="16" a="1"/>
  <c r="AI5" i="16"/>
  <c r="J7" i="19"/>
  <c r="J5" i="19"/>
  <c r="E13" i="16" a="1"/>
  <c r="O13" i="16"/>
  <c r="E13" i="15" a="1"/>
  <c r="AJ13" i="15"/>
  <c r="E13" i="17" a="1"/>
  <c r="F13" i="17"/>
  <c r="I7" i="19"/>
  <c r="E5" i="17" a="1"/>
  <c r="K5" i="17"/>
  <c r="K7" i="19"/>
  <c r="K5" i="19"/>
  <c r="E5" i="15" a="1"/>
  <c r="AL5" i="15"/>
  <c r="E13" i="13" a="1"/>
  <c r="P13" i="13"/>
  <c r="H6" i="19"/>
  <c r="E13" i="14" a="1"/>
  <c r="O13" i="14"/>
  <c r="M6" i="19"/>
  <c r="E13" i="18" a="1"/>
  <c r="L13" i="18"/>
  <c r="L6" i="19"/>
  <c r="E5" i="18" a="1"/>
  <c r="Z5" i="18"/>
  <c r="H7" i="19"/>
  <c r="E5" i="13" a="1"/>
  <c r="K5" i="13"/>
  <c r="L7" i="19"/>
  <c r="M7" i="19"/>
  <c r="E5" i="14" a="1"/>
  <c r="O5" i="14"/>
  <c r="I5" i="19"/>
  <c r="S5" i="16"/>
  <c r="P5" i="16"/>
  <c r="E5" i="16"/>
  <c r="G5" i="16"/>
  <c r="F5" i="16"/>
  <c r="V5" i="16"/>
  <c r="U5" i="16"/>
  <c r="I5" i="16"/>
  <c r="AE5" i="16"/>
  <c r="AC5" i="16"/>
  <c r="K5" i="16"/>
  <c r="J5" i="16"/>
  <c r="M5" i="16"/>
  <c r="AB5" i="16"/>
  <c r="T5" i="16"/>
  <c r="X5" i="16"/>
  <c r="W5" i="16"/>
  <c r="AF5" i="16"/>
  <c r="Y5" i="16"/>
  <c r="AH5" i="16"/>
  <c r="N5" i="16"/>
  <c r="AG5" i="16"/>
  <c r="O5" i="16"/>
  <c r="H5" i="16"/>
  <c r="Z5" i="16"/>
  <c r="L5" i="16"/>
  <c r="I13" i="16"/>
  <c r="R13" i="16"/>
  <c r="X13" i="16"/>
  <c r="F13" i="16"/>
  <c r="AK13" i="16"/>
  <c r="M13" i="15"/>
  <c r="AE13" i="15"/>
  <c r="AJ13" i="16"/>
  <c r="E13" i="16"/>
  <c r="AD13" i="16"/>
  <c r="L13" i="16"/>
  <c r="Q5" i="16"/>
  <c r="AD5" i="16"/>
  <c r="R5" i="16"/>
  <c r="AA5" i="16"/>
  <c r="G13" i="15"/>
  <c r="Z13" i="15"/>
  <c r="AG13" i="16"/>
  <c r="AE13" i="16"/>
  <c r="J13" i="16"/>
  <c r="AC13" i="16"/>
  <c r="AB13" i="16"/>
  <c r="Z13" i="16"/>
  <c r="P13" i="16"/>
  <c r="AJ5" i="16"/>
  <c r="V13" i="16"/>
  <c r="U13" i="16"/>
  <c r="N13" i="16"/>
  <c r="G13" i="16"/>
  <c r="AL5" i="16"/>
  <c r="AK5" i="16"/>
  <c r="M13" i="16"/>
  <c r="AH13" i="16"/>
  <c r="T13" i="16"/>
  <c r="AF13" i="16"/>
  <c r="Y13" i="16"/>
  <c r="W13" i="16"/>
  <c r="K13" i="16"/>
  <c r="Q13" i="16"/>
  <c r="H13" i="16"/>
  <c r="AL13" i="16"/>
  <c r="S13" i="16"/>
  <c r="AA13" i="16"/>
  <c r="AI13" i="16"/>
  <c r="AF13" i="15"/>
  <c r="P13" i="15"/>
  <c r="V13" i="15"/>
  <c r="AB13" i="15"/>
  <c r="I13" i="15"/>
  <c r="Y13" i="15"/>
  <c r="F13" i="15"/>
  <c r="W13" i="15"/>
  <c r="T13" i="15"/>
  <c r="N13" i="15"/>
  <c r="AG13" i="15"/>
  <c r="L13" i="15"/>
  <c r="U13" i="15"/>
  <c r="Q13" i="15"/>
  <c r="AL13" i="15"/>
  <c r="R13" i="15"/>
  <c r="AA13" i="15"/>
  <c r="X13" i="15"/>
  <c r="AH13" i="15"/>
  <c r="AC13" i="15"/>
  <c r="AI13" i="15"/>
  <c r="H13" i="15"/>
  <c r="J13" i="15"/>
  <c r="S13" i="15"/>
  <c r="E13" i="15"/>
  <c r="O13" i="15"/>
  <c r="AD13" i="15"/>
  <c r="K13" i="15"/>
  <c r="AK13" i="15"/>
  <c r="W13" i="17"/>
  <c r="E13" i="17"/>
  <c r="AF13" i="17"/>
  <c r="AC13" i="17"/>
  <c r="AE5" i="17"/>
  <c r="AL5" i="17"/>
  <c r="AB5" i="17"/>
  <c r="T5" i="17"/>
  <c r="AK5" i="17"/>
  <c r="AF5" i="17"/>
  <c r="AD5" i="17"/>
  <c r="L5" i="17"/>
  <c r="AJ5" i="17"/>
  <c r="AI5" i="17"/>
  <c r="G5" i="17"/>
  <c r="S5" i="17"/>
  <c r="F5" i="17"/>
  <c r="AH5" i="17"/>
  <c r="Q5" i="17"/>
  <c r="P13" i="17"/>
  <c r="AI13" i="17"/>
  <c r="O13" i="17"/>
  <c r="N13" i="17"/>
  <c r="Z13" i="17"/>
  <c r="AK13" i="17"/>
  <c r="M13" i="17"/>
  <c r="AL13" i="17"/>
  <c r="R13" i="17"/>
  <c r="AD13" i="17"/>
  <c r="Q13" i="17"/>
  <c r="AB13" i="17"/>
  <c r="Y13" i="17"/>
  <c r="X13" i="17"/>
  <c r="S13" i="17"/>
  <c r="J13" i="17"/>
  <c r="V13" i="17"/>
  <c r="AJ13" i="17"/>
  <c r="AA13" i="17"/>
  <c r="AH13" i="17"/>
  <c r="U13" i="17"/>
  <c r="G13" i="17"/>
  <c r="K13" i="17"/>
  <c r="AG13" i="17"/>
  <c r="I13" i="17"/>
  <c r="H13" i="17"/>
  <c r="T13" i="17"/>
  <c r="AE13" i="17"/>
  <c r="L13" i="17"/>
  <c r="U5" i="15"/>
  <c r="J5" i="15"/>
  <c r="K5" i="15"/>
  <c r="P5" i="15"/>
  <c r="AA5" i="17"/>
  <c r="F5" i="15"/>
  <c r="AF5" i="15"/>
  <c r="Y5" i="15"/>
  <c r="AC5" i="15"/>
  <c r="J5" i="17"/>
  <c r="Z5" i="17"/>
  <c r="W5" i="17"/>
  <c r="I5" i="17"/>
  <c r="T5" i="15"/>
  <c r="AB5" i="15"/>
  <c r="R5" i="15"/>
  <c r="AA5" i="15"/>
  <c r="AH5" i="15"/>
  <c r="M5" i="17"/>
  <c r="V5" i="17"/>
  <c r="AG5" i="17"/>
  <c r="AC5" i="17"/>
  <c r="AD5" i="15"/>
  <c r="H5" i="15"/>
  <c r="G5" i="15"/>
  <c r="AE5" i="15"/>
  <c r="Q5" i="15"/>
  <c r="Z5" i="15"/>
  <c r="AI5" i="15"/>
  <c r="S5" i="15"/>
  <c r="I5" i="15"/>
  <c r="N5" i="17"/>
  <c r="R5" i="17"/>
  <c r="P5" i="17"/>
  <c r="U5" i="17"/>
  <c r="X5" i="17"/>
  <c r="M5" i="15"/>
  <c r="L5" i="15"/>
  <c r="X5" i="15"/>
  <c r="E5" i="15"/>
  <c r="O5" i="17"/>
  <c r="Y5" i="17"/>
  <c r="E5" i="17"/>
  <c r="H5" i="17"/>
  <c r="V5" i="15"/>
  <c r="N5" i="15"/>
  <c r="AK5" i="15"/>
  <c r="W5" i="15"/>
  <c r="AJ5" i="15"/>
  <c r="AG5" i="15"/>
  <c r="O5" i="15"/>
  <c r="AH13" i="13"/>
  <c r="AE13" i="13"/>
  <c r="Z13" i="13"/>
  <c r="T13" i="13"/>
  <c r="S13" i="13"/>
  <c r="Q13" i="13"/>
  <c r="X13" i="13"/>
  <c r="I13" i="13"/>
  <c r="AF13" i="13"/>
  <c r="AC13" i="13"/>
  <c r="AJ13" i="13"/>
  <c r="W13" i="13"/>
  <c r="AB13" i="13"/>
  <c r="M13" i="13"/>
  <c r="AK13" i="13"/>
  <c r="Y13" i="13"/>
  <c r="G13" i="13"/>
  <c r="O13" i="13"/>
  <c r="V13" i="13"/>
  <c r="R13" i="13"/>
  <c r="F13" i="13"/>
  <c r="AD13" i="13"/>
  <c r="AI13" i="13"/>
  <c r="H13" i="13"/>
  <c r="K13" i="13"/>
  <c r="N13" i="13"/>
  <c r="L13" i="13"/>
  <c r="AA13" i="13"/>
  <c r="AG13" i="13"/>
  <c r="F13" i="14"/>
  <c r="AG13" i="14"/>
  <c r="G13" i="14"/>
  <c r="U13" i="14"/>
  <c r="AD13" i="14"/>
  <c r="P13" i="14"/>
  <c r="Q13" i="14"/>
  <c r="AA13" i="14"/>
  <c r="AC13" i="14"/>
  <c r="AB13" i="14"/>
  <c r="K13" i="14"/>
  <c r="AH13" i="14"/>
  <c r="AK13" i="14"/>
  <c r="AF13" i="14"/>
  <c r="AL13" i="14"/>
  <c r="R13" i="14"/>
  <c r="X13" i="14"/>
  <c r="W13" i="14"/>
  <c r="H13" i="14"/>
  <c r="V13" i="14"/>
  <c r="L13" i="14"/>
  <c r="Y13" i="14"/>
  <c r="S13" i="14"/>
  <c r="J13" i="14"/>
  <c r="AJ13" i="14"/>
  <c r="E13" i="14"/>
  <c r="M13" i="14"/>
  <c r="I13" i="14"/>
  <c r="AL13" i="13"/>
  <c r="U13" i="13"/>
  <c r="J13" i="13"/>
  <c r="E13" i="13"/>
  <c r="N13" i="14"/>
  <c r="T13" i="14"/>
  <c r="Z13" i="14"/>
  <c r="N5" i="18"/>
  <c r="Q5" i="18"/>
  <c r="H5" i="19"/>
  <c r="U5" i="18"/>
  <c r="AI13" i="14"/>
  <c r="AE13" i="14"/>
  <c r="M5" i="19"/>
  <c r="V5" i="14"/>
  <c r="AK5" i="18"/>
  <c r="S5" i="18"/>
  <c r="X5" i="18"/>
  <c r="L5" i="18"/>
  <c r="T5" i="18"/>
  <c r="AB5" i="18"/>
  <c r="I5" i="18"/>
  <c r="AG5" i="18"/>
  <c r="AL5" i="14"/>
  <c r="G13" i="18"/>
  <c r="AC13" i="18"/>
  <c r="Y13" i="18"/>
  <c r="R13" i="18"/>
  <c r="AI13" i="18"/>
  <c r="K13" i="18"/>
  <c r="U13" i="18"/>
  <c r="AL13" i="18"/>
  <c r="J13" i="18"/>
  <c r="AA13" i="18"/>
  <c r="X13" i="18"/>
  <c r="E13" i="18"/>
  <c r="AE13" i="18"/>
  <c r="H13" i="18"/>
  <c r="AH13" i="18"/>
  <c r="I13" i="18"/>
  <c r="T13" i="18"/>
  <c r="AB13" i="18"/>
  <c r="O13" i="18"/>
  <c r="M13" i="18"/>
  <c r="AK13" i="18"/>
  <c r="N13" i="18"/>
  <c r="P13" i="18"/>
  <c r="AJ13" i="18"/>
  <c r="Q13" i="18"/>
  <c r="R5" i="18"/>
  <c r="F13" i="18"/>
  <c r="AG13" i="18"/>
  <c r="AD13" i="18"/>
  <c r="V13" i="18"/>
  <c r="AF13" i="18"/>
  <c r="AJ5" i="13"/>
  <c r="Z5" i="13"/>
  <c r="W13" i="18"/>
  <c r="S13" i="18"/>
  <c r="Z13" i="18"/>
  <c r="H14" i="19"/>
  <c r="W5" i="13"/>
  <c r="AC5" i="13"/>
  <c r="AF5" i="13"/>
  <c r="AG5" i="13"/>
  <c r="AD5" i="13"/>
  <c r="AL5" i="13"/>
  <c r="H5" i="14"/>
  <c r="M5" i="14"/>
  <c r="AC5" i="14"/>
  <c r="AE5" i="18"/>
  <c r="AF5" i="18"/>
  <c r="AC5" i="18"/>
  <c r="W5" i="18"/>
  <c r="AI5" i="18"/>
  <c r="AH5" i="18"/>
  <c r="V5" i="18"/>
  <c r="AL5" i="18"/>
  <c r="AA5" i="18"/>
  <c r="G5" i="18"/>
  <c r="M5" i="18"/>
  <c r="H5" i="18"/>
  <c r="K5" i="18"/>
  <c r="Y5" i="18"/>
  <c r="AD5" i="18"/>
  <c r="J5" i="18"/>
  <c r="O5" i="18"/>
  <c r="F5" i="18"/>
  <c r="AJ5" i="18"/>
  <c r="P5" i="18"/>
  <c r="E5" i="18"/>
  <c r="W5" i="14"/>
  <c r="Q5" i="14"/>
  <c r="AE5" i="14"/>
  <c r="X5" i="14"/>
  <c r="P5" i="13"/>
  <c r="AI5" i="14"/>
  <c r="AK5" i="14"/>
  <c r="AG5" i="14"/>
  <c r="L5" i="19"/>
  <c r="Q5" i="13"/>
  <c r="V5" i="13"/>
  <c r="U5" i="13"/>
  <c r="L5" i="13"/>
  <c r="S5" i="13"/>
  <c r="F5" i="13"/>
  <c r="AH5" i="13"/>
  <c r="N5" i="14"/>
  <c r="AA5" i="13"/>
  <c r="X5" i="13"/>
  <c r="E5" i="13"/>
  <c r="J5" i="13"/>
  <c r="U5" i="14"/>
  <c r="Z5" i="14"/>
  <c r="F5" i="14"/>
  <c r="P5" i="14"/>
  <c r="Y5" i="14"/>
  <c r="Y5" i="13"/>
  <c r="AB5" i="13"/>
  <c r="R5" i="13"/>
  <c r="AE5" i="13"/>
  <c r="S5" i="14"/>
  <c r="AJ5" i="14"/>
  <c r="I5" i="14"/>
  <c r="G5" i="14"/>
  <c r="G5" i="13"/>
  <c r="M5" i="13"/>
  <c r="AI5" i="13"/>
  <c r="AK5" i="13"/>
  <c r="T5" i="13"/>
  <c r="AH5" i="14"/>
  <c r="R5" i="14"/>
  <c r="E5" i="14"/>
  <c r="AD5" i="14"/>
  <c r="N5" i="13"/>
  <c r="I5" i="13"/>
  <c r="O5" i="13"/>
  <c r="AA5" i="14"/>
  <c r="H5" i="13"/>
  <c r="L5" i="14"/>
  <c r="AB5" i="14"/>
  <c r="J5" i="14"/>
  <c r="T5" i="14"/>
  <c r="H15" i="19"/>
  <c r="K5" i="14"/>
  <c r="AF5" i="14"/>
  <c r="H13" i="19"/>
  <c r="AJ32" i="12" a="1"/>
  <c r="AJ38" i="12"/>
  <c r="AJ34" i="12"/>
  <c r="AJ35" i="12"/>
  <c r="AJ36" i="12"/>
  <c r="AJ33" i="12"/>
  <c r="AJ37" i="12"/>
  <c r="AJ32" i="12"/>
  <c r="AJ26" i="12"/>
  <c r="AJ14" i="12"/>
  <c r="AJ27" i="12"/>
  <c r="AJ29" i="12"/>
  <c r="P32" i="12" a="1"/>
  <c r="P38" i="12"/>
  <c r="E13" i="12" a="1"/>
  <c r="E5" i="12" a="1"/>
  <c r="P34" i="12"/>
  <c r="P36" i="12"/>
  <c r="P33" i="12"/>
  <c r="P37" i="12"/>
  <c r="P32" i="12"/>
  <c r="P35" i="12"/>
  <c r="P26" i="12"/>
  <c r="P29" i="12"/>
  <c r="P27" i="12"/>
  <c r="E15" i="12" a="1"/>
  <c r="E7" i="12" a="1"/>
  <c r="E17" i="12" a="1"/>
  <c r="P14" i="12"/>
  <c r="E6" i="12" a="1"/>
  <c r="T17" i="12"/>
  <c r="AG17" i="12"/>
  <c r="H17" i="12"/>
  <c r="AK17" i="12"/>
  <c r="AA17" i="12"/>
  <c r="N17" i="12"/>
  <c r="S17" i="12"/>
  <c r="Z17" i="12"/>
  <c r="V17" i="12"/>
  <c r="K17" i="12"/>
  <c r="J17" i="12"/>
  <c r="AD17" i="12"/>
  <c r="P17" i="12"/>
  <c r="O17" i="12"/>
  <c r="AB17" i="12"/>
  <c r="I17" i="12"/>
  <c r="F17" i="12"/>
  <c r="E17" i="12"/>
  <c r="Q17" i="12"/>
  <c r="AH17" i="12"/>
  <c r="AI17" i="12"/>
  <c r="U17" i="12"/>
  <c r="AL17" i="12"/>
  <c r="AE17" i="12"/>
  <c r="L17" i="12"/>
  <c r="G17" i="12"/>
  <c r="X17" i="12"/>
  <c r="AJ17" i="12"/>
  <c r="W17" i="12"/>
  <c r="R17" i="12"/>
  <c r="M17" i="12"/>
  <c r="Y17" i="12"/>
  <c r="AC17" i="12"/>
  <c r="AF17" i="12"/>
  <c r="E15" i="12"/>
  <c r="E13" i="12"/>
  <c r="AF15" i="12"/>
  <c r="AF13" i="12"/>
  <c r="K15" i="12"/>
  <c r="K13" i="12"/>
  <c r="AI15" i="12"/>
  <c r="AI13" i="12"/>
  <c r="X15" i="12"/>
  <c r="X13" i="12"/>
  <c r="AG15" i="12"/>
  <c r="AG13" i="12"/>
  <c r="AK15" i="12"/>
  <c r="AK13" i="12"/>
  <c r="M15" i="12"/>
  <c r="M13" i="12"/>
  <c r="I15" i="12"/>
  <c r="I13" i="12"/>
  <c r="O15" i="12"/>
  <c r="O13" i="12"/>
  <c r="V15" i="12"/>
  <c r="V13" i="12"/>
  <c r="Z15" i="12"/>
  <c r="Z13" i="12"/>
  <c r="J15" i="12"/>
  <c r="J13" i="12"/>
  <c r="AA15" i="12"/>
  <c r="AA13" i="12"/>
  <c r="W15" i="12"/>
  <c r="W13" i="12"/>
  <c r="H15" i="12"/>
  <c r="H13" i="12"/>
  <c r="AC15" i="12"/>
  <c r="AC13" i="12"/>
  <c r="Y15" i="12"/>
  <c r="Y13" i="12"/>
  <c r="N15" i="12"/>
  <c r="N13" i="12"/>
  <c r="Q15" i="12"/>
  <c r="Q13" i="12"/>
  <c r="G15" i="12"/>
  <c r="G13" i="12"/>
  <c r="AH15" i="12"/>
  <c r="AH13" i="12"/>
  <c r="AE15" i="12"/>
  <c r="AE13" i="12"/>
  <c r="AB15" i="12"/>
  <c r="AB13" i="12"/>
  <c r="L15" i="12"/>
  <c r="L13" i="12"/>
  <c r="AL15" i="12"/>
  <c r="AL13" i="12"/>
  <c r="AD15" i="12"/>
  <c r="AD13" i="12"/>
  <c r="P15" i="12"/>
  <c r="P13" i="12"/>
  <c r="R15" i="12"/>
  <c r="R13" i="12"/>
  <c r="U15" i="12"/>
  <c r="U13" i="12"/>
  <c r="S15" i="12"/>
  <c r="S13" i="12"/>
  <c r="AJ15" i="12"/>
  <c r="AJ13" i="12"/>
  <c r="T15" i="12"/>
  <c r="T13" i="12"/>
  <c r="F15" i="12"/>
  <c r="F13" i="12"/>
  <c r="W6" i="12"/>
  <c r="U6" i="12"/>
  <c r="AJ6" i="12"/>
  <c r="P6" i="12"/>
  <c r="AG6" i="12"/>
  <c r="S6" i="12"/>
  <c r="Y6" i="12"/>
  <c r="Q6" i="12"/>
  <c r="M6" i="12"/>
  <c r="F6" i="12"/>
  <c r="I6" i="12"/>
  <c r="R6" i="12"/>
  <c r="O6" i="12"/>
  <c r="J6" i="12"/>
  <c r="AL6" i="12"/>
  <c r="H6" i="12"/>
  <c r="AH6" i="12"/>
  <c r="T6" i="12"/>
  <c r="L6" i="12"/>
  <c r="AK6" i="12"/>
  <c r="N6" i="12"/>
  <c r="AI6" i="12"/>
  <c r="E6" i="12"/>
  <c r="AD6" i="12"/>
  <c r="AE6" i="12"/>
  <c r="K6" i="12"/>
  <c r="V6" i="12"/>
  <c r="AC6" i="12"/>
  <c r="AB6" i="12"/>
  <c r="AF6" i="12"/>
  <c r="Z6" i="12"/>
  <c r="X6" i="12"/>
  <c r="G6" i="12"/>
  <c r="AA6" i="12"/>
  <c r="I7" i="12"/>
  <c r="AL7" i="12"/>
  <c r="AI7" i="12"/>
  <c r="N7" i="12"/>
  <c r="R7" i="12"/>
  <c r="V7" i="12"/>
  <c r="X7" i="12"/>
  <c r="W7" i="12"/>
  <c r="T7" i="12"/>
  <c r="AE7" i="12"/>
  <c r="U7" i="12"/>
  <c r="AF7" i="12"/>
  <c r="Z7" i="12"/>
  <c r="AC7" i="12"/>
  <c r="Y7" i="12"/>
  <c r="M7" i="12"/>
  <c r="K7" i="12"/>
  <c r="AJ7" i="12"/>
  <c r="Q7" i="12"/>
  <c r="S7" i="12"/>
  <c r="J7" i="12"/>
  <c r="AD7" i="12"/>
  <c r="AH7" i="12"/>
  <c r="AB7" i="12"/>
  <c r="AA7" i="12"/>
  <c r="E7" i="12"/>
  <c r="AK7" i="12"/>
  <c r="L7" i="12"/>
  <c r="F7" i="12"/>
  <c r="G7" i="12"/>
  <c r="O7" i="12"/>
  <c r="AG7" i="12"/>
  <c r="H7" i="12"/>
  <c r="P7" i="12"/>
  <c r="J5" i="12"/>
  <c r="Z5" i="12"/>
  <c r="S5" i="12"/>
  <c r="AF5" i="12"/>
  <c r="N5" i="12"/>
  <c r="AI5" i="12"/>
  <c r="E5" i="12"/>
  <c r="AL5" i="12"/>
  <c r="AG5" i="12"/>
  <c r="AB5" i="12"/>
  <c r="M5" i="12"/>
  <c r="W5" i="12"/>
  <c r="O5" i="12"/>
  <c r="AH5" i="12"/>
  <c r="Y5" i="12"/>
  <c r="X5" i="12"/>
  <c r="G5" i="12"/>
  <c r="AD5" i="12"/>
  <c r="F5" i="12"/>
  <c r="U5" i="12"/>
  <c r="AA5" i="12"/>
  <c r="K5" i="12"/>
  <c r="T5" i="12"/>
  <c r="V5" i="12"/>
  <c r="N6" i="19"/>
  <c r="AK5" i="12"/>
  <c r="Q5" i="12"/>
  <c r="L5" i="12"/>
  <c r="P5" i="12"/>
  <c r="AJ5" i="12"/>
  <c r="AE5" i="12"/>
  <c r="AC5" i="12"/>
  <c r="R5" i="12"/>
  <c r="H5" i="12"/>
  <c r="N7" i="19"/>
  <c r="I5" i="12"/>
  <c r="O6" i="19"/>
  <c r="L14" i="19"/>
  <c r="O14" i="19"/>
  <c r="N5" i="19"/>
  <c r="O7" i="19"/>
  <c r="L15" i="19"/>
  <c r="O15" i="19"/>
  <c r="O5" i="19"/>
  <c r="L13" i="19"/>
  <c r="O13" i="19"/>
  <c r="E9" i="18" a="1"/>
  <c r="H9" i="18"/>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H9" i="19"/>
  <c r="H8" i="19"/>
  <c r="E9" i="14" a="1"/>
  <c r="H9" i="14"/>
  <c r="I9" i="14"/>
  <c r="J9" i="14"/>
  <c r="K9" i="14"/>
  <c r="L9" i="14"/>
  <c r="M9" i="14"/>
  <c r="N9" i="14"/>
  <c r="O9" i="14"/>
  <c r="P9" i="14"/>
  <c r="Q9" i="14"/>
  <c r="R9" i="14"/>
  <c r="S9" i="14"/>
  <c r="T9" i="14"/>
  <c r="U9" i="14"/>
  <c r="V9" i="14"/>
  <c r="W9" i="14"/>
  <c r="X9" i="14"/>
  <c r="Y9" i="14"/>
  <c r="Z9" i="14"/>
  <c r="AA9" i="14"/>
  <c r="AB9" i="14"/>
  <c r="AC9" i="14"/>
  <c r="AD9" i="14"/>
  <c r="AE9" i="14"/>
  <c r="AF9" i="14"/>
  <c r="AG9" i="14"/>
  <c r="AH9" i="14"/>
  <c r="AI9" i="14"/>
  <c r="AJ9" i="14"/>
  <c r="AK9" i="14"/>
  <c r="L9" i="19"/>
  <c r="L8" i="19"/>
  <c r="E9" i="13" a="1"/>
  <c r="H9" i="13"/>
  <c r="I9" i="13"/>
  <c r="J9" i="13"/>
  <c r="K9" i="13"/>
  <c r="L9" i="13"/>
  <c r="M9" i="13"/>
  <c r="N9" i="13"/>
  <c r="O9" i="13"/>
  <c r="P9" i="13"/>
  <c r="Q9" i="13"/>
  <c r="R9" i="13"/>
  <c r="S9" i="13"/>
  <c r="T9" i="13"/>
  <c r="U9" i="13"/>
  <c r="V9" i="13"/>
  <c r="W9" i="13"/>
  <c r="X9" i="13"/>
  <c r="Y9" i="13"/>
  <c r="Z9" i="13"/>
  <c r="AA9" i="13"/>
  <c r="AB9" i="13"/>
  <c r="AC9" i="13"/>
  <c r="AD9" i="13"/>
  <c r="AE9" i="13"/>
  <c r="AF9" i="13"/>
  <c r="AG9" i="13"/>
  <c r="AH9" i="13"/>
  <c r="AI9" i="13"/>
  <c r="AJ9" i="13"/>
  <c r="AK9" i="13"/>
  <c r="M9" i="19"/>
  <c r="M8" i="19"/>
  <c r="E9" i="12" a="1"/>
  <c r="H9" i="12"/>
  <c r="I9" i="12"/>
  <c r="J9" i="12"/>
  <c r="K9" i="12"/>
  <c r="L9" i="12"/>
  <c r="M9" i="12"/>
  <c r="N9" i="12"/>
  <c r="O9" i="12"/>
  <c r="P9" i="12"/>
  <c r="Q9" i="12"/>
  <c r="R9" i="12"/>
  <c r="S9" i="12"/>
  <c r="T9" i="12"/>
  <c r="U9" i="12"/>
  <c r="V9" i="12"/>
  <c r="W9" i="12"/>
  <c r="X9" i="12"/>
  <c r="Y9" i="12"/>
  <c r="Z9" i="12"/>
  <c r="AA9" i="12"/>
  <c r="AB9" i="12"/>
  <c r="AC9" i="12"/>
  <c r="AD9" i="12"/>
  <c r="AE9" i="12"/>
  <c r="AF9" i="12"/>
  <c r="AG9" i="12"/>
  <c r="AH9" i="12"/>
  <c r="AI9" i="12"/>
  <c r="AJ9" i="12"/>
  <c r="AK9" i="12"/>
  <c r="N9" i="19"/>
  <c r="N8" i="19"/>
  <c r="N10" i="19"/>
  <c r="H10" i="19"/>
  <c r="L10" i="19"/>
  <c r="M10" i="19"/>
  <c r="G9" i="18"/>
  <c r="E9" i="18"/>
  <c r="AL9" i="18"/>
  <c r="F9" i="18"/>
  <c r="AL9" i="14"/>
  <c r="E9" i="14"/>
  <c r="F9" i="14"/>
  <c r="G9" i="14"/>
  <c r="AL9" i="13"/>
  <c r="G9" i="13"/>
  <c r="F9" i="13"/>
  <c r="E9" i="13"/>
  <c r="G9" i="12"/>
  <c r="AL9" i="12"/>
  <c r="E9" i="12"/>
  <c r="F9" i="12"/>
  <c r="E9" i="17" a="1"/>
  <c r="H9" i="17"/>
  <c r="I9" i="17"/>
  <c r="J9" i="17"/>
  <c r="K9" i="17"/>
  <c r="L9" i="17"/>
  <c r="M9" i="17"/>
  <c r="N9" i="17"/>
  <c r="O9" i="17"/>
  <c r="P9" i="17"/>
  <c r="Q9" i="17"/>
  <c r="R9" i="17"/>
  <c r="S9" i="17"/>
  <c r="T9" i="17"/>
  <c r="U9" i="17"/>
  <c r="V9" i="17"/>
  <c r="W9" i="17"/>
  <c r="X9" i="17"/>
  <c r="Y9" i="17"/>
  <c r="Z9" i="17"/>
  <c r="AA9" i="17"/>
  <c r="AB9" i="17"/>
  <c r="AC9" i="17"/>
  <c r="AD9" i="17"/>
  <c r="AE9" i="17"/>
  <c r="AF9" i="17"/>
  <c r="AG9" i="17"/>
  <c r="AH9" i="17"/>
  <c r="AI9" i="17"/>
  <c r="AJ9" i="17"/>
  <c r="AK9" i="17"/>
  <c r="I9" i="19"/>
  <c r="I8" i="19"/>
  <c r="I10" i="19"/>
  <c r="G9" i="17"/>
  <c r="F9" i="17"/>
  <c r="AL9" i="17"/>
  <c r="E9" i="17"/>
  <c r="E9" i="15" a="1"/>
  <c r="H9" i="15"/>
  <c r="I9" i="15"/>
  <c r="J9" i="15"/>
  <c r="K9" i="15"/>
  <c r="L9" i="15"/>
  <c r="M9" i="15"/>
  <c r="N9" i="15"/>
  <c r="O9" i="15"/>
  <c r="P9" i="15"/>
  <c r="Q9" i="15"/>
  <c r="R9" i="15"/>
  <c r="S9" i="15"/>
  <c r="T9" i="15"/>
  <c r="U9" i="15"/>
  <c r="V9" i="15"/>
  <c r="W9" i="15"/>
  <c r="X9" i="15"/>
  <c r="Y9" i="15"/>
  <c r="Z9" i="15"/>
  <c r="AA9" i="15"/>
  <c r="AB9" i="15"/>
  <c r="AC9" i="15"/>
  <c r="AD9" i="15"/>
  <c r="AE9" i="15"/>
  <c r="AF9" i="15"/>
  <c r="AG9" i="15"/>
  <c r="AH9" i="15"/>
  <c r="AI9" i="15"/>
  <c r="AJ9" i="15"/>
  <c r="AK9" i="15"/>
  <c r="K9" i="19"/>
  <c r="K8" i="19"/>
  <c r="L16" i="19"/>
  <c r="L17" i="19"/>
  <c r="E9" i="15"/>
  <c r="G9" i="15"/>
  <c r="AL9" i="15"/>
  <c r="F9" i="15"/>
  <c r="K10" i="19"/>
  <c r="AM9" i="15"/>
  <c r="E9" i="16" a="1"/>
  <c r="F9" i="16"/>
  <c r="G9" i="16"/>
  <c r="E29" i="16"/>
  <c r="E9" i="16"/>
  <c r="E17" i="16"/>
  <c r="E183" i="16"/>
  <c r="F183" i="16"/>
  <c r="G183" i="16"/>
  <c r="H183" i="16"/>
  <c r="I183" i="16"/>
  <c r="J183" i="16"/>
  <c r="K183" i="16"/>
  <c r="L183" i="16"/>
  <c r="M183" i="16"/>
  <c r="N183" i="16"/>
  <c r="O183" i="16"/>
  <c r="P183" i="16"/>
  <c r="Q183" i="16"/>
  <c r="R183" i="16"/>
  <c r="S183" i="16"/>
  <c r="T183" i="16"/>
  <c r="U183" i="16"/>
  <c r="V183" i="16"/>
  <c r="W183" i="16"/>
  <c r="X183" i="16"/>
  <c r="Y183" i="16"/>
  <c r="Z183" i="16"/>
  <c r="AA183" i="16"/>
  <c r="AB183" i="16"/>
  <c r="AC183" i="16"/>
  <c r="AD183" i="16"/>
  <c r="AE183" i="16"/>
  <c r="AF183" i="16"/>
  <c r="AG183" i="16"/>
  <c r="AH183" i="16"/>
  <c r="AI183" i="16"/>
  <c r="AJ183" i="16"/>
  <c r="AK183" i="16"/>
  <c r="AL183" i="16"/>
  <c r="AM183" i="16"/>
  <c r="E100" i="16" a="1"/>
  <c r="AG100" i="16"/>
  <c r="AG29" i="16"/>
  <c r="AG17" i="16"/>
  <c r="AA100" i="16"/>
  <c r="AA29" i="16"/>
  <c r="AA17" i="16"/>
  <c r="H100" i="16"/>
  <c r="H29" i="16"/>
  <c r="H17" i="16"/>
  <c r="L100" i="16"/>
  <c r="L29" i="16"/>
  <c r="L17" i="16"/>
  <c r="AF100" i="16"/>
  <c r="AF29" i="16"/>
  <c r="AF17" i="16"/>
  <c r="Y100" i="16"/>
  <c r="Y29" i="16"/>
  <c r="Y17" i="16"/>
  <c r="R100" i="16"/>
  <c r="R29" i="16"/>
  <c r="R17" i="16"/>
  <c r="S100" i="16"/>
  <c r="S29" i="16"/>
  <c r="S17" i="16"/>
  <c r="K100" i="16"/>
  <c r="K29" i="16"/>
  <c r="K17" i="16"/>
  <c r="I100" i="16"/>
  <c r="I29" i="16"/>
  <c r="I17" i="16"/>
  <c r="Q100" i="16"/>
  <c r="Q29" i="16"/>
  <c r="Q17" i="16"/>
  <c r="AB100" i="16"/>
  <c r="AB29" i="16"/>
  <c r="AB17" i="16"/>
  <c r="O100" i="16"/>
  <c r="O29" i="16"/>
  <c r="O17" i="16"/>
  <c r="AI100" i="16"/>
  <c r="AI29" i="16"/>
  <c r="AI17" i="16"/>
  <c r="AC100" i="16"/>
  <c r="AC29" i="16"/>
  <c r="AC17" i="16"/>
  <c r="AH100" i="16"/>
  <c r="AH29" i="16"/>
  <c r="AH17" i="16"/>
  <c r="X100" i="16"/>
  <c r="X29" i="16"/>
  <c r="X17" i="16"/>
  <c r="W100" i="16"/>
  <c r="W29" i="16"/>
  <c r="W17" i="16"/>
  <c r="V100" i="16"/>
  <c r="V29" i="16"/>
  <c r="V17" i="16"/>
  <c r="M100" i="16"/>
  <c r="M29" i="16"/>
  <c r="M17" i="16"/>
  <c r="P100" i="16"/>
  <c r="P29" i="16"/>
  <c r="P17" i="16"/>
  <c r="AJ100" i="16"/>
  <c r="AJ29" i="16"/>
  <c r="AJ17" i="16"/>
  <c r="AK100" i="16"/>
  <c r="AK29" i="16"/>
  <c r="AK17" i="16"/>
  <c r="J100" i="16"/>
  <c r="J29" i="16"/>
  <c r="J17" i="16"/>
  <c r="AD100" i="16"/>
  <c r="AD29" i="16"/>
  <c r="AD17" i="16"/>
  <c r="AE100" i="16"/>
  <c r="AE29" i="16"/>
  <c r="AE17" i="16"/>
  <c r="U100" i="16"/>
  <c r="U29" i="16"/>
  <c r="U17" i="16"/>
  <c r="N100" i="16"/>
  <c r="N29" i="16"/>
  <c r="N17" i="16"/>
  <c r="T100" i="16"/>
  <c r="T29" i="16"/>
  <c r="T17" i="16"/>
  <c r="AL100" i="16"/>
  <c r="AL29" i="16"/>
  <c r="AL17" i="16"/>
  <c r="Z100" i="16"/>
  <c r="Z29" i="16"/>
  <c r="Z17" i="16"/>
  <c r="I9" i="16"/>
  <c r="J9" i="16"/>
  <c r="K9" i="16"/>
  <c r="L9" i="16"/>
  <c r="M9" i="16"/>
  <c r="N9" i="16"/>
  <c r="O9" i="16"/>
  <c r="P9" i="16"/>
  <c r="Q9" i="16"/>
  <c r="R9" i="16"/>
  <c r="S9" i="16"/>
  <c r="T9" i="16"/>
  <c r="U9" i="16"/>
  <c r="V9" i="16"/>
  <c r="W9" i="16"/>
  <c r="X9" i="16"/>
  <c r="Y9" i="16"/>
  <c r="Z9" i="16"/>
  <c r="AA9" i="16"/>
  <c r="AB9" i="16"/>
  <c r="AC9" i="16"/>
  <c r="AD9" i="16"/>
  <c r="AE9" i="16"/>
  <c r="AF9" i="16"/>
  <c r="AG9" i="16"/>
  <c r="AH9" i="16"/>
  <c r="AI9" i="16"/>
  <c r="AJ9" i="16"/>
  <c r="AK9" i="16"/>
  <c r="H9" i="16"/>
  <c r="J9" i="19"/>
  <c r="J8" i="19"/>
  <c r="J10" i="19"/>
  <c r="AL9" i="16"/>
  <c r="O8" i="19"/>
  <c r="O10" i="19"/>
  <c r="H16" i="19"/>
  <c r="O16" i="19"/>
  <c r="O9" i="19"/>
  <c r="H17" i="19"/>
  <c r="O17" i="19"/>
  <c r="AM9" i="16"/>
  <c r="G100" i="16"/>
  <c r="F100" i="16"/>
  <c r="E100" i="16"/>
  <c r="AM29" i="16"/>
</calcChain>
</file>

<file path=xl/sharedStrings.xml><?xml version="1.0" encoding="utf-8"?>
<sst xmlns="http://schemas.openxmlformats.org/spreadsheetml/2006/main" count="3803" uniqueCount="252">
  <si>
    <t>Design Option Names</t>
  </si>
  <si>
    <t>Long Names</t>
  </si>
  <si>
    <t>EL 0</t>
  </si>
  <si>
    <t>EL 1</t>
  </si>
  <si>
    <t>EL 2</t>
  </si>
  <si>
    <t>EL 3</t>
  </si>
  <si>
    <t>EL 4</t>
  </si>
  <si>
    <t>EL 5</t>
  </si>
  <si>
    <t>EL 6</t>
  </si>
  <si>
    <t>Panel</t>
  </si>
  <si>
    <t>Centrif Housed</t>
  </si>
  <si>
    <t>Centrif Unhous</t>
  </si>
  <si>
    <t>Inline-Mixed</t>
  </si>
  <si>
    <t>Radial</t>
  </si>
  <si>
    <t>Power Roof Vent</t>
  </si>
  <si>
    <t>Short Names</t>
  </si>
  <si>
    <t>NIAplus (elec load)</t>
  </si>
  <si>
    <t>Commercial</t>
  </si>
  <si>
    <t>Industrial</t>
  </si>
  <si>
    <t>TSL Configuration</t>
  </si>
  <si>
    <t>1st Year</t>
  </si>
  <si>
    <t>#Years</t>
  </si>
  <si>
    <t>Discount factor</t>
  </si>
  <si>
    <t>Prc Index Scen</t>
  </si>
  <si>
    <t>NIAplus (benefits)</t>
  </si>
  <si>
    <t>Refence Benefits</t>
  </si>
  <si>
    <t>Low Benefits</t>
  </si>
  <si>
    <t>High Benefits</t>
  </si>
  <si>
    <t>Prc Elast</t>
  </si>
  <si>
    <t>Retail</t>
  </si>
  <si>
    <t>Use Std Shipm</t>
  </si>
  <si>
    <t>NIAplus</t>
  </si>
  <si>
    <t>EIA</t>
  </si>
  <si>
    <t>MIA</t>
  </si>
  <si>
    <t>Elasticity</t>
  </si>
  <si>
    <t>No</t>
  </si>
  <si>
    <t>AutoFit</t>
  </si>
  <si>
    <t>Base Price</t>
  </si>
  <si>
    <t>AEO Price Trends</t>
  </si>
  <si>
    <t>Reference</t>
  </si>
  <si>
    <t>Low Growth</t>
  </si>
  <si>
    <t>High Growth</t>
  </si>
  <si>
    <t>Energy Prices: High Growth</t>
  </si>
  <si>
    <t>Energy Prices: Low Growth</t>
  </si>
  <si>
    <t>Energy Prices: Reference</t>
  </si>
  <si>
    <t>Elec Site-to-Primary</t>
  </si>
  <si>
    <t>Perc of Elec Savings</t>
  </si>
  <si>
    <t>%</t>
  </si>
  <si>
    <t>Conversion Factors</t>
  </si>
  <si>
    <t>Com [Ventilation]</t>
  </si>
  <si>
    <t>MMBtu/kWh</t>
  </si>
  <si>
    <t>Ind [All Uses]</t>
  </si>
  <si>
    <t>Energy Conversion</t>
  </si>
  <si>
    <t>Site</t>
  </si>
  <si>
    <t>Site-to-Primary</t>
  </si>
  <si>
    <t>MMBtu/MMBtu</t>
  </si>
  <si>
    <t>Full-Fuel Cycle</t>
  </si>
  <si>
    <t>Prob of Survival</t>
  </si>
  <si>
    <t>Shipments for MIA</t>
  </si>
  <si>
    <t>Total Shipments</t>
  </si>
  <si>
    <t>Shipments by PC</t>
  </si>
  <si>
    <t>PC Mkt Shares</t>
  </si>
  <si>
    <t>BC Eff Distrib</t>
  </si>
  <si>
    <t>Affected Stock</t>
  </si>
  <si>
    <t>No-Stds Case</t>
  </si>
  <si>
    <t>Total Stock</t>
  </si>
  <si>
    <t>Stock by PC</t>
  </si>
  <si>
    <t>Price Elasticity</t>
  </si>
  <si>
    <t>Shipments</t>
  </si>
  <si>
    <t>Equipment Costs</t>
  </si>
  <si>
    <t>CSL 0</t>
  </si>
  <si>
    <t>CSL 1</t>
  </si>
  <si>
    <t>CSL 2</t>
  </si>
  <si>
    <t>CSL 3</t>
  </si>
  <si>
    <t>CSL 4</t>
  </si>
  <si>
    <t>CSL 5</t>
  </si>
  <si>
    <t>CSL 6</t>
  </si>
  <si>
    <t>Installation</t>
  </si>
  <si>
    <t>Maint &amp; Repair</t>
  </si>
  <si>
    <t>Energy Consumption</t>
  </si>
  <si>
    <t>kWh</t>
  </si>
  <si>
    <t>BC Eff Dist</t>
  </si>
  <si>
    <t>Unit Lifetime Costs and Energy Cons</t>
  </si>
  <si>
    <t>MMBtu</t>
  </si>
  <si>
    <t>[POL] Energy Consumption: Elec</t>
  </si>
  <si>
    <t>[POL] &amp; zEO &amp; " Costs"</t>
  </si>
  <si>
    <t>[POL] Equipment Costs</t>
  </si>
  <si>
    <t>[BC] Energy Consumption: Elec</t>
  </si>
  <si>
    <t>[BC] &amp; zEO &amp; " Costs"</t>
  </si>
  <si>
    <t>[BC] Equipment Costs</t>
  </si>
  <si>
    <t>No-Stds Case Efficiency Distribution</t>
  </si>
  <si>
    <t>Std Case Efficiency Distribution</t>
  </si>
  <si>
    <t>Mkt Avg LT Costs &amp; Energy Cons</t>
  </si>
  <si>
    <t>Mkt Avg Costs and Savings</t>
  </si>
  <si>
    <t>Net-Benefits</t>
  </si>
  <si>
    <t>Incr Equipment Costs</t>
  </si>
  <si>
    <t>Energy Savings</t>
  </si>
  <si>
    <t>Mkt Total Costs and Savings</t>
  </si>
  <si>
    <t>th MMBtu</t>
  </si>
  <si>
    <t>Economic Growth</t>
  </si>
  <si>
    <t>Discount Rate</t>
  </si>
  <si>
    <t>Analysis Period</t>
  </si>
  <si>
    <t>Price Trend</t>
  </si>
  <si>
    <t>TSL</t>
  </si>
  <si>
    <t>Compliance Year</t>
  </si>
  <si>
    <t>Number of Years</t>
  </si>
  <si>
    <t>National</t>
  </si>
  <si>
    <t>NPV</t>
  </si>
  <si>
    <t>quads</t>
  </si>
  <si>
    <t>Total</t>
  </si>
  <si>
    <t>Constant</t>
  </si>
  <si>
    <t>Incr</t>
  </si>
  <si>
    <t>Decr</t>
  </si>
  <si>
    <t>Analysis Period: Full</t>
  </si>
  <si>
    <t>Prod Class</t>
  </si>
  <si>
    <t>AEO Scen</t>
  </si>
  <si>
    <t>Disc Rate</t>
  </si>
  <si>
    <t>Operating Cost Savings</t>
  </si>
  <si>
    <t>Electricity</t>
  </si>
  <si>
    <t>Low</t>
  </si>
  <si>
    <t>High</t>
  </si>
  <si>
    <t>FFC Energy Savings</t>
  </si>
  <si>
    <t>Sum of FFC Energy Savings</t>
  </si>
  <si>
    <t>Data</t>
  </si>
  <si>
    <t>Sum of NPV</t>
  </si>
  <si>
    <t>Axial Cylindrical Housed</t>
  </si>
  <si>
    <t>Notes</t>
  </si>
  <si>
    <t>kWh/yr</t>
  </si>
  <si>
    <t>Example of the per unit average energy use in the standards-case EL 1 (see formula):</t>
  </si>
  <si>
    <t>Example of the per unit average energy use in the standards-case EL 2 (see formula):</t>
  </si>
  <si>
    <t>Optional compliance yrs</t>
  </si>
  <si>
    <t xml:space="preserve">Number of years </t>
  </si>
  <si>
    <t>All Equipment Classes</t>
  </si>
  <si>
    <t>Full</t>
  </si>
  <si>
    <t>Summary</t>
  </si>
  <si>
    <t xml:space="preserve">Summary of the main NIA results for all fan categories considered in the analysis. The user can adjust various parameters in the NIA from this worksheet to display results for a specific scenario. </t>
  </si>
  <si>
    <t>All Scenarios</t>
  </si>
  <si>
    <t>Summary of the main NIA results for all scenarios.</t>
  </si>
  <si>
    <t xml:space="preserve">Each worksheet uses the information from the LCC Inputs worksheet, as well as from the Lifetime, Energy Prices, Price Index and Shipments worksheets to calculate the total energy savings, incremental equipment costs, and energy costs savings over the considered analysis period. </t>
  </si>
  <si>
    <t xml:space="preserve">Shipments  </t>
  </si>
  <si>
    <t>Price Index</t>
  </si>
  <si>
    <t>Fans price projections used in the NIA.</t>
  </si>
  <si>
    <t>Lifetime</t>
  </si>
  <si>
    <t xml:space="preserve">Fan lifetime distributions used in the NIA. </t>
  </si>
  <si>
    <t>Energy Prices</t>
  </si>
  <si>
    <t xml:space="preserve">National energy price projection. </t>
  </si>
  <si>
    <t>LCC inputs</t>
  </si>
  <si>
    <t>Ducted Fans</t>
  </si>
  <si>
    <t>Unducted Fans</t>
  </si>
  <si>
    <t>Introduction</t>
  </si>
  <si>
    <t>LCC Inputs</t>
  </si>
  <si>
    <t>Energy Factors</t>
  </si>
  <si>
    <t>Energy Price</t>
  </si>
  <si>
    <t>This worksheet is an output of the LCC spreadsheet, and serves as an input to the NIA. Inputs include the collection of cost and energy use data for each equipment class and efficiency level, and the market efficiency distribution estimated for the base case.</t>
  </si>
  <si>
    <t>The National Impact Analysis (NIA) spreadsheet is used to analyze the impacts of potential standards for fans. The model calculates the total national energy savings (NES), incremental equipment costs, and energy costs savings over a given analysis period, with a given discount rate and for a considered efficiency level (EL). The main outputs are the cumulative energy savings and net present value (NPV) of a potential standard level. The various worksheets are as described below.</t>
  </si>
  <si>
    <t>Shipments 2012</t>
  </si>
  <si>
    <t>Shipments Year:</t>
  </si>
  <si>
    <t>Standalone Fans</t>
  </si>
  <si>
    <t>Subcategory</t>
  </si>
  <si>
    <t>TA</t>
  </si>
  <si>
    <t>VA</t>
  </si>
  <si>
    <t>P</t>
  </si>
  <si>
    <t>Centrifugal housed</t>
  </si>
  <si>
    <t>AF</t>
  </si>
  <si>
    <t>BC</t>
  </si>
  <si>
    <t>FC</t>
  </si>
  <si>
    <t>Centrifugal unhoused</t>
  </si>
  <si>
    <t>UC</t>
  </si>
  <si>
    <t>Inline and mixed flow</t>
  </si>
  <si>
    <t>CI</t>
  </si>
  <si>
    <t>MF</t>
  </si>
  <si>
    <t>RA</t>
  </si>
  <si>
    <t>Power Roof Ventilator</t>
  </si>
  <si>
    <t>APRV</t>
  </si>
  <si>
    <t>CPRV</t>
  </si>
  <si>
    <t xml:space="preserve">Total </t>
  </si>
  <si>
    <t>-</t>
  </si>
  <si>
    <t>HVACR Equipment</t>
  </si>
  <si>
    <t xml:space="preserve"> Commercial Packaged Air-Conditioning and Heating Equipment (Air-Cooled) </t>
  </si>
  <si>
    <t>Commercial Packaged Air-Conditioning and Heating Equipment (Water-Cooled, Evaporatively-Cooled, and Water-Source)</t>
  </si>
  <si>
    <t>Air Handling Units*</t>
  </si>
  <si>
    <t>Air cooled Chillers</t>
  </si>
  <si>
    <t>Capacity</t>
  </si>
  <si>
    <t>≥65,000 BTU/Hr and &lt;135,000 BTU/Hr ("Small")</t>
  </si>
  <si>
    <t>≥135,000 BTU/Hr and &lt;240,000 BTU/Hr ("large")</t>
  </si>
  <si>
    <t>≥240,000 BTU/Hr and &lt;760,000 BTU/Hr ("Very large")</t>
  </si>
  <si>
    <t>&lt;760,000 BTU/Hr</t>
  </si>
  <si>
    <t>all</t>
  </si>
  <si>
    <t>Supply</t>
  </si>
  <si>
    <t>Condenser</t>
  </si>
  <si>
    <t xml:space="preserve">            Percentage units with in scope condenser fans</t>
  </si>
  <si>
    <t>Return</t>
  </si>
  <si>
    <t>Exhaust</t>
  </si>
  <si>
    <t>All Applications</t>
  </si>
  <si>
    <t xml:space="preserve">Total Standalone fans </t>
  </si>
  <si>
    <t xml:space="preserve">Mfr </t>
  </si>
  <si>
    <t>Mfr_OEM*</t>
  </si>
  <si>
    <t>Standalone Fans (units)</t>
  </si>
  <si>
    <t>Standalone and Embedded Fans  (units)</t>
  </si>
  <si>
    <t>Mfr_OEM</t>
  </si>
  <si>
    <t>OEM 
(units)</t>
  </si>
  <si>
    <t>Fans per unit</t>
  </si>
  <si>
    <t>*Represents the standalone fans purchased by OEMs. Calculated based on the percentage of standalone fans purchased by OEMs in the corresponding equipment class. See Distribution channels in "Markup" worksheet in the LCC spreadsheet</t>
  </si>
  <si>
    <t xml:space="preserve">            Percentage units with a return fan</t>
  </si>
  <si>
    <t xml:space="preserve">            Percentage units with a exhaust fan</t>
  </si>
  <si>
    <t xml:space="preserve">            Percentage units with an in scope supply fan </t>
  </si>
  <si>
    <t>Embedded Fans*</t>
  </si>
  <si>
    <t>*Removed the HVACR fans that are already accounted for as Mfr_OEM fans. Assumed 0% Mfr_OEM axial cylindrical housed are going to non HVACR equipment (not a common fan in these equipment), assumed 100% of all other Mfr_OEM fans are going into HVACR equipment</t>
  </si>
  <si>
    <t>Percent to OEMs*</t>
  </si>
  <si>
    <t xml:space="preserve"> Commercial Packaged Air-Conditioning and Heating Equipment</t>
  </si>
  <si>
    <t xml:space="preserve"> Water-Cooled, Evaporatively-Cooled, and Water-Source</t>
  </si>
  <si>
    <t>Air-Cooled</t>
  </si>
  <si>
    <t xml:space="preserve">HVACR Fans </t>
  </si>
  <si>
    <t xml:space="preserve">             In scope  supply fans</t>
  </si>
  <si>
    <t xml:space="preserve">             In scope condenser fans </t>
  </si>
  <si>
    <t xml:space="preserve">             Return fans</t>
  </si>
  <si>
    <t xml:space="preserve">             Exhaust fans </t>
  </si>
  <si>
    <t>Total HVACR fans (units)</t>
  </si>
  <si>
    <t>Selected Application Fans (Units)</t>
  </si>
  <si>
    <t>Unit Equipment</t>
  </si>
  <si>
    <t>HVACR Equipment and Fans</t>
  </si>
  <si>
    <t>Fan Shipments for the year 2012 including the methodology used to develop shipments.</t>
  </si>
  <si>
    <t>Fan Shipment projections.</t>
  </si>
  <si>
    <r>
      <t xml:space="preserve">This worksheet presents the data and methodology used to estimate 2012 fan shipments of standalone and embedded fans. 
</t>
    </r>
    <r>
      <rPr>
        <b/>
        <sz val="10"/>
        <color theme="1"/>
        <rFont val="Calibri"/>
        <family val="2"/>
        <scheme val="minor"/>
      </rPr>
      <t>Standalone and Embedded Fans</t>
    </r>
    <r>
      <rPr>
        <sz val="10"/>
        <color theme="1"/>
        <rFont val="Calibri"/>
        <family val="2"/>
        <scheme val="minor"/>
      </rPr>
      <t xml:space="preserve">
This table summarizes the shipments estimates by equipment class and subcategory. The values of shipments of embedded fans were calculated as the difference between the total number of fans in HVACR equipment and the HVACR standalone fans purchased by original equipment manufacturers (OEMs), except in the case of axial cylindrical housed fans, see table footnote. DOE focused the embedded fans shipments data collection on a shortlist of HVACR equipment identified as representing the majority of the market. The HVACR equipment were identified based on data from the fan Working Group Subgroup (Subgroup, No.125.2 at p.1), AHRI standards, technical and market reports, as well as data from nine major HVACR equipment catalogs.
</t>
    </r>
    <r>
      <rPr>
        <b/>
        <sz val="10"/>
        <color theme="1"/>
        <rFont val="Calibri"/>
        <family val="2"/>
        <scheme val="minor"/>
      </rPr>
      <t>Standalone Fans</t>
    </r>
    <r>
      <rPr>
        <sz val="10"/>
        <color theme="1"/>
        <rFont val="Calibri"/>
        <family val="2"/>
        <scheme val="minor"/>
      </rPr>
      <t xml:space="preserve">
This tables presents the standalone fan shipments dissagregated by standalone fans not purchased by OEMs (Mfr),  and standalone fans purchased by OEMs (Mfr_OEM). The data was estimated based on data from AMCA.
</t>
    </r>
    <r>
      <rPr>
        <b/>
        <sz val="10"/>
        <color theme="1"/>
        <rFont val="Calibri"/>
        <family val="2"/>
        <scheme val="minor"/>
      </rPr>
      <t>HVACR Equipment Fans (Heating Ventilation Air-conditionning and Refrigeration)</t>
    </r>
    <r>
      <rPr>
        <sz val="10"/>
        <color theme="1"/>
        <rFont val="Calibri"/>
        <family val="2"/>
        <scheme val="minor"/>
      </rPr>
      <t xml:space="preserve">
This table details the data and bottom up calculations used to determine the number of HVACR fans. DOE  estimated 1) the number of HVACR equipment unit sold in 2012; 2) the typical average percentage of units with either a supply, condenser, return, or/and exhaust fans in scope; 3) the typical number of fans per unit and application; and 4)  the the typical distribution of blade designs (subcategory) used in HVACR equipment, by fan application. DOE used these estimates to calculate the total number of HVACR fans by subcategory.
</t>
    </r>
    <r>
      <rPr>
        <b/>
        <sz val="10"/>
        <color theme="1"/>
        <rFont val="Calibri"/>
        <family val="2"/>
        <scheme val="minor"/>
      </rPr>
      <t xml:space="preserve">
Sources:</t>
    </r>
    <r>
      <rPr>
        <sz val="10"/>
        <color theme="1"/>
        <rFont val="Calibri"/>
        <family val="2"/>
        <scheme val="minor"/>
      </rPr>
      <t xml:space="preserve">
IHS Technology (March 2014), Fans and Blowers, World, 2014. 
Air Movement and Control Association (AMCA). "2012 Confidential Fan Sales Data." May 2014. (18 manufacturers)
ASRAC Commercial and Industrial Fan Working Group Subgroup (Subgroup, No.125.2 at p.1)
Global Trends in Air Conditioning. January 2013. BSRIA. 
Ventilation Equipment, A United States Market Overview. May 2011. Industry Experts.
Air-conditioning, heating and refrigeration institute Industry standards. January 2016. Available online at http://www.ahrinet.org/site/686/Standards/HVACR-Industry-Standards/Search-Standards 
Energy Consumption Characteristics of Commercial Building HVAC Systems. Volume I: Chillers, Refrigerant Compressors, and Heating Systems. April 2001. Prepared for the U.S. Department of Energy Office of Energy Efficiency and Renewable Energy Building Technologies Office by Arthur D. Little, Inc. 
Opportunities for Energy Savings in the Residential and Commercial Sectors with High-Efficiency Electric Motors. December 1999. Prepared for the US. Department of energy by Arthur D. Little, Inc.; 
Energy Savings Potential and Opportunities for High-Efficiency Electric Motors in Residential and Commercial Equipment. December 2013. Prepared for the U.S. Department of Energy Office of Energy Efficiency and Renewable Energy Building Technologies Office by Navigant Consulting, Inc.;
Pump and Fan Technology Characterization and R&amp;D Assessment. October 2015. Prepared for the U.S. Department of Energy Office of Energy Efficiency and Renewable Energy Building Technologies Office by Navigant Consulting, Inc; 
U.S. Department of Energy–Office of Energy Efficiency and Renewable Energy, Energy Conservation Program for Certain Industrial Equipment: Energy Conservation Standards for Water-Cooled and Evaporatively-Cooled Commercial Packaged Air-Conditioning and Heating Equipment. Final Rule Technical Support Document, Chapter 7 Shipments Analysis, 2012. https://www.regulations.gov/#!documentDetail;D=EERE-2011-BT-STD-0029-0039; and
Review of nine major Heating, ventilation, air-conditioning and refrigeration equipment (HVACR) manufacturer catalogs.</t>
    </r>
  </si>
  <si>
    <r>
      <t xml:space="preserve">The Price Index is used to project the current equipment price relative to future years. In the reference scenario, DOE uses a constant price index. In addition, DOE provides two alternative price index projections (low and high) to be used as a sensitivity analysis.
</t>
    </r>
    <r>
      <rPr>
        <b/>
        <sz val="11"/>
        <rFont val="Calibri"/>
        <family val="2"/>
        <scheme val="minor"/>
      </rPr>
      <t xml:space="preserve">
Sources:</t>
    </r>
    <r>
      <rPr>
        <sz val="11"/>
        <rFont val="Calibri"/>
        <family val="2"/>
        <scheme val="minor"/>
      </rPr>
      <t xml:space="preserve">
Energy Information Administration, Annual Energy Outlook 2015 with Projections to 2040 (2015), "Chained Price Index—Industrial Equipment". Washington, DC.  
Bureau of Labor Statistics, Producer Prices Indexes http://www.bls.gov/ppi/data.htm for Commerical and Industrial Fans and Blowers, Series ID (PCU3334133334132). Accessed August 2015.</t>
    </r>
  </si>
  <si>
    <r>
      <t xml:space="preserve">These lifetimes are expressed in the form of a survival function which is used in the stock calculation (see Shipments worksheet). These average survival functions were derived from the LCC results and represent the survival functions corresponding to the average lifetimes in years for each fan category. 
</t>
    </r>
    <r>
      <rPr>
        <b/>
        <sz val="11"/>
        <rFont val="Calibri"/>
        <family val="2"/>
        <scheme val="minor"/>
      </rPr>
      <t xml:space="preserve">
</t>
    </r>
  </si>
  <si>
    <t>Axial Cyl Housed</t>
  </si>
  <si>
    <t xml:space="preserve">These tables summarize the LCC results used as inputs to the NIA calculations.
- Retail Price 
This table presents the average consumer price of a fan in the no standard case and in each standards case considered, depending on its efficiency level.
- Installation Costs: 
DOE assumed that there is no increase in installation costs across ELs, therefore installation costs are not included in the incremental equipment costs calculation.
- Maintenance and Repair Costs: 
DOE assumed that there is no increase in maintenance and repair costs across ELs, therefore maintenance and repair costs are not included in the incremental equipment costs calculation.
- Energy Consumption: 
This table presents the average unit energy consumption in the base-case and in each standards-case considered. For example, based on the LCC sample, in the base-case (i.e. "zero" percent market cut off or EL0), axial cylindrical housed fans meeting EL1 have an average unit energy consumption of 42,982 kWh (THIS MAY CHANGE) per year. In the standards-case EL1, the average unit energy consumption of axial cylindrical housed fans at EL 1 is 22,085 kWh/ year, and there are no more fans at EL0.  This is used in the energy savings calculation. Combined with the efficiency distributions, this allows calculating the average unit energy consumption in the base-case and in the different standards case as follows:
Example of the per unit average energy use in the no standards case (see formula): 
</t>
  </si>
  <si>
    <t>- BC Eff Dist (Base-Case or No standards case Efficiency Distributions):</t>
  </si>
  <si>
    <t>This provides the estimated no standards case efficiency distribution (in the absence of new standards) in 2022 (compliance year used in the analysis). The standards-case efficiency distributions were then calculated for each EL assuming a “roll-up” scenario. DOE assumed that equipment with efficiencies in the no standards case that did not meet the potential standard level under consideration would “roll-up” to meet the new standard level. Equipment efficiencies in the no standards case that were above the standard level under consideration are assumed to not be affected. This is true for all standards-case scenarios.</t>
  </si>
  <si>
    <t>Total Sum of FFC Energy Savings</t>
  </si>
  <si>
    <t>Total Sum of NPV</t>
  </si>
  <si>
    <t>Energy Savings*</t>
  </si>
  <si>
    <t>FFC</t>
  </si>
  <si>
    <t>Efficiency Level</t>
  </si>
  <si>
    <t xml:space="preserve">
The efficiency targets associated to each efficiency level (EL) are as follows:
                                        EL1               EL2               EL3              EL4               EL5               EL6
              Ducted             0.58             0.62              0.66            0.70             0.74                 0.86
              Unducted        0.54             0.58              0.62            0.66             0.70                 0.82</t>
  </si>
  <si>
    <t xml:space="preserve">Perc of total </t>
  </si>
  <si>
    <t xml:space="preserve">This summary table displays the NIA results for the selected scenario. A scenario is based on a combination of the following parameters: Economic Growth (based on AEO Refence, High and Low projections); Discount rate (3% or 7%); Analysis period (full, 30 years or short, 9 years); Price Trend (Constant, Decrease, Increase); Price Elasticity (none or -0.5); Efficiency Level (1 to 6); and Compliance Year (2022 and 2023)
The NPV is the difference between total energy cost savings and increases in total equipment costs.
* Energy Savings: Site Energy: Energy at the point-of-use; Primary Energy: Energy at the power plant (associated with generation, transmission, and distribution of energy); and FFC Energy: Full Fuel Cycle Energy (associated with  the energy consumed in extracting, processing, and transporting or distributing primary fuels). 
</t>
  </si>
  <si>
    <t>Air Handling Units</t>
  </si>
  <si>
    <t xml:space="preserve">* Note: in this spreadsheet: CSL and EL are used interchangeably (Efficiency Level or Candidate Standard Level). The TSLs (Trial standard levels) are formed of corresponding Els and are also equivalent. </t>
  </si>
  <si>
    <t>HVACR fan Distribution Across Sub category, aggregated and for each Fan Application (for display in row 60-72)</t>
  </si>
  <si>
    <r>
      <t xml:space="preserve">These tables present the average electricity price estimates used to calculate the operating cost savings. 
DOE used a weighted average electricity price, weighted by overall fan energy consumption (kWh) in the industrial and commercial sectors. Based on the results of the LCC, DOE used weights of 78% (commercial) and 22% (industrial). 
Electricity prices  were derived using 2014 typical billing data from Edison Electric Institute (EEI) and projections of electricity prices were based on forecasts from AEO 2015 for 2020-2040 (Reference, Low and High growth scenarios).
</t>
    </r>
    <r>
      <rPr>
        <b/>
        <sz val="11"/>
        <rFont val="Calibri"/>
        <family val="2"/>
        <scheme val="minor"/>
      </rPr>
      <t xml:space="preserve">
Sources: </t>
    </r>
    <r>
      <rPr>
        <sz val="11"/>
        <rFont val="Calibri"/>
        <family val="2"/>
        <scheme val="minor"/>
      </rPr>
      <t xml:space="preserve">
U.S. Energy Information Administration. Annual Energy Outlook 2015 (2015). (Last Accessed February 2016) (Available at: http://www.eia.gov/forecasts/aeo/).
EEI 2014 typical billing data
</t>
    </r>
  </si>
  <si>
    <t xml:space="preserve">This worksheet includes the following tables:
- Shipments: shipment projections used in the analysis
- Stock: accumulated shipments sold each year of the analysis period that are in operation
- Market Shares: estimated market shares for each equipment class
To populate the model with current data, DOE used a total fan shipments estimate of 1,179,133 units in 2012 (see "Shipments 2012" worksheet for more details). 
For the NIA, DOE then established separate shipment projections for the industrial and the commercial sector. In 2012, the share of standalone fans sold to the commercial sector was estimated to approximately 88% of units. All embedded fans were assumed to be commercial fans.
Projections were based on the following indicators, depending on the market segment: 
(1) Industrial sector:  Fixed investments in equipment and structures including fans; 
(2) Commercial sector, new buildings: AEO new commercial floor space index; and 
(3) Commercial sector, existing buildings: Fixed investments in existing structures including fans.  
Depending on the AEO  scenario used for establishing these indicators, DOE derived Reference, High, and Low shipments projections. 
Shipments are assumed to have zero price elasticity and zero price cross-elasticity under standards cases.  As a sensitivity analysis, DOE applied an alternative option assuming fans have a price elasticity of demand of -0.5.  This measures  the change in consumer demand of a fan, relative to the change in price of a fan. Therefore indicating that an increase in fan consumer price, will result in a decrease in the volume of fan shipments. 
Sources:
U.S. Census Bureau (June 2014), Manufacturing Subject Series and Annual Survey of Manufacturers for Industrial and Commercial Fan and Blower Manufacturing – 1997 through 2011. NAICS 333412.  http://factfinder2.census.gov 
U.S. Department of Energy-Energy Information Administration (June 2015), Annual Energy Outlook 2015 Macroeconomic Indicators, Commercial Sector Key Indicators and Consumption, Washington, DC. Retrieved June 2015 from http://www.eia.gov/forecasts/aeo/ 
Bureau of Economic Analysis (June 3, 2014), Private Fixed Investment in Equipment by Type and Private Fixed Investment in Structures by Type. http://www.bea.gov/iTable/iTable.cfm?ReqID=12&amp;step=1  
Bureau of Labor Statistics, Producer Prices Indexes http://www.bls.gov/ppi/data.htm for Commerical and Industrial Fans and Blowers, Series ID (PCU3334133334132). Accessed August 2015.
</t>
  </si>
  <si>
    <t>HVACR Fans by Subcategory (in each equipment)</t>
  </si>
  <si>
    <t>Select Fan Application (for display in table below) :</t>
  </si>
  <si>
    <t>Generated by Sanaee Iyama on 10/18/2016 at 4:00:22 PM</t>
  </si>
  <si>
    <t>Annual Growth</t>
  </si>
  <si>
    <t>Base</t>
  </si>
  <si>
    <t>HVAC %</t>
  </si>
  <si>
    <t>&gt;760,000 BTU/Hr</t>
  </si>
  <si>
    <t>CH</t>
  </si>
  <si>
    <t>Total Percent</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</si>
</sst>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00"/>
    <numFmt numFmtId="166" formatCode="0.00000"/>
    <numFmt numFmtId="167" formatCode="0.0"/>
    <numFmt numFmtId="168" formatCode="_(* #,##0_);_(* \(#,##0\);_(* &quot;-&quot;??_);_(@_)"/>
    <numFmt numFmtId="169" formatCode="[$-409]mmm\-yy;@"/>
    <numFmt numFmtId="170" formatCode="_-* #,##0.00_-;\-* #,##0.00_-;_-* &quot;-&quot;??_-;_-@_-"/>
    <numFmt numFmtId="171" formatCode="&quot;&quot;\ #\ ##0_-;&quot;&quot;\ \-#\ ##0_-"/>
    <numFmt numFmtId="172" formatCode="&quot;&quot;\ #,##0.0_-;&quot;&quot;\ \-#,##0.0_-"/>
    <numFmt numFmtId="173" formatCode="&quot;&quot;\ #,##0.00_-;&quot;&quot;\ \-#,##0.00_-"/>
    <numFmt numFmtId="174" formatCode="&quot;&quot;\ #\ ##0_-;&quot;&quot;\ \-#\ ##0_-"/>
    <numFmt numFmtId="175" formatCode="&quot;&quot;\ #,##0.0_-;&quot;&quot;\ \-#,##0.0_-"/>
    <numFmt numFmtId="176" formatCode="&quot;&quot;\ #,##0.00_-;&quot;&quot;\ \-#,##0.00_-"/>
    <numFmt numFmtId="177" formatCode="#\ ##0_-;\-#\ ##0_-;_-0_-;_-@_ "/>
    <numFmt numFmtId="178" formatCode="#\ ##0.0_-;\-#\ ##0.0_-;_-0.0_-;_-@_ "/>
    <numFmt numFmtId="179" formatCode="#\ ##0.00_-;\-#\ ##0.00_-;_-0.00_-;_-@_ "/>
    <numFmt numFmtId="180" formatCode="[$€]\ #,##0"/>
    <numFmt numFmtId="181" formatCode="[$-409]mmm/yy;@"/>
    <numFmt numFmtId="182" formatCode="&quot;&quot;\ #\ ##0_-;&quot;&quot;\ \-#\ ##0_-"/>
    <numFmt numFmtId="183" formatCode="&quot;&quot;\ #,##0.0_-;&quot;&quot;\ \-#,##0.0_-"/>
    <numFmt numFmtId="184" formatCode="&quot;&quot;\ #,##0.00_-;&quot;&quot;\ \-#,##0.00_-"/>
    <numFmt numFmtId="185" formatCode="&quot;&quot;\ #\ ##0_-;&quot;&quot;\ \-#\ ##0_-"/>
    <numFmt numFmtId="186" formatCode="&quot;&quot;\ #,##0.0_-;&quot;&quot;\ \-#,##0.0_-"/>
    <numFmt numFmtId="187" formatCode="&quot;&quot;\ #,##0.00_-;&quot;&quot;\ \-#,##0.00_-"/>
    <numFmt numFmtId="188" formatCode="_-* #,##0_-;\-* #,##0_-;_-* &quot;-&quot;_-;_-@_-"/>
    <numFmt numFmtId="189" formatCode="0.0000"/>
    <numFmt numFmtId="190" formatCode="#,##0.000"/>
    <numFmt numFmtId="191" formatCode="_(* #,##0.0_);_(* \(#,##0.0\);_(* &quot;-&quot;??_);_(@_)"/>
  </numFmts>
  <fonts count="100">
    <font>
      <sz val="11"/>
      <color theme="1"/>
      <name val="Calibri"/>
      <family val="2"/>
      <scheme val="minor"/>
    </font>
    <font>
      <b/>
      <sz val="11"/>
      <color theme="1"/>
      <name val="Calibri"/>
      <family val="2"/>
      <scheme val="minor"/>
    </font>
    <font>
      <i/>
      <sz val="11"/>
      <color theme="1"/>
      <name val="Calibri"/>
      <family val="2"/>
      <scheme val="minor"/>
    </font>
    <font>
      <sz val="11"/>
      <color rgb="FFC0C0C0"/>
      <name val="Calibri"/>
      <family val="2"/>
      <scheme val="minor"/>
    </font>
    <font>
      <b/>
      <sz val="11"/>
      <color indexed="9"/>
      <name val="Calibri"/>
      <family val="2"/>
      <scheme val="minor"/>
    </font>
    <font>
      <sz val="11"/>
      <color indexed="9"/>
      <name val="Calibri"/>
      <family val="2"/>
      <scheme val="minor"/>
    </font>
    <font>
      <i/>
      <sz val="11"/>
      <color indexed="9"/>
      <name val="Calibri"/>
      <family val="2"/>
      <scheme val="minor"/>
    </font>
    <font>
      <b/>
      <i/>
      <sz val="11"/>
      <color indexed="9"/>
      <name val="Calibri"/>
      <family val="2"/>
      <scheme val="minor"/>
    </font>
    <font>
      <sz val="11"/>
      <color theme="1"/>
      <name val="Calibri"/>
      <family val="2"/>
      <scheme val="minor"/>
    </font>
    <font>
      <sz val="11"/>
      <name val="Calibri"/>
      <family val="2"/>
      <scheme val="minor"/>
    </font>
    <font>
      <b/>
      <i/>
      <sz val="11"/>
      <color theme="1"/>
      <name val="Calibri"/>
      <family val="2"/>
      <scheme val="minor"/>
    </font>
    <font>
      <sz val="11"/>
      <color rgb="FFFF0000"/>
      <name val="Calibri"/>
      <family val="2"/>
      <scheme val="minor"/>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8"/>
      <name val="Calibri"/>
      <family val="2"/>
      <scheme val="minor"/>
    </font>
    <font>
      <sz val="12"/>
      <name val="Lucida"/>
    </font>
    <font>
      <sz val="10"/>
      <name val="Arial"/>
      <family val="2"/>
    </font>
    <font>
      <sz val="10"/>
      <color indexed="8"/>
      <name val="Arial"/>
      <family val="2"/>
    </font>
    <font>
      <b/>
      <sz val="10"/>
      <name val="Arial"/>
      <family val="2"/>
    </font>
    <font>
      <sz val="7"/>
      <name val="Tahoma"/>
      <family val="2"/>
    </font>
    <font>
      <sz val="8"/>
      <name val="Calibri"/>
      <family val="2"/>
    </font>
    <font>
      <sz val="10"/>
      <name val="Times New Roman"/>
      <family val="1"/>
    </font>
    <font>
      <sz val="8"/>
      <color theme="1"/>
      <name val="Calibri"/>
      <family val="2"/>
    </font>
    <font>
      <sz val="11"/>
      <color indexed="8"/>
      <name val="Calibri"/>
      <family val="2"/>
    </font>
    <font>
      <sz val="11"/>
      <color indexed="9"/>
      <name val="Calibri"/>
      <family val="2"/>
    </font>
    <font>
      <sz val="11"/>
      <color indexed="20"/>
      <name val="Calibri"/>
      <family val="2"/>
    </font>
    <font>
      <sz val="11"/>
      <color indexed="29"/>
      <name val="Calibri"/>
      <family val="2"/>
    </font>
    <font>
      <b/>
      <sz val="11"/>
      <color indexed="52"/>
      <name val="Calibri"/>
      <family val="2"/>
    </font>
    <font>
      <b/>
      <sz val="11"/>
      <color indexed="9"/>
      <name val="Calibri"/>
      <family val="2"/>
    </font>
    <font>
      <sz val="8"/>
      <color theme="1"/>
      <name val="TheSansOffice"/>
      <family val="2"/>
    </font>
    <font>
      <sz val="7.5"/>
      <name val="Century Schoolbook"/>
      <family val="1"/>
    </font>
    <font>
      <i/>
      <sz val="11"/>
      <color indexed="23"/>
      <name val="Calibri"/>
      <family val="2"/>
    </font>
    <font>
      <sz val="11"/>
      <color indexed="17"/>
      <name val="Calibri"/>
      <family val="2"/>
    </font>
    <font>
      <b/>
      <sz val="8"/>
      <name val="Arial"/>
      <family val="2"/>
    </font>
    <font>
      <b/>
      <sz val="15"/>
      <color indexed="62"/>
      <name val="Calibri"/>
      <family val="2"/>
    </font>
    <font>
      <b/>
      <sz val="15"/>
      <color indexed="62"/>
      <name val="Tahoma"/>
      <family val="2"/>
    </font>
    <font>
      <b/>
      <sz val="13"/>
      <color indexed="62"/>
      <name val="Calibri"/>
      <family val="2"/>
    </font>
    <font>
      <b/>
      <sz val="13"/>
      <color indexed="62"/>
      <name val="Tahoma"/>
      <family val="2"/>
    </font>
    <font>
      <b/>
      <sz val="11"/>
      <color indexed="62"/>
      <name val="Calibri"/>
      <family val="2"/>
    </font>
    <font>
      <b/>
      <sz val="11"/>
      <color indexed="62"/>
      <name val="Tahoma"/>
      <family val="2"/>
    </font>
    <font>
      <u/>
      <sz val="10"/>
      <color indexed="22"/>
      <name val="Arial"/>
      <family val="2"/>
    </font>
    <font>
      <u/>
      <sz val="8"/>
      <color theme="10"/>
      <name val="Calibri"/>
      <family val="2"/>
    </font>
    <font>
      <u/>
      <sz val="8"/>
      <color indexed="12"/>
      <name val="Arial"/>
      <family val="2"/>
    </font>
    <font>
      <u/>
      <sz val="8"/>
      <color theme="10"/>
      <name val="Calibri"/>
      <family val="2"/>
      <scheme val="minor"/>
    </font>
    <font>
      <sz val="11"/>
      <color indexed="62"/>
      <name val="Calibri"/>
      <family val="2"/>
    </font>
    <font>
      <sz val="11"/>
      <color indexed="52"/>
      <name val="Calibri"/>
      <family val="2"/>
    </font>
    <font>
      <sz val="11"/>
      <color indexed="31"/>
      <name val="Calibri"/>
      <family val="2"/>
    </font>
    <font>
      <sz val="11"/>
      <color indexed="60"/>
      <name val="Calibri"/>
      <family val="2"/>
    </font>
    <font>
      <sz val="8"/>
      <color theme="1"/>
      <name val="Calibri"/>
      <family val="2"/>
      <scheme val="minor"/>
    </font>
    <font>
      <sz val="8"/>
      <name val="Arial CE"/>
      <charset val="238"/>
    </font>
    <font>
      <b/>
      <sz val="11"/>
      <color indexed="63"/>
      <name val="Calibri"/>
      <family val="2"/>
    </font>
    <font>
      <sz val="10"/>
      <color indexed="8"/>
      <name val="MS Sans Serif"/>
      <family val="2"/>
    </font>
    <font>
      <u/>
      <sz val="10"/>
      <color indexed="36"/>
      <name val="Times New Roman"/>
      <family val="1"/>
    </font>
    <font>
      <b/>
      <sz val="10"/>
      <name val="Helv"/>
    </font>
    <font>
      <b/>
      <sz val="18"/>
      <color indexed="62"/>
      <name val="Cambria"/>
      <family val="2"/>
    </font>
    <font>
      <b/>
      <sz val="11"/>
      <color indexed="8"/>
      <name val="Calibri"/>
      <family val="2"/>
    </font>
    <font>
      <b/>
      <sz val="7"/>
      <color indexed="8"/>
      <name val="Tahoma"/>
      <family val="2"/>
    </font>
    <font>
      <sz val="11"/>
      <color indexed="10"/>
      <name val="Calibri"/>
      <family val="2"/>
    </font>
    <font>
      <sz val="11"/>
      <name val="Times New Roman Greek"/>
      <charset val="161"/>
    </font>
    <font>
      <u/>
      <sz val="11"/>
      <color indexed="12"/>
      <name val="ＭＳ 明朝"/>
      <family val="1"/>
      <charset val="128"/>
    </font>
    <font>
      <u/>
      <sz val="9"/>
      <color indexed="12"/>
      <name val="ＭＳ 明朝"/>
      <family val="1"/>
      <charset val="128"/>
    </font>
    <font>
      <u/>
      <sz val="11"/>
      <color indexed="12"/>
      <name val="ＭＳ Ｐゴシック"/>
      <family val="3"/>
      <charset val="128"/>
    </font>
    <font>
      <sz val="11"/>
      <name val="ＭＳ Ｐゴシック"/>
      <family val="3"/>
      <charset val="128"/>
    </font>
    <font>
      <sz val="12"/>
      <name val="ＭＳ 明朝"/>
      <family val="1"/>
      <charset val="128"/>
    </font>
    <font>
      <u/>
      <sz val="11"/>
      <color indexed="20"/>
      <name val="ＭＳ 明朝"/>
      <family val="1"/>
      <charset val="128"/>
    </font>
    <font>
      <sz val="9"/>
      <color indexed="8"/>
      <name val="Calibri"/>
      <family val="2"/>
    </font>
    <font>
      <sz val="8"/>
      <color indexed="8"/>
      <name val="Arial"/>
      <family val="2"/>
    </font>
    <font>
      <sz val="10"/>
      <color theme="0"/>
      <name val="Arial"/>
      <family val="2"/>
    </font>
    <font>
      <b/>
      <sz val="15"/>
      <color indexed="56"/>
      <name val="Calibri"/>
      <family val="2"/>
    </font>
    <font>
      <b/>
      <sz val="13"/>
      <color indexed="56"/>
      <name val="Calibri"/>
      <family val="2"/>
    </font>
    <font>
      <b/>
      <sz val="13"/>
      <color theme="3"/>
      <name val="Arial"/>
      <family val="2"/>
    </font>
    <font>
      <b/>
      <sz val="11"/>
      <color indexed="56"/>
      <name val="Calibri"/>
      <family val="2"/>
    </font>
    <font>
      <b/>
      <sz val="11"/>
      <color theme="3"/>
      <name val="Arial"/>
      <family val="2"/>
    </font>
    <font>
      <sz val="10"/>
      <color theme="1"/>
      <name val="Arial"/>
      <family val="2"/>
    </font>
    <font>
      <sz val="10"/>
      <color indexed="64"/>
      <name val="Arial"/>
      <family val="2"/>
    </font>
    <font>
      <b/>
      <sz val="18"/>
      <color indexed="56"/>
      <name val="Cambria"/>
      <family val="2"/>
    </font>
    <font>
      <sz val="11"/>
      <name val="Calibri Light"/>
      <family val="2"/>
      <scheme val="major"/>
    </font>
    <font>
      <sz val="11"/>
      <color theme="0"/>
      <name val="Calibri   "/>
    </font>
    <font>
      <b/>
      <sz val="11"/>
      <name val="Calibri"/>
      <family val="2"/>
      <scheme val="minor"/>
    </font>
    <font>
      <sz val="10"/>
      <color theme="1"/>
      <name val="Calibri"/>
      <family val="2"/>
      <scheme val="minor"/>
    </font>
    <font>
      <b/>
      <sz val="10"/>
      <color theme="1"/>
      <name val="Calibri"/>
      <family val="2"/>
      <scheme val="minor"/>
    </font>
    <font>
      <sz val="10"/>
      <name val="Calibri"/>
      <family val="2"/>
      <scheme val="minor"/>
    </font>
    <font>
      <sz val="10"/>
      <color theme="0" tint="-0.14999847407452621"/>
      <name val="Calibri"/>
      <family val="2"/>
      <scheme val="minor"/>
    </font>
    <font>
      <u/>
      <sz val="10"/>
      <color theme="1"/>
      <name val="Calibri"/>
      <family val="2"/>
      <scheme val="minor"/>
    </font>
    <font>
      <sz val="10"/>
      <color theme="0" tint="-0.499984740745262"/>
      <name val="Calibri"/>
      <family val="2"/>
      <scheme val="minor"/>
    </font>
    <font>
      <sz val="10"/>
      <color theme="0"/>
      <name val="Calibri"/>
      <family val="2"/>
      <scheme val="minor"/>
    </font>
    <font>
      <u/>
      <sz val="11"/>
      <color theme="10"/>
      <name val="Calibri"/>
      <family val="2"/>
      <scheme val="minor"/>
    </font>
    <font>
      <u/>
      <sz val="11"/>
      <color theme="11"/>
      <name val="Calibri"/>
      <family val="2"/>
      <scheme val="minor"/>
    </font>
  </fonts>
  <fills count="73">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30"/>
        <bgColor indexed="64"/>
      </patternFill>
    </fill>
    <fill>
      <patternFill patternType="solid">
        <fgColor indexed="44"/>
        <bgColor indexed="64"/>
      </patternFill>
    </fill>
    <fill>
      <patternFill patternType="solid">
        <fgColor rgb="FFDCF0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patternFill>
    </fill>
    <fill>
      <patternFill patternType="solid">
        <fgColor indexed="9"/>
      </patternFill>
    </fill>
    <fill>
      <patternFill patternType="solid">
        <fgColor indexed="46"/>
      </patternFill>
    </fill>
    <fill>
      <patternFill patternType="solid">
        <fgColor indexed="47"/>
      </patternFill>
    </fill>
    <fill>
      <patternFill patternType="solid">
        <fgColor indexed="45"/>
      </patternFill>
    </fill>
    <fill>
      <patternFill patternType="solid">
        <fgColor indexed="26"/>
      </patternFill>
    </fill>
    <fill>
      <patternFill patternType="solid">
        <fgColor indexed="44"/>
      </patternFill>
    </fill>
    <fill>
      <patternFill patternType="solid">
        <fgColor indexed="27"/>
      </patternFill>
    </fill>
    <fill>
      <patternFill patternType="solid">
        <fgColor indexed="43"/>
      </patternFill>
    </fill>
    <fill>
      <patternFill patternType="solid">
        <fgColor indexed="42"/>
      </patternFill>
    </fill>
    <fill>
      <patternFill patternType="solid">
        <fgColor indexed="49"/>
      </patternFill>
    </fill>
    <fill>
      <patternFill patternType="solid">
        <fgColor indexed="28"/>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14"/>
      </patternFill>
    </fill>
    <fill>
      <patternFill patternType="solid">
        <fgColor indexed="55"/>
      </patternFill>
    </fill>
    <fill>
      <patternFill patternType="solid">
        <fgColor rgb="FFFFC000"/>
        <bgColor indexed="64"/>
      </patternFill>
    </fill>
    <fill>
      <patternFill patternType="solid">
        <fgColor indexed="31"/>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51"/>
        <bgColor indexed="64"/>
      </patternFill>
    </fill>
    <fill>
      <patternFill patternType="solid">
        <fgColor rgb="FFFFFFFF"/>
        <bgColor indexed="64"/>
      </patternFill>
    </fill>
    <fill>
      <patternFill patternType="solid">
        <fgColor theme="0" tint="-0.499984740745262"/>
        <bgColor indexed="64"/>
      </patternFill>
    </fill>
    <fill>
      <patternFill patternType="solid">
        <fgColor theme="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tint="-0.14999847407452621"/>
        <bgColor indexed="64"/>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2"/>
      </bottom>
      <diagonal/>
    </border>
    <border>
      <left/>
      <right/>
      <top/>
      <bottom style="thick">
        <color indexed="49"/>
      </bottom>
      <diagonal/>
    </border>
    <border>
      <left/>
      <right/>
      <top/>
      <bottom style="thick">
        <color indexed="46"/>
      </bottom>
      <diagonal/>
    </border>
    <border>
      <left/>
      <right/>
      <top/>
      <bottom style="thick">
        <color indexed="22"/>
      </bottom>
      <diagonal/>
    </border>
    <border>
      <left/>
      <right/>
      <top/>
      <bottom style="medium">
        <color indexed="42"/>
      </bottom>
      <diagonal/>
    </border>
    <border>
      <left/>
      <right/>
      <top/>
      <bottom style="medium">
        <color indexed="49"/>
      </bottom>
      <diagonal/>
    </border>
    <border>
      <left/>
      <right/>
      <top/>
      <bottom style="double">
        <color indexed="52"/>
      </bottom>
      <diagonal/>
    </border>
    <border>
      <left/>
      <right style="dotted">
        <color auto="1"/>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2"/>
      </top>
      <bottom style="double">
        <color indexed="42"/>
      </bottom>
      <diagonal/>
    </border>
    <border>
      <left/>
      <right/>
      <top/>
      <bottom style="dashed">
        <color rgb="FFBFBFBF"/>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rgb="FFABABAB"/>
      </left>
      <right/>
      <top style="thin">
        <color rgb="FFABABAB"/>
      </top>
      <bottom/>
      <diagonal/>
    </border>
    <border>
      <left style="thin">
        <color rgb="FFABABAB"/>
      </left>
      <right style="thin">
        <color rgb="FFABABAB"/>
      </right>
      <top style="thin">
        <color rgb="FFABABAB"/>
      </top>
      <bottom style="thin">
        <color rgb="FFABABAB"/>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rgb="FFABABAB"/>
      </top>
      <bottom style="thin">
        <color rgb="FFABABAB"/>
      </bottom>
      <diagonal/>
    </border>
    <border>
      <left style="thin">
        <color rgb="FFABABAB"/>
      </left>
      <right/>
      <top style="thin">
        <color indexed="65"/>
      </top>
      <bottom/>
      <diagonal/>
    </border>
    <border>
      <left/>
      <right/>
      <top style="thin">
        <color rgb="FFABABAB"/>
      </top>
      <bottom style="thin">
        <color rgb="FFABABAB"/>
      </bottom>
      <diagonal/>
    </border>
    <border>
      <left style="thin">
        <color rgb="FFABABAB"/>
      </left>
      <right/>
      <top/>
      <bottom/>
      <diagonal/>
    </border>
    <border>
      <left/>
      <right style="thin">
        <color rgb="FFABABAB"/>
      </right>
      <top/>
      <bottom/>
      <diagonal/>
    </border>
    <border>
      <left style="thin">
        <color indexed="65"/>
      </left>
      <right/>
      <top style="thin">
        <color rgb="FFABABAB"/>
      </top>
      <bottom style="thin">
        <color rgb="FFABABAB"/>
      </bottom>
      <diagonal/>
    </border>
    <border>
      <left/>
      <right style="thin">
        <color rgb="FFABABAB"/>
      </right>
      <top style="thin">
        <color rgb="FFABABAB"/>
      </top>
      <bottom style="thin">
        <color rgb="FFABABAB"/>
      </bottom>
      <diagonal/>
    </border>
  </borders>
  <cellStyleXfs count="1355">
    <xf numFmtId="0" fontId="0" fillId="0" borderId="0"/>
    <xf numFmtId="43" fontId="8" fillId="0" borderId="0" applyFont="0" applyFill="0" applyBorder="0" applyAlignment="0" applyProtection="0"/>
    <xf numFmtId="9" fontId="8" fillId="0" borderId="0" applyFont="0" applyFill="0" applyBorder="0" applyAlignment="0" applyProtection="0"/>
    <xf numFmtId="0" fontId="12" fillId="0" borderId="0" applyNumberFormat="0" applyFill="0" applyBorder="0" applyAlignment="0" applyProtection="0"/>
    <xf numFmtId="0" fontId="13" fillId="0" borderId="16" applyNumberFormat="0" applyFill="0" applyAlignment="0" applyProtection="0"/>
    <xf numFmtId="0" fontId="14" fillId="0" borderId="17" applyNumberFormat="0" applyFill="0" applyAlignment="0" applyProtection="0"/>
    <xf numFmtId="0" fontId="15" fillId="0" borderId="18" applyNumberFormat="0" applyFill="0" applyAlignment="0" applyProtection="0"/>
    <xf numFmtId="0" fontId="15" fillId="0" borderId="0" applyNumberFormat="0" applyFill="0" applyBorder="0" applyAlignment="0" applyProtection="0"/>
    <xf numFmtId="0" fontId="16" fillId="7" borderId="0" applyNumberFormat="0" applyBorder="0" applyAlignment="0" applyProtection="0"/>
    <xf numFmtId="0" fontId="17" fillId="8" borderId="0" applyNumberFormat="0" applyBorder="0" applyAlignment="0" applyProtection="0"/>
    <xf numFmtId="0" fontId="18" fillId="9" borderId="0" applyNumberFormat="0" applyBorder="0" applyAlignment="0" applyProtection="0"/>
    <xf numFmtId="0" fontId="19" fillId="10" borderId="19" applyNumberFormat="0" applyAlignment="0" applyProtection="0"/>
    <xf numFmtId="0" fontId="20" fillId="11" borderId="20" applyNumberFormat="0" applyAlignment="0" applyProtection="0"/>
    <xf numFmtId="0" fontId="21" fillId="11" borderId="19" applyNumberFormat="0" applyAlignment="0" applyProtection="0"/>
    <xf numFmtId="0" fontId="22" fillId="0" borderId="21" applyNumberFormat="0" applyFill="0" applyAlignment="0" applyProtection="0"/>
    <xf numFmtId="0" fontId="23" fillId="12" borderId="22" applyNumberFormat="0" applyAlignment="0" applyProtection="0"/>
    <xf numFmtId="0" fontId="11" fillId="0" borderId="0" applyNumberFormat="0" applyFill="0" applyBorder="0" applyAlignment="0" applyProtection="0"/>
    <xf numFmtId="0" fontId="8" fillId="13" borderId="23" applyNumberFormat="0" applyFont="0" applyAlignment="0" applyProtection="0"/>
    <xf numFmtId="0" fontId="24" fillId="0" borderId="0" applyNumberFormat="0" applyFill="0" applyBorder="0" applyAlignment="0" applyProtection="0"/>
    <xf numFmtId="0" fontId="1" fillId="0" borderId="24" applyNumberFormat="0" applyFill="0" applyAlignment="0" applyProtection="0"/>
    <xf numFmtId="0" fontId="25"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25" fillId="37" borderId="0" applyNumberFormat="0" applyBorder="0" applyAlignment="0" applyProtection="0"/>
    <xf numFmtId="0" fontId="26" fillId="0" borderId="0"/>
    <xf numFmtId="0" fontId="27"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31" fillId="0" borderId="0"/>
    <xf numFmtId="0" fontId="32" fillId="0" borderId="0"/>
    <xf numFmtId="9" fontId="33" fillId="0" borderId="0" applyFont="0" applyFill="0" applyBorder="0" applyAlignment="0" applyProtection="0"/>
    <xf numFmtId="9" fontId="32" fillId="0" borderId="0" applyFont="0" applyFill="0" applyBorder="0" applyAlignment="0" applyProtection="0"/>
    <xf numFmtId="0" fontId="28" fillId="0" borderId="0"/>
    <xf numFmtId="0" fontId="28" fillId="0" borderId="0"/>
    <xf numFmtId="0" fontId="31" fillId="0" borderId="0"/>
    <xf numFmtId="0" fontId="28" fillId="0" borderId="0"/>
    <xf numFmtId="0" fontId="28" fillId="0" borderId="0"/>
    <xf numFmtId="170" fontId="29" fillId="0" borderId="0" applyFont="0" applyFill="0" applyBorder="0" applyAlignment="0" applyProtection="0"/>
    <xf numFmtId="0" fontId="34" fillId="15" borderId="0" applyNumberFormat="0" applyBorder="0" applyAlignment="0" applyProtection="0"/>
    <xf numFmtId="0" fontId="35" fillId="39" borderId="0" applyNumberFormat="0" applyBorder="0" applyAlignment="0" applyProtection="0"/>
    <xf numFmtId="0" fontId="34" fillId="15" borderId="0" applyNumberFormat="0" applyBorder="0" applyAlignment="0" applyProtection="0"/>
    <xf numFmtId="0" fontId="35" fillId="40"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5" fillId="39"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9" borderId="0" applyNumberFormat="0" applyBorder="0" applyAlignment="0" applyProtection="0"/>
    <xf numFmtId="0" fontId="35" fillId="41" borderId="0" applyNumberFormat="0" applyBorder="0" applyAlignment="0" applyProtection="0"/>
    <xf numFmtId="0" fontId="34" fillId="19" borderId="0" applyNumberFormat="0" applyBorder="0" applyAlignment="0" applyProtection="0"/>
    <xf numFmtId="0" fontId="35" fillId="42"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5" fillId="41"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23" borderId="0" applyNumberFormat="0" applyBorder="0" applyAlignment="0" applyProtection="0"/>
    <xf numFmtId="0" fontId="35" fillId="43" borderId="0" applyNumberFormat="0" applyBorder="0" applyAlignment="0" applyProtection="0"/>
    <xf numFmtId="0" fontId="34" fillId="23" borderId="0" applyNumberFormat="0" applyBorder="0" applyAlignment="0" applyProtection="0"/>
    <xf numFmtId="0" fontId="35" fillId="44"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5" fillId="4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7" borderId="0" applyNumberFormat="0" applyBorder="0" applyAlignment="0" applyProtection="0"/>
    <xf numFmtId="0" fontId="35" fillId="39" borderId="0" applyNumberFormat="0" applyBorder="0" applyAlignment="0" applyProtection="0"/>
    <xf numFmtId="0" fontId="34" fillId="27" borderId="0" applyNumberFormat="0" applyBorder="0" applyAlignment="0" applyProtection="0"/>
    <xf numFmtId="0" fontId="35" fillId="39"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5" fillId="39"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31" borderId="0" applyNumberFormat="0" applyBorder="0" applyAlignment="0" applyProtection="0"/>
    <xf numFmtId="0" fontId="35" fillId="45" borderId="0" applyNumberFormat="0" applyBorder="0" applyAlignment="0" applyProtection="0"/>
    <xf numFmtId="0" fontId="34" fillId="31" borderId="0" applyNumberFormat="0" applyBorder="0" applyAlignment="0" applyProtection="0"/>
    <xf numFmtId="0" fontId="35" fillId="4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5" fillId="45"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5" fillId="41" borderId="0" applyNumberFormat="0" applyBorder="0" applyAlignment="0" applyProtection="0"/>
    <xf numFmtId="0" fontId="34" fillId="35" borderId="0" applyNumberFormat="0" applyBorder="0" applyAlignment="0" applyProtection="0"/>
    <xf numFmtId="0" fontId="35" fillId="46"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5" fillId="41"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16" borderId="0" applyNumberFormat="0" applyBorder="0" applyAlignment="0" applyProtection="0"/>
    <xf numFmtId="0" fontId="35" fillId="38" borderId="0" applyNumberFormat="0" applyBorder="0" applyAlignment="0" applyProtection="0"/>
    <xf numFmtId="0" fontId="34" fillId="16" borderId="0" applyNumberFormat="0" applyBorder="0" applyAlignment="0" applyProtection="0"/>
    <xf numFmtId="0" fontId="35" fillId="40"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5" fillId="38"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5" fillId="41" borderId="0" applyNumberFormat="0" applyBorder="0" applyAlignment="0" applyProtection="0"/>
    <xf numFmtId="0" fontId="34" fillId="20" borderId="0" applyNumberFormat="0" applyBorder="0" applyAlignment="0" applyProtection="0"/>
    <xf numFmtId="0" fontId="35" fillId="42"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5" fillId="41"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5" fillId="46" borderId="0" applyNumberFormat="0" applyBorder="0" applyAlignment="0" applyProtection="0"/>
    <xf numFmtId="0" fontId="34" fillId="24" borderId="0" applyNumberFormat="0" applyBorder="0" applyAlignment="0" applyProtection="0"/>
    <xf numFmtId="0" fontId="35" fillId="4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5" fillId="46"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5" fillId="38" borderId="0" applyNumberFormat="0" applyBorder="0" applyAlignment="0" applyProtection="0"/>
    <xf numFmtId="0" fontId="34" fillId="28" borderId="0" applyNumberFormat="0" applyBorder="0" applyAlignment="0" applyProtection="0"/>
    <xf numFmtId="0" fontId="35" fillId="3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5" fillId="3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5" fillId="44" borderId="0" applyNumberFormat="0" applyBorder="0" applyAlignment="0" applyProtection="0"/>
    <xf numFmtId="0" fontId="34" fillId="32" borderId="0" applyNumberFormat="0" applyBorder="0" applyAlignment="0" applyProtection="0"/>
    <xf numFmtId="0" fontId="35" fillId="40"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5" fillId="44"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5" fillId="41" borderId="0" applyNumberFormat="0" applyBorder="0" applyAlignment="0" applyProtection="0"/>
    <xf numFmtId="0" fontId="34" fillId="36" borderId="0" applyNumberFormat="0" applyBorder="0" applyAlignment="0" applyProtection="0"/>
    <xf numFmtId="0" fontId="35" fillId="4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5" fillId="41"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6"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43"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45"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6"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7" fillId="54"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9" fillId="39" borderId="25" applyNumberFormat="0" applyAlignment="0" applyProtection="0"/>
    <xf numFmtId="169"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169"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169"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169"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0" fontId="39" fillId="39" borderId="25"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43" fontId="2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41" fillId="0" borderId="0" applyFont="0" applyFill="0" applyBorder="0" applyAlignment="0" applyProtection="0"/>
    <xf numFmtId="44" fontId="33" fillId="0" borderId="0" applyFont="0" applyFill="0" applyBorder="0" applyAlignment="0" applyProtection="0"/>
    <xf numFmtId="44" fontId="28" fillId="0" borderId="0" applyFont="0" applyFill="0" applyBorder="0" applyAlignment="0" applyProtection="0"/>
    <xf numFmtId="44" fontId="41" fillId="0" borderId="0" applyFont="0" applyFill="0" applyBorder="0" applyAlignment="0" applyProtection="0"/>
    <xf numFmtId="44" fontId="28" fillId="0" borderId="0" applyFont="0" applyFill="0" applyBorder="0" applyAlignment="0" applyProtection="0"/>
    <xf numFmtId="41" fontId="29" fillId="0" borderId="0" applyFont="0" applyFill="0" applyBorder="0" applyAlignment="0" applyProtection="0"/>
    <xf numFmtId="43" fontId="29" fillId="0" borderId="0" applyFont="0" applyFill="0" applyBorder="0" applyAlignment="0" applyProtection="0"/>
    <xf numFmtId="171" fontId="42" fillId="0" borderId="0" applyFill="0" applyBorder="0" applyProtection="0">
      <alignment horizontal="right" vertical="center"/>
    </xf>
    <xf numFmtId="172" fontId="42" fillId="0" borderId="0" applyFill="0" applyBorder="0" applyProtection="0">
      <alignment horizontal="right" vertical="center"/>
    </xf>
    <xf numFmtId="173" fontId="42" fillId="0" borderId="0" applyFill="0" applyBorder="0" applyProtection="0">
      <alignment horizontal="right" vertical="center"/>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174" fontId="42" fillId="0" borderId="0" applyFill="0" applyBorder="0" applyProtection="0">
      <alignment vertical="center"/>
    </xf>
    <xf numFmtId="175" fontId="42" fillId="0" borderId="0" applyFill="0" applyBorder="0" applyProtection="0">
      <alignment vertical="center"/>
    </xf>
    <xf numFmtId="176" fontId="42" fillId="0" borderId="0" applyFill="0" applyBorder="0" applyProtection="0">
      <alignment vertical="center"/>
    </xf>
    <xf numFmtId="0" fontId="44" fillId="44"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5" fillId="0" borderId="0" applyNumberFormat="0" applyFill="0" applyBorder="0" applyProtection="0"/>
    <xf numFmtId="0" fontId="45" fillId="0" borderId="0" applyNumberFormat="0" applyFill="0" applyBorder="0" applyProtection="0"/>
    <xf numFmtId="0" fontId="45" fillId="0" borderId="0"/>
    <xf numFmtId="0" fontId="46" fillId="0" borderId="27" applyNumberFormat="0" applyFill="0" applyAlignment="0" applyProtection="0"/>
    <xf numFmtId="0" fontId="46" fillId="0" borderId="28" applyNumberFormat="0" applyFill="0" applyAlignment="0" applyProtection="0"/>
    <xf numFmtId="0" fontId="47" fillId="0" borderId="27" applyNumberFormat="0" applyFill="0" applyAlignment="0" applyProtection="0"/>
    <xf numFmtId="0" fontId="48" fillId="0" borderId="29" applyNumberFormat="0" applyFill="0" applyAlignment="0" applyProtection="0"/>
    <xf numFmtId="0" fontId="48" fillId="0" borderId="30" applyNumberFormat="0" applyFill="0" applyAlignment="0" applyProtection="0"/>
    <xf numFmtId="0" fontId="49" fillId="0" borderId="29" applyNumberFormat="0" applyFill="0" applyAlignment="0" applyProtection="0"/>
    <xf numFmtId="0" fontId="50" fillId="0" borderId="31" applyNumberFormat="0" applyFill="0" applyAlignment="0" applyProtection="0"/>
    <xf numFmtId="0" fontId="50" fillId="0" borderId="32" applyNumberFormat="0" applyFill="0" applyAlignment="0" applyProtection="0"/>
    <xf numFmtId="0" fontId="51" fillId="0" borderId="31" applyNumberFormat="0" applyFill="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alignment vertical="top"/>
      <protection locked="0"/>
    </xf>
    <xf numFmtId="0" fontId="53" fillId="0" borderId="0" applyNumberFormat="0" applyFill="0" applyBorder="0" applyAlignment="0" applyProtection="0"/>
    <xf numFmtId="0" fontId="54" fillId="0" borderId="0" applyNumberFormat="0" applyFill="0" applyBorder="0" applyProtection="0"/>
    <xf numFmtId="0" fontId="55" fillId="0" borderId="0" applyNumberFormat="0" applyFill="0" applyBorder="0" applyAlignment="0" applyProtection="0"/>
    <xf numFmtId="0" fontId="56" fillId="46" borderId="25" applyNumberFormat="0" applyAlignment="0" applyProtection="0"/>
    <xf numFmtId="169" fontId="56" fillId="46" borderId="25" applyNumberFormat="0" applyAlignment="0" applyProtection="0"/>
    <xf numFmtId="0" fontId="56" fillId="46" borderId="25" applyNumberFormat="0" applyAlignment="0" applyProtection="0"/>
    <xf numFmtId="0" fontId="56" fillId="46" borderId="25" applyNumberFormat="0" applyAlignment="0" applyProtection="0"/>
    <xf numFmtId="0" fontId="56" fillId="46" borderId="25" applyNumberFormat="0" applyAlignment="0" applyProtection="0"/>
    <xf numFmtId="169" fontId="56" fillId="46" borderId="25" applyNumberFormat="0" applyAlignment="0" applyProtection="0"/>
    <xf numFmtId="0" fontId="56" fillId="46" borderId="25" applyNumberFormat="0" applyAlignment="0" applyProtection="0"/>
    <xf numFmtId="0" fontId="56" fillId="46" borderId="25" applyNumberFormat="0" applyAlignment="0" applyProtection="0"/>
    <xf numFmtId="0" fontId="56" fillId="46" borderId="25" applyNumberFormat="0" applyAlignment="0" applyProtection="0"/>
    <xf numFmtId="169" fontId="56" fillId="46" borderId="25" applyNumberFormat="0" applyAlignment="0" applyProtection="0"/>
    <xf numFmtId="0" fontId="56" fillId="46" borderId="25" applyNumberFormat="0" applyAlignment="0" applyProtection="0"/>
    <xf numFmtId="0" fontId="56" fillId="46" borderId="25" applyNumberFormat="0" applyAlignment="0" applyProtection="0"/>
    <xf numFmtId="0" fontId="56" fillId="46" borderId="25" applyNumberFormat="0" applyAlignment="0" applyProtection="0"/>
    <xf numFmtId="169" fontId="56" fillId="46" borderId="25" applyNumberFormat="0" applyAlignment="0" applyProtection="0"/>
    <xf numFmtId="0" fontId="56" fillId="46" borderId="25" applyNumberFormat="0" applyAlignment="0" applyProtection="0"/>
    <xf numFmtId="0" fontId="56" fillId="46" borderId="25" applyNumberFormat="0" applyAlignment="0" applyProtection="0"/>
    <xf numFmtId="0" fontId="56" fillId="46" borderId="25" applyNumberFormat="0" applyAlignment="0" applyProtection="0"/>
    <xf numFmtId="0" fontId="56" fillId="41" borderId="25" applyNumberFormat="0" applyAlignment="0" applyProtection="0"/>
    <xf numFmtId="0" fontId="57" fillId="0" borderId="33" applyNumberFormat="0" applyFill="0" applyAlignment="0" applyProtection="0"/>
    <xf numFmtId="0" fontId="57" fillId="0" borderId="33" applyNumberFormat="0" applyFill="0" applyAlignment="0" applyProtection="0"/>
    <xf numFmtId="0" fontId="57" fillId="0" borderId="33" applyNumberFormat="0" applyFill="0" applyAlignment="0" applyProtection="0"/>
    <xf numFmtId="177" fontId="42" fillId="0" borderId="34" applyFill="0" applyBorder="0" applyProtection="0">
      <alignment horizontal="right" vertical="center"/>
    </xf>
    <xf numFmtId="178" fontId="42" fillId="0" borderId="0" applyFill="0" applyBorder="0" applyProtection="0">
      <alignment horizontal="right" vertical="center"/>
    </xf>
    <xf numFmtId="179" fontId="42" fillId="0" borderId="0" applyFill="0" applyBorder="0" applyProtection="0">
      <alignment horizontal="right" vertical="center"/>
    </xf>
    <xf numFmtId="0" fontId="58" fillId="46"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28"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2" fillId="0" borderId="0"/>
    <xf numFmtId="0" fontId="34" fillId="0" borderId="0"/>
    <xf numFmtId="180" fontId="32" fillId="0" borderId="0"/>
    <xf numFmtId="180" fontId="32" fillId="0" borderId="0"/>
    <xf numFmtId="0" fontId="28" fillId="0" borderId="0"/>
    <xf numFmtId="180" fontId="32" fillId="0" borderId="0"/>
    <xf numFmtId="180" fontId="32" fillId="0" borderId="0"/>
    <xf numFmtId="180" fontId="32" fillId="0" borderId="0"/>
    <xf numFmtId="180" fontId="32" fillId="0" borderId="0"/>
    <xf numFmtId="0" fontId="28" fillId="0" borderId="0"/>
    <xf numFmtId="180" fontId="31" fillId="0" borderId="0"/>
    <xf numFmtId="169" fontId="31"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0" fontId="31" fillId="0" borderId="0"/>
    <xf numFmtId="0" fontId="31" fillId="0" borderId="0"/>
    <xf numFmtId="181" fontId="28" fillId="0" borderId="0"/>
    <xf numFmtId="0" fontId="34" fillId="0" borderId="0"/>
    <xf numFmtId="0" fontId="31" fillId="0" borderId="0"/>
    <xf numFmtId="0" fontId="32" fillId="0" borderId="0"/>
    <xf numFmtId="0" fontId="60" fillId="0" borderId="0"/>
    <xf numFmtId="0" fontId="34" fillId="0" borderId="0"/>
    <xf numFmtId="0" fontId="34" fillId="0" borderId="0"/>
    <xf numFmtId="0" fontId="31"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1" fillId="0" borderId="0"/>
    <xf numFmtId="0" fontId="31" fillId="46" borderId="35" applyNumberFormat="0" applyFont="0" applyAlignment="0" applyProtection="0"/>
    <xf numFmtId="169" fontId="31" fillId="46" borderId="35" applyNumberFormat="0" applyFont="0" applyAlignment="0" applyProtection="0"/>
    <xf numFmtId="0" fontId="31" fillId="46" borderId="35" applyNumberFormat="0" applyFont="0" applyAlignment="0" applyProtection="0"/>
    <xf numFmtId="0" fontId="31" fillId="46" borderId="35" applyNumberFormat="0" applyFont="0" applyAlignment="0" applyProtection="0"/>
    <xf numFmtId="0" fontId="31" fillId="46" borderId="35" applyNumberFormat="0" applyFont="0" applyAlignment="0" applyProtection="0"/>
    <xf numFmtId="169" fontId="31" fillId="46" borderId="35" applyNumberFormat="0" applyFont="0" applyAlignment="0" applyProtection="0"/>
    <xf numFmtId="0" fontId="31" fillId="46" borderId="35" applyNumberFormat="0" applyFont="0" applyAlignment="0" applyProtection="0"/>
    <xf numFmtId="0" fontId="31" fillId="46" borderId="35" applyNumberFormat="0" applyFont="0" applyAlignment="0" applyProtection="0"/>
    <xf numFmtId="0" fontId="31" fillId="46" borderId="35" applyNumberFormat="0" applyFont="0" applyAlignment="0" applyProtection="0"/>
    <xf numFmtId="169" fontId="31" fillId="46" borderId="35" applyNumberFormat="0" applyFont="0" applyAlignment="0" applyProtection="0"/>
    <xf numFmtId="0" fontId="31" fillId="46" borderId="35" applyNumberFormat="0" applyFont="0" applyAlignment="0" applyProtection="0"/>
    <xf numFmtId="0" fontId="31" fillId="46" borderId="35" applyNumberFormat="0" applyFont="0" applyAlignment="0" applyProtection="0"/>
    <xf numFmtId="0" fontId="31" fillId="46" borderId="35" applyNumberFormat="0" applyFont="0" applyAlignment="0" applyProtection="0"/>
    <xf numFmtId="169" fontId="31" fillId="46" borderId="35" applyNumberFormat="0" applyFont="0" applyAlignment="0" applyProtection="0"/>
    <xf numFmtId="0" fontId="31" fillId="46" borderId="35" applyNumberFormat="0" applyFont="0" applyAlignment="0" applyProtection="0"/>
    <xf numFmtId="0" fontId="31" fillId="46" borderId="35" applyNumberFormat="0" applyFont="0" applyAlignment="0" applyProtection="0"/>
    <xf numFmtId="0" fontId="31" fillId="46" borderId="35" applyNumberFormat="0" applyFont="0" applyAlignment="0" applyProtection="0"/>
    <xf numFmtId="0" fontId="34" fillId="13" borderId="23" applyNumberFormat="0" applyFont="0" applyAlignment="0" applyProtection="0"/>
    <xf numFmtId="0" fontId="34" fillId="13" borderId="23" applyNumberFormat="0" applyFont="0" applyAlignment="0" applyProtection="0"/>
    <xf numFmtId="0" fontId="34" fillId="13" borderId="23" applyNumberFormat="0" applyFont="0" applyAlignment="0" applyProtection="0"/>
    <xf numFmtId="0" fontId="28" fillId="43" borderId="35" applyNumberFormat="0" applyFont="0" applyAlignment="0" applyProtection="0"/>
    <xf numFmtId="0" fontId="34" fillId="13" borderId="23" applyNumberFormat="0" applyFont="0" applyAlignment="0" applyProtection="0"/>
    <xf numFmtId="0" fontId="62" fillId="39" borderId="36" applyNumberFormat="0" applyAlignment="0" applyProtection="0"/>
    <xf numFmtId="169"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169"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169"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169"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0" fontId="62" fillId="39" borderId="36" applyNumberFormat="0" applyAlignment="0" applyProtection="0"/>
    <xf numFmtId="182" fontId="42" fillId="0" borderId="0" applyFill="0" applyBorder="0" applyProtection="0">
      <alignment horizontal="right" vertical="center"/>
    </xf>
    <xf numFmtId="183" fontId="42" fillId="0" borderId="0" applyFill="0" applyBorder="0" applyProtection="0">
      <alignment vertical="center"/>
    </xf>
    <xf numFmtId="184" fontId="42" fillId="0" borderId="0" applyFill="0" applyBorder="0" applyProtection="0">
      <alignment vertical="center"/>
    </xf>
    <xf numFmtId="9" fontId="33"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4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2" fillId="0" borderId="0" applyFont="0" applyFill="0" applyBorder="0" applyAlignment="0" applyProtection="0"/>
    <xf numFmtId="185" fontId="42" fillId="0" borderId="0" applyFill="0" applyBorder="0" applyProtection="0">
      <alignment vertical="center"/>
    </xf>
    <xf numFmtId="186" fontId="42" fillId="0" borderId="0" applyFill="0" applyBorder="0" applyProtection="0">
      <alignment vertical="center"/>
    </xf>
    <xf numFmtId="187" fontId="42" fillId="0" borderId="0" applyFill="0" applyBorder="0" applyProtection="0">
      <alignment vertical="center"/>
    </xf>
    <xf numFmtId="0" fontId="63" fillId="0" borderId="0"/>
    <xf numFmtId="188" fontId="33" fillId="0" borderId="0" applyFont="0" applyFill="0" applyBorder="0" applyAlignment="0" applyProtection="0"/>
    <xf numFmtId="0" fontId="64" fillId="0" borderId="0" applyNumberFormat="0" applyFill="0" applyBorder="0" applyAlignment="0" applyProtection="0">
      <alignment vertical="top"/>
      <protection locked="0"/>
    </xf>
    <xf numFmtId="42" fontId="33" fillId="0" borderId="0" applyFont="0" applyFill="0" applyBorder="0" applyAlignment="0" applyProtection="0"/>
    <xf numFmtId="44" fontId="33" fillId="0" borderId="0" applyFont="0" applyFill="0" applyBorder="0" applyAlignment="0" applyProtection="0"/>
    <xf numFmtId="0" fontId="31" fillId="0" borderId="0"/>
    <xf numFmtId="0" fontId="65" fillId="0" borderId="0">
      <alignment horizontal="left" vertical="center"/>
    </xf>
    <xf numFmtId="0" fontId="66" fillId="0" borderId="0" applyNumberFormat="0" applyFill="0" applyBorder="0" applyAlignment="0" applyProtection="0"/>
    <xf numFmtId="0" fontId="66" fillId="0" borderId="0" applyNumberFormat="0" applyFill="0" applyBorder="0" applyAlignment="0" applyProtection="0"/>
    <xf numFmtId="0" fontId="30" fillId="0" borderId="0" applyNumberFormat="0" applyFill="0" applyBorder="0" applyProtection="0"/>
    <xf numFmtId="0" fontId="67" fillId="0" borderId="37" applyNumberFormat="0" applyFill="0" applyAlignment="0" applyProtection="0"/>
    <xf numFmtId="169" fontId="67" fillId="0" borderId="37" applyNumberFormat="0" applyFill="0" applyAlignment="0" applyProtection="0"/>
    <xf numFmtId="0" fontId="67" fillId="0" borderId="37" applyNumberFormat="0" applyFill="0" applyAlignment="0" applyProtection="0"/>
    <xf numFmtId="0" fontId="67" fillId="0" borderId="37" applyNumberFormat="0" applyFill="0" applyAlignment="0" applyProtection="0"/>
    <xf numFmtId="0" fontId="67" fillId="0" borderId="37" applyNumberFormat="0" applyFill="0" applyAlignment="0" applyProtection="0"/>
    <xf numFmtId="169" fontId="67" fillId="0" borderId="37" applyNumberFormat="0" applyFill="0" applyAlignment="0" applyProtection="0"/>
    <xf numFmtId="0" fontId="67" fillId="0" borderId="37" applyNumberFormat="0" applyFill="0" applyAlignment="0" applyProtection="0"/>
    <xf numFmtId="0" fontId="67" fillId="0" borderId="37" applyNumberFormat="0" applyFill="0" applyAlignment="0" applyProtection="0"/>
    <xf numFmtId="0" fontId="67" fillId="0" borderId="37" applyNumberFormat="0" applyFill="0" applyAlignment="0" applyProtection="0"/>
    <xf numFmtId="169" fontId="67" fillId="0" borderId="37" applyNumberFormat="0" applyFill="0" applyAlignment="0" applyProtection="0"/>
    <xf numFmtId="0" fontId="67" fillId="0" borderId="37" applyNumberFormat="0" applyFill="0" applyAlignment="0" applyProtection="0"/>
    <xf numFmtId="0" fontId="67" fillId="0" borderId="37" applyNumberFormat="0" applyFill="0" applyAlignment="0" applyProtection="0"/>
    <xf numFmtId="0" fontId="67" fillId="0" borderId="37" applyNumberFormat="0" applyFill="0" applyAlignment="0" applyProtection="0"/>
    <xf numFmtId="169" fontId="67" fillId="0" borderId="37" applyNumberFormat="0" applyFill="0" applyAlignment="0" applyProtection="0"/>
    <xf numFmtId="0" fontId="67" fillId="0" borderId="37" applyNumberFormat="0" applyFill="0" applyAlignment="0" applyProtection="0"/>
    <xf numFmtId="0" fontId="67" fillId="0" borderId="37" applyNumberFormat="0" applyFill="0" applyAlignment="0" applyProtection="0"/>
    <xf numFmtId="0" fontId="67" fillId="0" borderId="37" applyNumberFormat="0" applyFill="0" applyAlignment="0" applyProtection="0"/>
    <xf numFmtId="0" fontId="68" fillId="0" borderId="37" applyNumberFormat="0" applyFill="0" applyAlignment="0" applyProtection="0"/>
    <xf numFmtId="42" fontId="29" fillId="0" borderId="0" applyFont="0" applyFill="0" applyBorder="0" applyAlignment="0" applyProtection="0"/>
    <xf numFmtId="44" fontId="29" fillId="0" borderId="0" applyFon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31" fillId="0" borderId="0"/>
    <xf numFmtId="38" fontId="74" fillId="0" borderId="0" applyFont="0" applyFill="0" applyBorder="0" applyAlignment="0" applyProtection="0">
      <alignment vertical="center"/>
    </xf>
    <xf numFmtId="0" fontId="75" fillId="0" borderId="0"/>
    <xf numFmtId="0" fontId="75" fillId="0" borderId="0"/>
    <xf numFmtId="0" fontId="74" fillId="0" borderId="0"/>
    <xf numFmtId="0" fontId="76" fillId="0" borderId="0" applyNumberFormat="0" applyFill="0" applyBorder="0" applyAlignment="0" applyProtection="0">
      <alignment vertical="top"/>
      <protection locked="0"/>
    </xf>
    <xf numFmtId="0" fontId="28" fillId="0" borderId="0"/>
    <xf numFmtId="43" fontId="28" fillId="0" borderId="0" applyFont="0" applyFill="0" applyBorder="0" applyAlignment="0" applyProtection="0"/>
    <xf numFmtId="0" fontId="28" fillId="0" borderId="0"/>
    <xf numFmtId="0" fontId="77" fillId="0" borderId="38" applyNumberFormat="0" applyFont="0" applyProtection="0">
      <alignment wrapText="1"/>
    </xf>
    <xf numFmtId="0" fontId="7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5" fillId="0" borderId="0"/>
    <xf numFmtId="0" fontId="35" fillId="0" borderId="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8"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79" fillId="17"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79" fillId="25"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79" fillId="14"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9" fillId="38" borderId="25" applyNumberFormat="0" applyAlignment="0" applyProtection="0"/>
    <xf numFmtId="0" fontId="39" fillId="38" borderId="25"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0" fontId="40" fillId="55" borderId="26"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47" borderId="0" applyNumberFormat="0" applyBorder="0" applyAlignment="0" applyProtection="0"/>
    <xf numFmtId="0" fontId="44" fillId="47" borderId="0" applyNumberFormat="0" applyBorder="0" applyAlignment="0" applyProtection="0"/>
    <xf numFmtId="0" fontId="80" fillId="0" borderId="39" applyNumberFormat="0" applyFill="0" applyAlignment="0" applyProtection="0"/>
    <xf numFmtId="0" fontId="80" fillId="0" borderId="39"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2" fillId="0" borderId="17" applyNumberFormat="0" applyFill="0" applyAlignment="0" applyProtection="0"/>
    <xf numFmtId="0" fontId="83" fillId="0" borderId="40" applyNumberFormat="0" applyFill="0" applyAlignment="0" applyProtection="0"/>
    <xf numFmtId="0" fontId="83" fillId="0" borderId="40"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56" fillId="41" borderId="25" applyNumberFormat="0" applyAlignment="0" applyProtection="0"/>
    <xf numFmtId="0" fontId="56" fillId="41" borderId="25" applyNumberFormat="0" applyAlignment="0" applyProtection="0"/>
    <xf numFmtId="0" fontId="57" fillId="0" borderId="33" applyNumberFormat="0" applyFill="0" applyAlignment="0" applyProtection="0"/>
    <xf numFmtId="0" fontId="57" fillId="0" borderId="33" applyNumberFormat="0" applyFill="0" applyAlignment="0" applyProtection="0"/>
    <xf numFmtId="0" fontId="59" fillId="46" borderId="0" applyNumberFormat="0" applyBorder="0" applyAlignment="0" applyProtection="0"/>
    <xf numFmtId="0" fontId="59" fillId="46" borderId="0" applyNumberFormat="0" applyBorder="0" applyAlignment="0" applyProtection="0"/>
    <xf numFmtId="0" fontId="1" fillId="56" borderId="0">
      <alignment horizontal="center"/>
    </xf>
    <xf numFmtId="0" fontId="67" fillId="65" borderId="0">
      <alignment horizontal="center"/>
    </xf>
    <xf numFmtId="0" fontId="67" fillId="65" borderId="0">
      <alignment horizontal="center"/>
    </xf>
    <xf numFmtId="0" fontId="67" fillId="65" borderId="0">
      <alignment horizontal="center"/>
    </xf>
    <xf numFmtId="0" fontId="67" fillId="65" borderId="0">
      <alignment horizontal="center"/>
    </xf>
    <xf numFmtId="0" fontId="67" fillId="65" borderId="0">
      <alignment horizontal="center"/>
    </xf>
    <xf numFmtId="0" fontId="67" fillId="65" borderId="0">
      <alignment horizont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9" fillId="0" borderId="0"/>
    <xf numFmtId="0" fontId="29" fillId="0" borderId="0"/>
    <xf numFmtId="0" fontId="29" fillId="0" borderId="0"/>
    <xf numFmtId="0" fontId="29" fillId="0" borderId="0"/>
    <xf numFmtId="0" fontId="29" fillId="0" borderId="0"/>
    <xf numFmtId="0" fontId="29" fillId="0" borderId="0"/>
    <xf numFmtId="0" fontId="85" fillId="0" borderId="0"/>
    <xf numFmtId="0" fontId="29" fillId="0" borderId="0"/>
    <xf numFmtId="0" fontId="29" fillId="0" borderId="0"/>
    <xf numFmtId="0" fontId="29" fillId="0" borderId="0"/>
    <xf numFmtId="0" fontId="29" fillId="0" borderId="0"/>
    <xf numFmtId="0" fontId="29" fillId="0" borderId="0"/>
    <xf numFmtId="0" fontId="29" fillId="0" borderId="0"/>
    <xf numFmtId="0" fontId="85" fillId="0" borderId="0"/>
    <xf numFmtId="0" fontId="29" fillId="0" borderId="0"/>
    <xf numFmtId="0" fontId="29" fillId="0" borderId="0"/>
    <xf numFmtId="0" fontId="29" fillId="0" borderId="0"/>
    <xf numFmtId="0" fontId="29" fillId="0" borderId="0"/>
    <xf numFmtId="0" fontId="29" fillId="0" borderId="0"/>
    <xf numFmtId="0" fontId="29" fillId="0" borderId="0"/>
    <xf numFmtId="0" fontId="85" fillId="0" borderId="0"/>
    <xf numFmtId="0" fontId="29" fillId="0" borderId="0"/>
    <xf numFmtId="0" fontId="29" fillId="0" borderId="0"/>
    <xf numFmtId="0" fontId="29" fillId="0" borderId="0"/>
    <xf numFmtId="0" fontId="29" fillId="0" borderId="0"/>
    <xf numFmtId="0" fontId="29" fillId="0" borderId="0"/>
    <xf numFmtId="0" fontId="29" fillId="0" borderId="0"/>
    <xf numFmtId="0" fontId="8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35" fillId="43" borderId="35" applyNumberFormat="0" applyFont="0" applyAlignment="0" applyProtection="0"/>
    <xf numFmtId="0" fontId="62" fillId="38" borderId="36" applyNumberFormat="0" applyAlignment="0" applyProtection="0"/>
    <xf numFmtId="0" fontId="62" fillId="38" borderId="36" applyNumberFormat="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7" fillId="0" borderId="41" applyNumberFormat="0" applyFill="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cellStyleXfs>
  <cellXfs count="332">
    <xf numFmtId="0" fontId="0" fillId="0" borderId="0" xfId="0"/>
    <xf numFmtId="0" fontId="1" fillId="0" borderId="0" xfId="0" applyFont="1"/>
    <xf numFmtId="0" fontId="2" fillId="0" borderId="0" xfId="0" applyFont="1" applyAlignment="1">
      <alignment horizontal="center"/>
    </xf>
    <xf numFmtId="0" fontId="0" fillId="0" borderId="0" xfId="0" applyAlignment="1">
      <alignment horizontal="left" indent="1"/>
    </xf>
    <xf numFmtId="0" fontId="0" fillId="0" borderId="0" xfId="0" applyFill="1" applyAlignment="1">
      <alignment horizontal="left" indent="1"/>
    </xf>
    <xf numFmtId="0" fontId="0" fillId="0" borderId="0" xfId="0" applyAlignment="1">
      <alignment horizontal="left" indent="2"/>
    </xf>
    <xf numFmtId="164" fontId="0" fillId="0" borderId="0" xfId="0" applyNumberFormat="1"/>
    <xf numFmtId="165" fontId="0" fillId="0" borderId="0" xfId="0" applyNumberFormat="1"/>
    <xf numFmtId="0" fontId="3" fillId="0" borderId="0" xfId="0" applyFont="1"/>
    <xf numFmtId="0" fontId="0" fillId="2" borderId="0" xfId="0" applyFill="1" applyAlignment="1">
      <alignment vertical="center"/>
    </xf>
    <xf numFmtId="0" fontId="0" fillId="3" borderId="0" xfId="0" applyFill="1" applyAlignment="1">
      <alignment vertical="center"/>
    </xf>
    <xf numFmtId="0" fontId="0" fillId="3" borderId="5" xfId="0" applyFont="1" applyFill="1" applyBorder="1" applyAlignment="1">
      <alignment vertical="center"/>
    </xf>
    <xf numFmtId="0" fontId="2" fillId="3" borderId="0" xfId="0" applyFont="1" applyFill="1" applyBorder="1" applyAlignment="1">
      <alignment vertical="center"/>
    </xf>
    <xf numFmtId="2" fontId="0" fillId="3" borderId="0" xfId="0" applyNumberFormat="1" applyFill="1" applyBorder="1" applyAlignment="1">
      <alignment vertical="center"/>
    </xf>
    <xf numFmtId="0" fontId="0" fillId="3" borderId="0" xfId="0" applyFill="1" applyBorder="1" applyAlignment="1">
      <alignment vertical="center"/>
    </xf>
    <xf numFmtId="0" fontId="0" fillId="3" borderId="6" xfId="0" applyFill="1" applyBorder="1" applyAlignment="1">
      <alignment vertical="center"/>
    </xf>
    <xf numFmtId="0" fontId="0" fillId="3" borderId="5" xfId="0" applyFont="1" applyFill="1" applyBorder="1" applyAlignment="1">
      <alignment horizontal="left" vertical="center" indent="1"/>
    </xf>
    <xf numFmtId="0" fontId="0" fillId="3" borderId="7" xfId="0" applyFont="1" applyFill="1" applyBorder="1" applyAlignment="1">
      <alignment horizontal="left" vertical="center" indent="1"/>
    </xf>
    <xf numFmtId="0" fontId="2" fillId="3" borderId="8" xfId="0" applyFont="1" applyFill="1" applyBorder="1" applyAlignment="1">
      <alignment vertical="center"/>
    </xf>
    <xf numFmtId="165" fontId="0" fillId="3" borderId="8" xfId="0" applyNumberFormat="1" applyFill="1" applyBorder="1" applyAlignment="1">
      <alignment vertical="center"/>
    </xf>
    <xf numFmtId="165" fontId="0" fillId="3" borderId="9" xfId="0" applyNumberFormat="1" applyFill="1" applyBorder="1" applyAlignment="1">
      <alignment vertical="center"/>
    </xf>
    <xf numFmtId="0" fontId="0" fillId="3" borderId="7" xfId="0" applyFont="1" applyFill="1" applyBorder="1" applyAlignment="1">
      <alignment vertical="center"/>
    </xf>
    <xf numFmtId="0" fontId="4" fillId="4" borderId="2" xfId="0" applyFont="1" applyFill="1" applyBorder="1" applyAlignment="1">
      <alignment vertical="center"/>
    </xf>
    <xf numFmtId="0" fontId="5" fillId="4" borderId="3" xfId="0" applyFont="1" applyFill="1" applyBorder="1" applyAlignment="1">
      <alignment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0" fillId="3" borderId="4" xfId="0" applyFill="1" applyBorder="1" applyAlignment="1">
      <alignment vertical="center"/>
    </xf>
    <xf numFmtId="0" fontId="1" fillId="3" borderId="5" xfId="0" applyFont="1" applyFill="1" applyBorder="1" applyAlignment="1">
      <alignment vertical="center"/>
    </xf>
    <xf numFmtId="0" fontId="0" fillId="3" borderId="5" xfId="0" applyFont="1" applyFill="1" applyBorder="1" applyAlignment="1">
      <alignment horizontal="left" vertical="center" indent="2"/>
    </xf>
    <xf numFmtId="164" fontId="0" fillId="3" borderId="0" xfId="0" applyNumberFormat="1" applyFill="1" applyBorder="1" applyAlignment="1">
      <alignment vertical="center"/>
    </xf>
    <xf numFmtId="166" fontId="0" fillId="3" borderId="0" xfId="0" applyNumberFormat="1" applyFill="1" applyBorder="1" applyAlignment="1">
      <alignment vertical="center"/>
    </xf>
    <xf numFmtId="166" fontId="0" fillId="3" borderId="6" xfId="0" applyNumberFormat="1" applyFill="1" applyBorder="1" applyAlignment="1">
      <alignment vertical="center"/>
    </xf>
    <xf numFmtId="166" fontId="0" fillId="3" borderId="8" xfId="0" applyNumberFormat="1" applyFill="1" applyBorder="1" applyAlignment="1">
      <alignment vertical="center"/>
    </xf>
    <xf numFmtId="166" fontId="0" fillId="3" borderId="9" xfId="0" applyNumberFormat="1" applyFill="1" applyBorder="1" applyAlignment="1">
      <alignment vertical="center"/>
    </xf>
    <xf numFmtId="0" fontId="5" fillId="4" borderId="4" xfId="0" applyFont="1" applyFill="1" applyBorder="1" applyAlignment="1">
      <alignment vertical="center"/>
    </xf>
    <xf numFmtId="0" fontId="1" fillId="5" borderId="5" xfId="0" applyFont="1" applyFill="1" applyBorder="1" applyAlignment="1">
      <alignment vertical="center"/>
    </xf>
    <xf numFmtId="0" fontId="0" fillId="5" borderId="0" xfId="0" applyFill="1" applyBorder="1" applyAlignment="1">
      <alignment vertical="center"/>
    </xf>
    <xf numFmtId="0" fontId="2" fillId="5" borderId="0" xfId="0" applyFont="1" applyFill="1" applyBorder="1" applyAlignment="1">
      <alignment horizontal="center" vertical="center"/>
    </xf>
    <xf numFmtId="0" fontId="2" fillId="5" borderId="6" xfId="0" applyFont="1" applyFill="1" applyBorder="1" applyAlignment="1">
      <alignment horizontal="center" vertical="center"/>
    </xf>
    <xf numFmtId="167" fontId="0" fillId="3" borderId="0" xfId="0" applyNumberFormat="1" applyFill="1" applyBorder="1" applyAlignment="1">
      <alignment vertical="center"/>
    </xf>
    <xf numFmtId="167" fontId="0" fillId="3" borderId="6" xfId="0" applyNumberFormat="1" applyFill="1" applyBorder="1" applyAlignment="1">
      <alignment vertical="center"/>
    </xf>
    <xf numFmtId="0" fontId="1" fillId="3" borderId="11" xfId="0" applyFont="1" applyFill="1" applyBorder="1" applyAlignment="1">
      <alignment vertical="center"/>
    </xf>
    <xf numFmtId="0" fontId="0" fillId="3" borderId="10" xfId="0" applyFill="1" applyBorder="1" applyAlignment="1">
      <alignment vertical="center"/>
    </xf>
    <xf numFmtId="0" fontId="0" fillId="3" borderId="12" xfId="0" applyFill="1" applyBorder="1" applyAlignment="1">
      <alignment vertical="center"/>
    </xf>
    <xf numFmtId="164" fontId="0" fillId="3" borderId="6" xfId="0" applyNumberFormat="1" applyFill="1" applyBorder="1" applyAlignment="1">
      <alignment vertical="center"/>
    </xf>
    <xf numFmtId="0" fontId="0" fillId="3" borderId="7" xfId="0" applyFont="1" applyFill="1" applyBorder="1" applyAlignment="1">
      <alignment horizontal="left" vertical="center" indent="2"/>
    </xf>
    <xf numFmtId="164" fontId="0" fillId="3" borderId="8" xfId="0" applyNumberFormat="1" applyFill="1" applyBorder="1" applyAlignment="1">
      <alignment vertical="center"/>
    </xf>
    <xf numFmtId="164" fontId="0" fillId="3" borderId="9" xfId="0" applyNumberFormat="1" applyFill="1" applyBorder="1" applyAlignment="1">
      <alignment vertical="center"/>
    </xf>
    <xf numFmtId="0" fontId="1" fillId="3" borderId="5" xfId="0" applyFont="1" applyFill="1" applyBorder="1" applyAlignment="1">
      <alignment horizontal="left" vertical="center" indent="1"/>
    </xf>
    <xf numFmtId="167" fontId="0" fillId="3" borderId="8" xfId="0" applyNumberFormat="1" applyFill="1" applyBorder="1" applyAlignment="1">
      <alignment vertical="center"/>
    </xf>
    <xf numFmtId="167" fontId="0" fillId="3" borderId="9" xfId="0" applyNumberFormat="1" applyFill="1" applyBorder="1" applyAlignment="1">
      <alignment vertical="center"/>
    </xf>
    <xf numFmtId="0" fontId="0" fillId="3" borderId="9" xfId="0" applyNumberFormat="1" applyFill="1" applyBorder="1" applyAlignment="1">
      <alignment vertical="center"/>
    </xf>
    <xf numFmtId="0" fontId="0" fillId="5" borderId="6" xfId="0" applyFill="1" applyBorder="1" applyAlignment="1">
      <alignment vertical="center"/>
    </xf>
    <xf numFmtId="0" fontId="1" fillId="5" borderId="11" xfId="0" applyFont="1" applyFill="1" applyBorder="1" applyAlignment="1">
      <alignment vertical="center"/>
    </xf>
    <xf numFmtId="0" fontId="0" fillId="5" borderId="10" xfId="0" applyFill="1" applyBorder="1" applyAlignment="1">
      <alignment vertical="center"/>
    </xf>
    <xf numFmtId="0" fontId="0" fillId="5" borderId="12" xfId="0" applyFill="1" applyBorder="1" applyAlignment="1">
      <alignment vertical="center"/>
    </xf>
    <xf numFmtId="2" fontId="0" fillId="3" borderId="6" xfId="0" applyNumberFormat="1" applyFill="1" applyBorder="1" applyAlignment="1">
      <alignment vertical="center"/>
    </xf>
    <xf numFmtId="0" fontId="0" fillId="3" borderId="11" xfId="0" applyFont="1" applyFill="1" applyBorder="1" applyAlignment="1">
      <alignment vertical="center"/>
    </xf>
    <xf numFmtId="2" fontId="0" fillId="3" borderId="8" xfId="0" applyNumberFormat="1" applyFill="1" applyBorder="1" applyAlignment="1">
      <alignment vertical="center"/>
    </xf>
    <xf numFmtId="2" fontId="0" fillId="3" borderId="9" xfId="0" applyNumberFormat="1" applyFill="1" applyBorder="1" applyAlignment="1">
      <alignment vertical="center"/>
    </xf>
    <xf numFmtId="0" fontId="0" fillId="3" borderId="0" xfId="0" applyFill="1" applyAlignment="1">
      <alignment horizontal="left" vertical="center"/>
    </xf>
    <xf numFmtId="9" fontId="0" fillId="3" borderId="0" xfId="0" applyNumberFormat="1" applyFill="1" applyAlignment="1">
      <alignment horizontal="left" vertical="center"/>
    </xf>
    <xf numFmtId="0" fontId="2" fillId="3" borderId="12" xfId="0" applyFont="1" applyFill="1" applyBorder="1" applyAlignment="1">
      <alignment vertical="center"/>
    </xf>
    <xf numFmtId="0" fontId="0" fillId="3" borderId="5" xfId="0" applyFill="1" applyBorder="1" applyAlignment="1">
      <alignment horizontal="left" vertical="center" indent="1"/>
    </xf>
    <xf numFmtId="0" fontId="2" fillId="3" borderId="6" xfId="0" applyFont="1" applyFill="1" applyBorder="1" applyAlignment="1">
      <alignment vertical="center"/>
    </xf>
    <xf numFmtId="0" fontId="0" fillId="3" borderId="7" xfId="0" applyFill="1" applyBorder="1" applyAlignment="1">
      <alignment horizontal="left" vertical="center" indent="1"/>
    </xf>
    <xf numFmtId="0" fontId="2" fillId="3" borderId="9" xfId="0" applyFont="1" applyFill="1" applyBorder="1" applyAlignment="1">
      <alignment vertical="center"/>
    </xf>
    <xf numFmtId="0" fontId="0" fillId="3" borderId="2" xfId="0" applyFill="1" applyBorder="1" applyAlignment="1">
      <alignment horizontal="left" vertical="center" indent="1"/>
    </xf>
    <xf numFmtId="164" fontId="0" fillId="3" borderId="3" xfId="0" applyNumberFormat="1" applyFill="1" applyBorder="1" applyAlignment="1">
      <alignment vertical="center"/>
    </xf>
    <xf numFmtId="164" fontId="0" fillId="3" borderId="1" xfId="0" applyNumberFormat="1" applyFill="1" applyBorder="1" applyAlignment="1">
      <alignment vertical="center"/>
    </xf>
    <xf numFmtId="0" fontId="4" fillId="4" borderId="0" xfId="0" applyFont="1" applyFill="1" applyAlignment="1">
      <alignment vertical="center"/>
    </xf>
    <xf numFmtId="0" fontId="7" fillId="4" borderId="2" xfId="0" applyFont="1" applyFill="1" applyBorder="1" applyAlignment="1">
      <alignment vertical="center"/>
    </xf>
    <xf numFmtId="0" fontId="6" fillId="4" borderId="1" xfId="0" applyFont="1" applyFill="1" applyBorder="1" applyAlignment="1">
      <alignment horizontal="center" vertical="center"/>
    </xf>
    <xf numFmtId="165" fontId="0" fillId="6" borderId="8" xfId="0" applyNumberFormat="1" applyFont="1" applyFill="1" applyBorder="1"/>
    <xf numFmtId="9" fontId="9" fillId="0" borderId="10" xfId="2" applyFont="1" applyFill="1" applyBorder="1"/>
    <xf numFmtId="9" fontId="9" fillId="0" borderId="0" xfId="2" applyFont="1" applyFill="1" applyBorder="1"/>
    <xf numFmtId="9" fontId="9" fillId="0" borderId="8" xfId="2" applyFont="1" applyFill="1" applyBorder="1"/>
    <xf numFmtId="0" fontId="10" fillId="0" borderId="0" xfId="0" applyFont="1" applyAlignment="1">
      <alignment horizontal="center"/>
    </xf>
    <xf numFmtId="0" fontId="0" fillId="0" borderId="0" xfId="0"/>
    <xf numFmtId="9" fontId="0" fillId="0" borderId="0" xfId="0" applyNumberFormat="1"/>
    <xf numFmtId="168" fontId="0" fillId="3" borderId="15" xfId="1" applyNumberFormat="1" applyFont="1" applyFill="1" applyBorder="1" applyAlignment="1">
      <alignment vertical="center"/>
    </xf>
    <xf numFmtId="168" fontId="0" fillId="3" borderId="8" xfId="1" applyNumberFormat="1" applyFont="1" applyFill="1" applyBorder="1" applyAlignment="1">
      <alignment vertical="center"/>
    </xf>
    <xf numFmtId="168" fontId="0" fillId="3" borderId="14" xfId="1" applyNumberFormat="1" applyFont="1" applyFill="1" applyBorder="1" applyAlignment="1">
      <alignment vertical="center"/>
    </xf>
    <xf numFmtId="168" fontId="0" fillId="3" borderId="0" xfId="1" applyNumberFormat="1" applyFont="1" applyFill="1" applyBorder="1" applyAlignment="1">
      <alignment vertical="center"/>
    </xf>
    <xf numFmtId="168" fontId="0" fillId="3" borderId="13" xfId="1" applyNumberFormat="1" applyFont="1" applyFill="1" applyBorder="1" applyAlignment="1">
      <alignment vertical="center"/>
    </xf>
    <xf numFmtId="168" fontId="0" fillId="3" borderId="10" xfId="1" applyNumberFormat="1" applyFont="1" applyFill="1" applyBorder="1" applyAlignment="1">
      <alignment vertical="center"/>
    </xf>
    <xf numFmtId="0" fontId="25" fillId="67" borderId="0" xfId="0" applyFont="1" applyFill="1"/>
    <xf numFmtId="0" fontId="25" fillId="67" borderId="0" xfId="0" applyFont="1" applyFill="1" applyAlignment="1">
      <alignment horizontal="center"/>
    </xf>
    <xf numFmtId="0" fontId="0" fillId="67" borderId="0" xfId="0" applyFont="1" applyFill="1"/>
    <xf numFmtId="0" fontId="23" fillId="67" borderId="0" xfId="0" applyFont="1" applyFill="1" applyAlignment="1">
      <alignment horizontal="left"/>
    </xf>
    <xf numFmtId="2" fontId="9" fillId="67" borderId="0" xfId="0" applyNumberFormat="1" applyFont="1" applyFill="1" applyAlignment="1">
      <alignment horizontal="center"/>
    </xf>
    <xf numFmtId="9" fontId="0" fillId="3" borderId="0" xfId="0" applyNumberFormat="1" applyFill="1" applyBorder="1" applyAlignment="1">
      <alignment vertical="center"/>
    </xf>
    <xf numFmtId="165" fontId="9" fillId="0" borderId="8" xfId="0" applyNumberFormat="1" applyFont="1" applyBorder="1"/>
    <xf numFmtId="165" fontId="9" fillId="0" borderId="9" xfId="0" applyNumberFormat="1" applyFont="1" applyBorder="1"/>
    <xf numFmtId="165" fontId="9" fillId="0" borderId="8" xfId="0" applyNumberFormat="1" applyFont="1" applyBorder="1" applyAlignment="1">
      <alignment wrapText="1"/>
    </xf>
    <xf numFmtId="9" fontId="0" fillId="0" borderId="0" xfId="2" applyFont="1" applyBorder="1"/>
    <xf numFmtId="9" fontId="0" fillId="0" borderId="6" xfId="2" applyFont="1" applyBorder="1"/>
    <xf numFmtId="9" fontId="0" fillId="0" borderId="8" xfId="2" applyFont="1" applyBorder="1"/>
    <xf numFmtId="9" fontId="0" fillId="0" borderId="9" xfId="2" applyFont="1" applyBorder="1"/>
    <xf numFmtId="0" fontId="9" fillId="68" borderId="0" xfId="0" applyFont="1" applyFill="1" applyAlignment="1">
      <alignment vertical="top" wrapText="1"/>
    </xf>
    <xf numFmtId="168" fontId="88" fillId="68" borderId="0" xfId="1" applyNumberFormat="1" applyFont="1" applyFill="1" applyAlignment="1">
      <alignment vertical="top" wrapText="1"/>
    </xf>
    <xf numFmtId="0" fontId="88" fillId="68" borderId="0" xfId="0" applyFont="1" applyFill="1" applyAlignment="1">
      <alignment vertical="top" wrapText="1"/>
    </xf>
    <xf numFmtId="0" fontId="88" fillId="68" borderId="0" xfId="0" applyFont="1" applyFill="1" applyAlignment="1">
      <alignment vertical="top"/>
    </xf>
    <xf numFmtId="0" fontId="88" fillId="66" borderId="0" xfId="0" applyFont="1" applyFill="1" applyAlignment="1"/>
    <xf numFmtId="0" fontId="88" fillId="66" borderId="0" xfId="0" applyFont="1" applyFill="1"/>
    <xf numFmtId="0" fontId="88" fillId="68" borderId="0" xfId="0" applyFont="1" applyFill="1" applyAlignment="1">
      <alignment horizontal="left" vertical="top" wrapText="1"/>
    </xf>
    <xf numFmtId="168" fontId="88" fillId="68" borderId="0" xfId="1" applyNumberFormat="1" applyFont="1" applyFill="1" applyAlignment="1">
      <alignment horizontal="center" vertical="top"/>
    </xf>
    <xf numFmtId="168" fontId="88" fillId="68" borderId="0" xfId="1" applyNumberFormat="1" applyFont="1" applyFill="1" applyAlignment="1">
      <alignment vertical="top"/>
    </xf>
    <xf numFmtId="168" fontId="88" fillId="68" borderId="0" xfId="1" applyNumberFormat="1" applyFont="1" applyFill="1" applyAlignment="1">
      <alignment horizontal="right" vertical="center"/>
    </xf>
    <xf numFmtId="0" fontId="6" fillId="4" borderId="10" xfId="0" applyFont="1" applyFill="1" applyBorder="1" applyAlignment="1">
      <alignment horizontal="center" vertical="center"/>
    </xf>
    <xf numFmtId="0" fontId="6" fillId="4" borderId="13" xfId="0" applyFont="1" applyFill="1" applyBorder="1" applyAlignment="1">
      <alignment horizontal="center" vertical="center"/>
    </xf>
    <xf numFmtId="0" fontId="2" fillId="3" borderId="10" xfId="0" applyFont="1" applyFill="1" applyBorder="1" applyAlignment="1">
      <alignment vertical="center"/>
    </xf>
    <xf numFmtId="168" fontId="0" fillId="3" borderId="11" xfId="0" applyNumberFormat="1" applyFill="1" applyBorder="1" applyAlignment="1">
      <alignment vertical="center"/>
    </xf>
    <xf numFmtId="168" fontId="0" fillId="3" borderId="10" xfId="0" applyNumberFormat="1" applyFill="1" applyBorder="1" applyAlignment="1">
      <alignment vertical="center"/>
    </xf>
    <xf numFmtId="168" fontId="0" fillId="3" borderId="13" xfId="0" applyNumberFormat="1" applyFill="1" applyBorder="1" applyAlignment="1">
      <alignment vertical="center"/>
    </xf>
    <xf numFmtId="168" fontId="0" fillId="3" borderId="5" xfId="0" applyNumberFormat="1" applyFill="1" applyBorder="1" applyAlignment="1">
      <alignment vertical="center"/>
    </xf>
    <xf numFmtId="168" fontId="0" fillId="3" borderId="0" xfId="0" applyNumberFormat="1" applyFill="1" applyBorder="1" applyAlignment="1">
      <alignment vertical="center"/>
    </xf>
    <xf numFmtId="168" fontId="0" fillId="3" borderId="14" xfId="0" applyNumberFormat="1" applyFill="1" applyBorder="1" applyAlignment="1">
      <alignment vertical="center"/>
    </xf>
    <xf numFmtId="168" fontId="0" fillId="3" borderId="7" xfId="0" applyNumberFormat="1" applyFill="1" applyBorder="1" applyAlignment="1">
      <alignment vertical="center"/>
    </xf>
    <xf numFmtId="0" fontId="0" fillId="3" borderId="8" xfId="0" applyFill="1" applyBorder="1" applyAlignment="1">
      <alignment vertical="center"/>
    </xf>
    <xf numFmtId="168" fontId="0" fillId="3" borderId="8" xfId="0" applyNumberFormat="1" applyFill="1" applyBorder="1" applyAlignment="1">
      <alignment vertical="center"/>
    </xf>
    <xf numFmtId="0" fontId="0" fillId="3" borderId="9" xfId="0" applyFill="1" applyBorder="1" applyAlignment="1">
      <alignment vertical="center"/>
    </xf>
    <xf numFmtId="168" fontId="0" fillId="3" borderId="15" xfId="0" applyNumberFormat="1" applyFill="1" applyBorder="1" applyAlignment="1">
      <alignment vertical="center"/>
    </xf>
    <xf numFmtId="0" fontId="0" fillId="67" borderId="0" xfId="0" applyFill="1"/>
    <xf numFmtId="0" fontId="23" fillId="67" borderId="0" xfId="0" applyFont="1" applyFill="1"/>
    <xf numFmtId="0" fontId="0" fillId="69" borderId="0" xfId="0" applyFill="1"/>
    <xf numFmtId="0" fontId="1" fillId="0" borderId="8" xfId="501" applyFont="1" applyFill="1" applyBorder="1" applyAlignment="1">
      <alignment horizontal="left" vertical="top"/>
    </xf>
    <xf numFmtId="0" fontId="1" fillId="0" borderId="8" xfId="501" applyFont="1" applyFill="1" applyBorder="1"/>
    <xf numFmtId="0" fontId="1" fillId="0" borderId="3" xfId="501" applyFont="1" applyFill="1" applyBorder="1" applyAlignment="1">
      <alignment horizontal="left" vertical="top"/>
    </xf>
    <xf numFmtId="0" fontId="1" fillId="0" borderId="3" xfId="501" applyFont="1" applyFill="1" applyBorder="1"/>
    <xf numFmtId="0" fontId="9" fillId="0" borderId="3" xfId="501" applyFont="1" applyFill="1" applyBorder="1"/>
    <xf numFmtId="0" fontId="2" fillId="0" borderId="3" xfId="501" applyFont="1" applyFill="1" applyBorder="1"/>
    <xf numFmtId="0" fontId="8" fillId="0" borderId="3" xfId="501" applyFont="1" applyFill="1" applyBorder="1"/>
    <xf numFmtId="0" fontId="8" fillId="0" borderId="8" xfId="501" applyFont="1" applyFill="1" applyBorder="1"/>
    <xf numFmtId="0" fontId="0" fillId="67" borderId="0" xfId="0" applyFill="1" applyAlignment="1">
      <alignment vertical="center"/>
    </xf>
    <xf numFmtId="0" fontId="23" fillId="67" borderId="0" xfId="0" applyFont="1" applyFill="1" applyAlignment="1">
      <alignment vertical="center"/>
    </xf>
    <xf numFmtId="168" fontId="0" fillId="70" borderId="0" xfId="1" applyNumberFormat="1" applyFont="1" applyFill="1" applyBorder="1"/>
    <xf numFmtId="189" fontId="0" fillId="0" borderId="0" xfId="0" applyNumberFormat="1" applyBorder="1"/>
    <xf numFmtId="189" fontId="0" fillId="0" borderId="6" xfId="0" applyNumberFormat="1" applyBorder="1"/>
    <xf numFmtId="189" fontId="0" fillId="0" borderId="8" xfId="0" applyNumberFormat="1" applyBorder="1"/>
    <xf numFmtId="189" fontId="0" fillId="0" borderId="9" xfId="0" applyNumberFormat="1" applyBorder="1"/>
    <xf numFmtId="2" fontId="0" fillId="0" borderId="0" xfId="0" applyNumberFormat="1" applyBorder="1"/>
    <xf numFmtId="0" fontId="1" fillId="0" borderId="8" xfId="501" applyFont="1" applyFill="1" applyBorder="1" applyAlignment="1">
      <alignment horizontal="left" vertical="top"/>
    </xf>
    <xf numFmtId="0" fontId="0" fillId="0" borderId="42" xfId="0" applyBorder="1"/>
    <xf numFmtId="0" fontId="0" fillId="0" borderId="43" xfId="0" applyBorder="1"/>
    <xf numFmtId="0" fontId="0" fillId="0" borderId="43" xfId="0" pivotButton="1" applyBorder="1"/>
    <xf numFmtId="0" fontId="0" fillId="0" borderId="42" xfId="0" pivotButton="1" applyBorder="1"/>
    <xf numFmtId="0" fontId="0" fillId="0" borderId="44" xfId="0" applyBorder="1"/>
    <xf numFmtId="0" fontId="0" fillId="0" borderId="45" xfId="0" applyBorder="1"/>
    <xf numFmtId="0" fontId="0" fillId="0" borderId="46" xfId="0" applyBorder="1"/>
    <xf numFmtId="167" fontId="0" fillId="0" borderId="42" xfId="0" applyNumberFormat="1" applyBorder="1"/>
    <xf numFmtId="167" fontId="0" fillId="0" borderId="46" xfId="0" applyNumberFormat="1" applyBorder="1"/>
    <xf numFmtId="0" fontId="0" fillId="0" borderId="47" xfId="0" applyBorder="1"/>
    <xf numFmtId="167" fontId="0" fillId="0" borderId="47" xfId="0" applyNumberFormat="1" applyBorder="1"/>
    <xf numFmtId="9" fontId="0" fillId="0" borderId="43" xfId="0" applyNumberFormat="1" applyBorder="1" applyAlignment="1">
      <alignment horizontal="left"/>
    </xf>
    <xf numFmtId="0" fontId="9" fillId="68" borderId="0" xfId="0" applyFont="1" applyFill="1" applyBorder="1" applyAlignment="1">
      <alignment vertical="top" wrapText="1"/>
    </xf>
    <xf numFmtId="0" fontId="90" fillId="0" borderId="3" xfId="501" applyFont="1" applyFill="1" applyBorder="1" applyAlignment="1">
      <alignment horizontal="left" vertical="top"/>
    </xf>
    <xf numFmtId="0" fontId="90" fillId="0" borderId="3" xfId="501" applyFont="1" applyFill="1" applyBorder="1"/>
    <xf numFmtId="0" fontId="9" fillId="3" borderId="0" xfId="0" applyFont="1" applyFill="1" applyAlignment="1">
      <alignment horizontal="left" vertical="center"/>
    </xf>
    <xf numFmtId="0" fontId="91" fillId="68" borderId="0" xfId="0" applyFont="1" applyFill="1" applyAlignment="1">
      <alignment wrapText="1"/>
    </xf>
    <xf numFmtId="0" fontId="91" fillId="0" borderId="0" xfId="0" applyFont="1" applyAlignment="1">
      <alignment wrapText="1"/>
    </xf>
    <xf numFmtId="0" fontId="92" fillId="68" borderId="0" xfId="0" applyFont="1" applyFill="1" applyAlignment="1"/>
    <xf numFmtId="0" fontId="93" fillId="68" borderId="0" xfId="0" applyFont="1" applyFill="1" applyAlignment="1">
      <alignment wrapText="1"/>
    </xf>
    <xf numFmtId="0" fontId="93" fillId="0" borderId="0" xfId="0" applyFont="1" applyAlignment="1">
      <alignment wrapText="1"/>
    </xf>
    <xf numFmtId="0" fontId="96" fillId="68" borderId="0" xfId="0" applyFont="1" applyFill="1" applyAlignment="1">
      <alignment wrapText="1"/>
    </xf>
    <xf numFmtId="0" fontId="94" fillId="0" borderId="0" xfId="0" applyFont="1" applyAlignment="1">
      <alignment wrapText="1"/>
    </xf>
    <xf numFmtId="9" fontId="96" fillId="68" borderId="0" xfId="2" applyFont="1" applyFill="1" applyAlignment="1">
      <alignment wrapText="1"/>
    </xf>
    <xf numFmtId="9" fontId="91" fillId="0" borderId="0" xfId="2" applyFont="1" applyAlignment="1">
      <alignment wrapText="1"/>
    </xf>
    <xf numFmtId="0" fontId="91" fillId="69" borderId="0" xfId="0" applyFont="1" applyFill="1" applyAlignment="1">
      <alignment wrapText="1"/>
    </xf>
    <xf numFmtId="0" fontId="91" fillId="69" borderId="1" xfId="0" applyFont="1" applyFill="1" applyBorder="1" applyAlignment="1">
      <alignment horizontal="center" wrapText="1"/>
    </xf>
    <xf numFmtId="0" fontId="92" fillId="69" borderId="0" xfId="0" applyFont="1" applyFill="1" applyAlignment="1"/>
    <xf numFmtId="0" fontId="94" fillId="69" borderId="0" xfId="0" applyFont="1" applyFill="1" applyAlignment="1">
      <alignment wrapText="1"/>
    </xf>
    <xf numFmtId="0" fontId="91" fillId="69" borderId="0" xfId="0" applyFont="1" applyFill="1" applyBorder="1" applyAlignment="1">
      <alignment wrapText="1"/>
    </xf>
    <xf numFmtId="0" fontId="95" fillId="69" borderId="0" xfId="0" applyFont="1" applyFill="1" applyBorder="1" applyAlignment="1">
      <alignment wrapText="1"/>
    </xf>
    <xf numFmtId="0" fontId="91" fillId="69" borderId="7" xfId="0" applyFont="1" applyFill="1" applyBorder="1" applyAlignment="1">
      <alignment wrapText="1"/>
    </xf>
    <xf numFmtId="0" fontId="93" fillId="69" borderId="0" xfId="0" applyFont="1" applyFill="1" applyAlignment="1">
      <alignment wrapText="1"/>
    </xf>
    <xf numFmtId="9" fontId="91" fillId="68" borderId="0" xfId="2" applyFont="1" applyFill="1" applyBorder="1" applyAlignment="1">
      <alignment wrapText="1"/>
    </xf>
    <xf numFmtId="0" fontId="91" fillId="71" borderId="0" xfId="0" applyFont="1" applyFill="1" applyAlignment="1">
      <alignment wrapText="1"/>
    </xf>
    <xf numFmtId="0" fontId="97" fillId="71" borderId="0" xfId="0" applyFont="1" applyFill="1" applyAlignment="1">
      <alignment wrapText="1"/>
    </xf>
    <xf numFmtId="0" fontId="91" fillId="69" borderId="0" xfId="0" applyFont="1" applyFill="1" applyBorder="1" applyAlignment="1">
      <alignment vertical="top" wrapText="1"/>
    </xf>
    <xf numFmtId="168" fontId="91" fillId="3" borderId="0" xfId="1" applyNumberFormat="1" applyFont="1" applyFill="1" applyBorder="1" applyAlignment="1">
      <alignment horizontal="left" vertical="center"/>
    </xf>
    <xf numFmtId="0" fontId="92" fillId="69" borderId="0" xfId="0" applyFont="1" applyFill="1" applyBorder="1" applyAlignment="1"/>
    <xf numFmtId="0" fontId="1" fillId="5" borderId="0" xfId="0" applyFont="1" applyFill="1" applyBorder="1" applyAlignment="1">
      <alignment horizontal="center" vertical="center" wrapText="1"/>
    </xf>
    <xf numFmtId="0" fontId="91" fillId="69" borderId="0" xfId="0" applyFont="1" applyFill="1" applyBorder="1" applyAlignment="1">
      <alignment horizontal="left" vertical="center" wrapText="1"/>
    </xf>
    <xf numFmtId="0" fontId="4" fillId="4" borderId="11" xfId="0" applyFont="1" applyFill="1" applyBorder="1" applyAlignment="1">
      <alignment vertical="center"/>
    </xf>
    <xf numFmtId="0" fontId="6" fillId="4" borderId="12" xfId="0" applyFont="1" applyFill="1" applyBorder="1" applyAlignment="1">
      <alignment horizontal="center" vertical="center"/>
    </xf>
    <xf numFmtId="168" fontId="91" fillId="3" borderId="6" xfId="1" applyNumberFormat="1" applyFont="1" applyFill="1" applyBorder="1" applyAlignment="1">
      <alignment horizontal="left" vertical="center"/>
    </xf>
    <xf numFmtId="0" fontId="91" fillId="69" borderId="5" xfId="0" applyFont="1" applyFill="1" applyBorder="1" applyAlignment="1">
      <alignment horizontal="left" vertical="center" wrapText="1"/>
    </xf>
    <xf numFmtId="0" fontId="91" fillId="69" borderId="7" xfId="0" applyFont="1" applyFill="1" applyBorder="1" applyAlignment="1">
      <alignment horizontal="left" vertical="center" wrapText="1"/>
    </xf>
    <xf numFmtId="0" fontId="91" fillId="69" borderId="8" xfId="0" applyFont="1" applyFill="1" applyBorder="1" applyAlignment="1">
      <alignment horizontal="left" vertical="center" wrapText="1"/>
    </xf>
    <xf numFmtId="168" fontId="91" fillId="3" borderId="8" xfId="1" applyNumberFormat="1" applyFont="1" applyFill="1" applyBorder="1" applyAlignment="1">
      <alignment horizontal="left" vertical="center"/>
    </xf>
    <xf numFmtId="168" fontId="91" fillId="3" borderId="9" xfId="1" applyNumberFormat="1" applyFont="1" applyFill="1" applyBorder="1" applyAlignment="1">
      <alignment horizontal="left" vertical="center"/>
    </xf>
    <xf numFmtId="0" fontId="6" fillId="4" borderId="0" xfId="0" applyFont="1" applyFill="1" applyBorder="1" applyAlignment="1">
      <alignment horizontal="center" vertical="center" wrapText="1"/>
    </xf>
    <xf numFmtId="168" fontId="91" fillId="69" borderId="0" xfId="1" applyNumberFormat="1" applyFont="1" applyFill="1" applyBorder="1" applyAlignment="1">
      <alignment wrapText="1"/>
    </xf>
    <xf numFmtId="0" fontId="4" fillId="4" borderId="11" xfId="0" applyFont="1" applyFill="1" applyBorder="1" applyAlignment="1">
      <alignment horizontal="left" vertical="center" wrapText="1"/>
    </xf>
    <xf numFmtId="0" fontId="6" fillId="4" borderId="10" xfId="0" applyFont="1" applyFill="1" applyBorder="1" applyAlignment="1">
      <alignment horizontal="center" vertical="center" wrapText="1"/>
    </xf>
    <xf numFmtId="168" fontId="6" fillId="4" borderId="10" xfId="0" applyNumberFormat="1" applyFont="1" applyFill="1" applyBorder="1" applyAlignment="1">
      <alignment horizontal="center" vertical="center" wrapText="1"/>
    </xf>
    <xf numFmtId="0" fontId="6" fillId="4" borderId="12" xfId="0" applyFont="1" applyFill="1" applyBorder="1" applyAlignment="1">
      <alignment horizontal="center" vertical="center" wrapText="1"/>
    </xf>
    <xf numFmtId="9" fontId="91" fillId="69" borderId="6" xfId="2" applyFont="1" applyFill="1" applyBorder="1" applyAlignment="1">
      <alignment wrapText="1"/>
    </xf>
    <xf numFmtId="0" fontId="91" fillId="69" borderId="8" xfId="0" quotePrefix="1" applyFont="1" applyFill="1" applyBorder="1" applyAlignment="1">
      <alignment wrapText="1"/>
    </xf>
    <xf numFmtId="168" fontId="91" fillId="69" borderId="8" xfId="1" applyNumberFormat="1" applyFont="1" applyFill="1" applyBorder="1" applyAlignment="1">
      <alignment wrapText="1"/>
    </xf>
    <xf numFmtId="9" fontId="91" fillId="69" borderId="9" xfId="2" applyFont="1" applyFill="1" applyBorder="1" applyAlignment="1">
      <alignment horizontal="right" wrapText="1"/>
    </xf>
    <xf numFmtId="0" fontId="91" fillId="69" borderId="0" xfId="0" applyFont="1" applyFill="1" applyBorder="1" applyAlignment="1">
      <alignment horizontal="center" vertical="center" wrapText="1"/>
    </xf>
    <xf numFmtId="3" fontId="91" fillId="69" borderId="0" xfId="0" applyNumberFormat="1" applyFont="1" applyFill="1" applyBorder="1" applyAlignment="1">
      <alignment wrapText="1"/>
    </xf>
    <xf numFmtId="191" fontId="91" fillId="3" borderId="0" xfId="1" applyNumberFormat="1" applyFont="1" applyFill="1" applyBorder="1" applyAlignment="1">
      <alignment horizontal="left" vertical="center"/>
    </xf>
    <xf numFmtId="9" fontId="91" fillId="69" borderId="0" xfId="2" applyNumberFormat="1" applyFont="1" applyFill="1" applyBorder="1" applyAlignment="1">
      <alignment wrapText="1"/>
    </xf>
    <xf numFmtId="0" fontId="91" fillId="3" borderId="0" xfId="0" applyFont="1" applyFill="1" applyBorder="1" applyAlignment="1">
      <alignment horizontal="left" vertical="center"/>
    </xf>
    <xf numFmtId="0" fontId="91" fillId="69" borderId="6" xfId="0" applyFont="1" applyFill="1" applyBorder="1" applyAlignment="1">
      <alignment horizontal="center" vertical="center" wrapText="1"/>
    </xf>
    <xf numFmtId="0" fontId="92" fillId="69" borderId="5" xfId="0" applyFont="1" applyFill="1" applyBorder="1" applyAlignment="1">
      <alignment horizontal="left" vertical="center" wrapText="1"/>
    </xf>
    <xf numFmtId="3" fontId="91" fillId="69" borderId="6" xfId="0" applyNumberFormat="1" applyFont="1" applyFill="1" applyBorder="1" applyAlignment="1">
      <alignment wrapText="1"/>
    </xf>
    <xf numFmtId="191" fontId="91" fillId="3" borderId="6" xfId="1" applyNumberFormat="1" applyFont="1" applyFill="1" applyBorder="1" applyAlignment="1">
      <alignment horizontal="left" vertical="center"/>
    </xf>
    <xf numFmtId="9" fontId="91" fillId="69" borderId="6" xfId="2" applyNumberFormat="1" applyFont="1" applyFill="1" applyBorder="1" applyAlignment="1">
      <alignment wrapText="1"/>
    </xf>
    <xf numFmtId="0" fontId="91" fillId="69" borderId="5" xfId="0" applyFont="1" applyFill="1" applyBorder="1" applyAlignment="1">
      <alignment wrapText="1"/>
    </xf>
    <xf numFmtId="9" fontId="91" fillId="69" borderId="8" xfId="2" applyNumberFormat="1" applyFont="1" applyFill="1" applyBorder="1" applyAlignment="1">
      <alignment wrapText="1"/>
    </xf>
    <xf numFmtId="191" fontId="91" fillId="3" borderId="9" xfId="1" applyNumberFormat="1" applyFont="1" applyFill="1" applyBorder="1" applyAlignment="1">
      <alignment horizontal="left" vertical="center"/>
    </xf>
    <xf numFmtId="191" fontId="91" fillId="3" borderId="8" xfId="1" applyNumberFormat="1" applyFont="1" applyFill="1" applyBorder="1" applyAlignment="1">
      <alignment horizontal="left" vertical="center"/>
    </xf>
    <xf numFmtId="168" fontId="91" fillId="69" borderId="0" xfId="0" applyNumberFormat="1" applyFont="1" applyFill="1" applyBorder="1" applyAlignment="1">
      <alignment vertical="top" wrapText="1"/>
    </xf>
    <xf numFmtId="164" fontId="0" fillId="3" borderId="0" xfId="2" applyNumberFormat="1" applyFont="1" applyFill="1" applyAlignment="1">
      <alignment vertical="center"/>
    </xf>
    <xf numFmtId="164" fontId="0" fillId="3" borderId="7" xfId="2" applyNumberFormat="1" applyFont="1" applyFill="1" applyBorder="1" applyAlignment="1">
      <alignment vertical="center"/>
    </xf>
    <xf numFmtId="164" fontId="2" fillId="3" borderId="8" xfId="2" applyNumberFormat="1" applyFont="1" applyFill="1" applyBorder="1" applyAlignment="1">
      <alignment vertical="center"/>
    </xf>
    <xf numFmtId="164" fontId="0" fillId="0" borderId="8" xfId="2" applyNumberFormat="1" applyFont="1" applyBorder="1"/>
    <xf numFmtId="164" fontId="0" fillId="0" borderId="9" xfId="2" applyNumberFormat="1" applyFont="1" applyBorder="1"/>
    <xf numFmtId="164" fontId="0" fillId="2" borderId="0" xfId="2" applyNumberFormat="1" applyFont="1" applyFill="1" applyAlignment="1">
      <alignment vertical="center"/>
    </xf>
    <xf numFmtId="0" fontId="0" fillId="0" borderId="48" xfId="0" applyBorder="1"/>
    <xf numFmtId="0" fontId="0" fillId="0" borderId="49" xfId="0" applyBorder="1"/>
    <xf numFmtId="167" fontId="0" fillId="0" borderId="48" xfId="0" applyNumberFormat="1" applyBorder="1"/>
    <xf numFmtId="167" fontId="0" fillId="0" borderId="50" xfId="0" applyNumberFormat="1" applyBorder="1"/>
    <xf numFmtId="0" fontId="0" fillId="0" borderId="51" xfId="0" applyBorder="1"/>
    <xf numFmtId="167" fontId="0" fillId="0" borderId="51" xfId="0" applyNumberFormat="1" applyBorder="1"/>
    <xf numFmtId="167" fontId="0" fillId="0" borderId="0" xfId="0" applyNumberFormat="1"/>
    <xf numFmtId="167" fontId="0" fillId="0" borderId="52" xfId="0" applyNumberFormat="1" applyBorder="1"/>
    <xf numFmtId="0" fontId="0" fillId="0" borderId="53" xfId="0" applyBorder="1"/>
    <xf numFmtId="167" fontId="0" fillId="0" borderId="54" xfId="0" applyNumberFormat="1" applyBorder="1"/>
    <xf numFmtId="168" fontId="0" fillId="0" borderId="0" xfId="1" applyNumberFormat="1" applyFont="1" applyBorder="1"/>
    <xf numFmtId="168" fontId="0" fillId="0" borderId="6" xfId="1" applyNumberFormat="1" applyFont="1" applyBorder="1"/>
    <xf numFmtId="168" fontId="0" fillId="3" borderId="6" xfId="1" applyNumberFormat="1" applyFont="1" applyFill="1" applyBorder="1" applyAlignment="1">
      <alignment vertical="center"/>
    </xf>
    <xf numFmtId="168" fontId="0" fillId="3" borderId="0" xfId="1" applyNumberFormat="1" applyFont="1" applyFill="1" applyAlignment="1">
      <alignment vertical="center"/>
    </xf>
    <xf numFmtId="168" fontId="0" fillId="3" borderId="5" xfId="1" applyNumberFormat="1" applyFont="1" applyFill="1" applyBorder="1" applyAlignment="1">
      <alignment horizontal="left" vertical="center" indent="2"/>
    </xf>
    <xf numFmtId="168" fontId="2" fillId="3" borderId="0" xfId="1" applyNumberFormat="1" applyFont="1" applyFill="1" applyBorder="1" applyAlignment="1">
      <alignment vertical="center"/>
    </xf>
    <xf numFmtId="168" fontId="0" fillId="2" borderId="0" xfId="1" applyNumberFormat="1" applyFont="1" applyFill="1" applyAlignment="1">
      <alignment vertical="center"/>
    </xf>
    <xf numFmtId="168" fontId="0" fillId="3" borderId="5" xfId="1" applyNumberFormat="1" applyFont="1" applyFill="1" applyBorder="1" applyAlignment="1">
      <alignment horizontal="left" vertical="center" indent="1"/>
    </xf>
    <xf numFmtId="168" fontId="0" fillId="3" borderId="5" xfId="1" applyNumberFormat="1" applyFont="1" applyFill="1" applyBorder="1" applyAlignment="1">
      <alignment vertical="center"/>
    </xf>
    <xf numFmtId="43" fontId="0" fillId="3" borderId="11" xfId="0" applyNumberFormat="1" applyFill="1" applyBorder="1" applyAlignment="1">
      <alignment vertical="center"/>
    </xf>
    <xf numFmtId="43" fontId="0" fillId="3" borderId="10" xfId="0" applyNumberFormat="1" applyFill="1" applyBorder="1" applyAlignment="1">
      <alignment vertical="center"/>
    </xf>
    <xf numFmtId="43" fontId="0" fillId="3" borderId="12" xfId="0" applyNumberFormat="1" applyFill="1" applyBorder="1" applyAlignment="1">
      <alignment vertical="center"/>
    </xf>
    <xf numFmtId="43" fontId="0" fillId="3" borderId="13" xfId="0" applyNumberFormat="1" applyFill="1" applyBorder="1" applyAlignment="1">
      <alignment vertical="center"/>
    </xf>
    <xf numFmtId="43" fontId="0" fillId="3" borderId="7" xfId="0" applyNumberFormat="1" applyFill="1" applyBorder="1" applyAlignment="1">
      <alignment vertical="center"/>
    </xf>
    <xf numFmtId="43" fontId="0" fillId="3" borderId="8" xfId="0" applyNumberFormat="1" applyFill="1" applyBorder="1" applyAlignment="1">
      <alignment vertical="center"/>
    </xf>
    <xf numFmtId="43" fontId="0" fillId="3" borderId="9" xfId="0" applyNumberFormat="1" applyFill="1" applyBorder="1" applyAlignment="1">
      <alignment vertical="center"/>
    </xf>
    <xf numFmtId="43" fontId="0" fillId="3" borderId="15" xfId="0" applyNumberFormat="1" applyFill="1" applyBorder="1" applyAlignment="1">
      <alignment vertical="center"/>
    </xf>
    <xf numFmtId="2" fontId="0" fillId="3" borderId="14" xfId="0" applyNumberFormat="1" applyFill="1" applyBorder="1" applyAlignment="1">
      <alignment vertical="center"/>
    </xf>
    <xf numFmtId="43" fontId="0" fillId="3" borderId="0" xfId="0" applyNumberFormat="1" applyFill="1" applyAlignment="1">
      <alignment vertical="center"/>
    </xf>
    <xf numFmtId="0" fontId="0" fillId="72" borderId="0" xfId="0" applyFill="1" applyAlignment="1">
      <alignment horizontal="left" vertical="center"/>
    </xf>
    <xf numFmtId="10" fontId="0" fillId="3" borderId="0" xfId="2" applyNumberFormat="1" applyFont="1" applyFill="1" applyBorder="1" applyAlignment="1">
      <alignment vertical="center"/>
    </xf>
    <xf numFmtId="10" fontId="0" fillId="3" borderId="6" xfId="2" applyNumberFormat="1" applyFont="1" applyFill="1" applyBorder="1" applyAlignment="1">
      <alignment vertical="center"/>
    </xf>
    <xf numFmtId="9" fontId="91" fillId="69" borderId="0" xfId="2" applyFont="1" applyFill="1" applyAlignment="1">
      <alignment wrapText="1"/>
    </xf>
    <xf numFmtId="10" fontId="91" fillId="69" borderId="0" xfId="2" applyNumberFormat="1" applyFont="1" applyFill="1" applyAlignment="1">
      <alignment wrapText="1"/>
    </xf>
    <xf numFmtId="9" fontId="0" fillId="2" borderId="0" xfId="2" applyFont="1" applyFill="1" applyAlignment="1">
      <alignment vertical="center"/>
    </xf>
    <xf numFmtId="164" fontId="9" fillId="68" borderId="0" xfId="2" applyNumberFormat="1" applyFont="1" applyFill="1" applyBorder="1" applyAlignment="1">
      <alignment vertical="top" wrapText="1"/>
    </xf>
    <xf numFmtId="0" fontId="96" fillId="0" borderId="0" xfId="0" applyFont="1" applyFill="1" applyAlignment="1">
      <alignment wrapText="1"/>
    </xf>
    <xf numFmtId="0" fontId="96" fillId="0" borderId="0" xfId="0" applyFont="1" applyFill="1" applyAlignment="1"/>
    <xf numFmtId="9" fontId="96" fillId="0" borderId="11" xfId="2" applyFont="1" applyFill="1" applyBorder="1" applyAlignment="1">
      <alignment wrapText="1"/>
    </xf>
    <xf numFmtId="9" fontId="96" fillId="0" borderId="1" xfId="2" applyFont="1" applyFill="1" applyBorder="1" applyAlignment="1">
      <alignment wrapText="1"/>
    </xf>
    <xf numFmtId="9" fontId="96" fillId="0" borderId="7" xfId="2" applyFont="1" applyFill="1" applyBorder="1" applyAlignment="1">
      <alignment wrapText="1"/>
    </xf>
    <xf numFmtId="0" fontId="96" fillId="0" borderId="5" xfId="0" applyFont="1" applyFill="1" applyBorder="1" applyAlignment="1">
      <alignment wrapText="1"/>
    </xf>
    <xf numFmtId="9" fontId="96" fillId="0" borderId="10" xfId="2" applyFont="1" applyFill="1" applyBorder="1" applyAlignment="1">
      <alignment wrapText="1"/>
    </xf>
    <xf numFmtId="9" fontId="96" fillId="0" borderId="12" xfId="2" applyFont="1" applyFill="1" applyBorder="1" applyAlignment="1">
      <alignment wrapText="1"/>
    </xf>
    <xf numFmtId="9" fontId="96" fillId="0" borderId="5" xfId="2" applyFont="1" applyFill="1" applyBorder="1" applyAlignment="1">
      <alignment wrapText="1"/>
    </xf>
    <xf numFmtId="9" fontId="96" fillId="0" borderId="0" xfId="2" applyFont="1" applyFill="1" applyBorder="1" applyAlignment="1">
      <alignment wrapText="1"/>
    </xf>
    <xf numFmtId="9" fontId="96" fillId="0" borderId="6" xfId="2" applyFont="1" applyFill="1" applyBorder="1" applyAlignment="1">
      <alignment wrapText="1"/>
    </xf>
    <xf numFmtId="9" fontId="96" fillId="0" borderId="0" xfId="2" applyFont="1" applyFill="1" applyAlignment="1">
      <alignment wrapText="1"/>
    </xf>
    <xf numFmtId="10" fontId="96" fillId="0" borderId="0" xfId="2" applyNumberFormat="1" applyFont="1" applyFill="1" applyBorder="1" applyAlignment="1">
      <alignment wrapText="1"/>
    </xf>
    <xf numFmtId="0" fontId="96" fillId="0" borderId="5" xfId="0" applyFont="1" applyFill="1" applyBorder="1" applyAlignment="1"/>
    <xf numFmtId="0" fontId="96" fillId="0" borderId="0" xfId="0" applyFont="1" applyFill="1" applyBorder="1" applyAlignment="1">
      <alignment wrapText="1"/>
    </xf>
    <xf numFmtId="0" fontId="96" fillId="0" borderId="6" xfId="0" applyFont="1" applyFill="1" applyBorder="1" applyAlignment="1">
      <alignment wrapText="1"/>
    </xf>
    <xf numFmtId="0" fontId="96" fillId="0" borderId="11" xfId="0" applyFont="1" applyFill="1" applyBorder="1" applyAlignment="1">
      <alignment wrapText="1"/>
    </xf>
    <xf numFmtId="0" fontId="96" fillId="0" borderId="10" xfId="0" applyFont="1" applyFill="1" applyBorder="1" applyAlignment="1">
      <alignment wrapText="1"/>
    </xf>
    <xf numFmtId="0" fontId="96" fillId="0" borderId="12" xfId="0" applyFont="1" applyFill="1" applyBorder="1" applyAlignment="1">
      <alignment wrapText="1"/>
    </xf>
    <xf numFmtId="0" fontId="96" fillId="0" borderId="7" xfId="0" applyFont="1" applyFill="1" applyBorder="1" applyAlignment="1">
      <alignment wrapText="1"/>
    </xf>
    <xf numFmtId="9" fontId="96" fillId="0" borderId="8" xfId="2" applyFont="1" applyFill="1" applyBorder="1" applyAlignment="1">
      <alignment wrapText="1"/>
    </xf>
    <xf numFmtId="9" fontId="96" fillId="0" borderId="9" xfId="2" applyFont="1" applyFill="1" applyBorder="1" applyAlignment="1">
      <alignment wrapText="1"/>
    </xf>
    <xf numFmtId="164" fontId="91" fillId="69" borderId="0" xfId="2" applyNumberFormat="1" applyFont="1" applyFill="1" applyAlignment="1">
      <alignment wrapText="1"/>
    </xf>
    <xf numFmtId="168" fontId="91" fillId="69" borderId="0" xfId="0" applyNumberFormat="1" applyFont="1" applyFill="1" applyAlignment="1">
      <alignment wrapText="1"/>
    </xf>
    <xf numFmtId="43" fontId="91" fillId="69" borderId="0" xfId="0" applyNumberFormat="1" applyFont="1" applyFill="1" applyAlignment="1">
      <alignment wrapText="1"/>
    </xf>
    <xf numFmtId="3" fontId="0" fillId="3" borderId="0" xfId="0" applyNumberFormat="1" applyFill="1" applyAlignment="1">
      <alignment vertical="center"/>
    </xf>
    <xf numFmtId="0" fontId="0" fillId="68" borderId="0" xfId="0" applyFill="1" applyAlignment="1">
      <alignment vertical="center"/>
    </xf>
    <xf numFmtId="0" fontId="0" fillId="68" borderId="0" xfId="0" applyFill="1" applyBorder="1" applyAlignment="1">
      <alignment vertical="center"/>
    </xf>
    <xf numFmtId="2" fontId="0" fillId="68" borderId="0" xfId="0" applyNumberFormat="1" applyFill="1" applyBorder="1" applyAlignment="1">
      <alignment vertical="center"/>
    </xf>
    <xf numFmtId="164" fontId="0" fillId="3" borderId="10" xfId="0" applyNumberFormat="1" applyFill="1" applyBorder="1" applyAlignment="1">
      <alignment vertical="center"/>
    </xf>
    <xf numFmtId="167" fontId="0" fillId="3" borderId="0" xfId="0" applyNumberFormat="1" applyFill="1" applyAlignment="1">
      <alignment vertical="center"/>
    </xf>
    <xf numFmtId="0" fontId="6" fillId="4" borderId="0" xfId="0" applyFont="1" applyFill="1" applyBorder="1" applyAlignment="1">
      <alignment horizontal="center" vertical="center" wrapText="1"/>
    </xf>
    <xf numFmtId="3" fontId="91" fillId="69" borderId="0" xfId="2" applyNumberFormat="1" applyFont="1" applyFill="1" applyBorder="1" applyAlignment="1">
      <alignment wrapText="1"/>
    </xf>
    <xf numFmtId="0" fontId="91" fillId="69" borderId="0" xfId="0" applyFont="1" applyFill="1" applyAlignment="1">
      <alignment horizontal="center" wrapText="1"/>
    </xf>
    <xf numFmtId="0" fontId="26" fillId="0" borderId="10" xfId="501" applyFont="1" applyFill="1" applyBorder="1" applyAlignment="1">
      <alignment horizontal="left" vertical="top" wrapText="1"/>
    </xf>
    <xf numFmtId="0" fontId="26" fillId="0" borderId="0" xfId="501" applyFont="1" applyFill="1" applyBorder="1" applyAlignment="1">
      <alignment horizontal="left" vertical="top" wrapText="1"/>
    </xf>
    <xf numFmtId="0" fontId="9" fillId="0" borderId="3" xfId="501" applyFont="1" applyFill="1" applyBorder="1" applyAlignment="1">
      <alignment horizontal="left" vertical="top" wrapText="1"/>
    </xf>
    <xf numFmtId="0" fontId="9" fillId="0" borderId="0" xfId="501" applyFont="1" applyFill="1" applyAlignment="1">
      <alignment horizontal="left" vertical="top" wrapText="1"/>
    </xf>
    <xf numFmtId="0" fontId="9" fillId="0" borderId="8" xfId="501" applyFont="1" applyFill="1" applyBorder="1" applyAlignment="1">
      <alignment horizontal="left" vertical="top" wrapText="1"/>
    </xf>
    <xf numFmtId="0" fontId="1" fillId="0" borderId="10" xfId="501" applyFont="1" applyFill="1" applyBorder="1" applyAlignment="1">
      <alignment horizontal="left" vertical="top"/>
    </xf>
    <xf numFmtId="0" fontId="1" fillId="0" borderId="8" xfId="501" applyFont="1" applyFill="1" applyBorder="1" applyAlignment="1">
      <alignment horizontal="left" vertical="top"/>
    </xf>
    <xf numFmtId="0" fontId="9" fillId="0" borderId="10" xfId="501" applyFont="1" applyFill="1" applyBorder="1" applyAlignment="1">
      <alignment horizontal="left" vertical="top" wrapText="1"/>
    </xf>
    <xf numFmtId="0" fontId="0" fillId="0" borderId="3" xfId="501" applyFont="1" applyFill="1" applyBorder="1" applyAlignment="1">
      <alignment horizontal="left" vertical="top" wrapText="1"/>
    </xf>
    <xf numFmtId="0" fontId="8" fillId="0" borderId="3" xfId="501" applyFont="1" applyFill="1" applyBorder="1" applyAlignment="1">
      <alignment horizontal="left" vertical="top" wrapText="1"/>
    </xf>
    <xf numFmtId="0" fontId="9" fillId="0" borderId="10" xfId="501" applyFont="1" applyFill="1" applyBorder="1" applyAlignment="1">
      <alignment vertical="center" wrapText="1"/>
    </xf>
    <xf numFmtId="0" fontId="9" fillId="0" borderId="0" xfId="501" applyFont="1" applyFill="1" applyBorder="1" applyAlignment="1">
      <alignment vertical="center" wrapText="1"/>
    </xf>
    <xf numFmtId="0" fontId="9" fillId="0" borderId="8" xfId="501" applyFont="1" applyFill="1" applyBorder="1" applyAlignment="1">
      <alignment vertical="center" wrapText="1"/>
    </xf>
    <xf numFmtId="0" fontId="9" fillId="66" borderId="0" xfId="0" applyFont="1" applyFill="1" applyAlignment="1">
      <alignment horizontal="left" vertical="top" wrapText="1"/>
    </xf>
    <xf numFmtId="0" fontId="0" fillId="2" borderId="0" xfId="0" applyFill="1" applyAlignment="1">
      <alignment horizontal="left" vertical="top" wrapText="1"/>
    </xf>
    <xf numFmtId="0" fontId="0" fillId="2" borderId="0" xfId="0" applyFill="1" applyAlignment="1">
      <alignment horizontal="left" vertical="top"/>
    </xf>
    <xf numFmtId="0" fontId="25" fillId="67" borderId="0" xfId="0" applyFont="1" applyFill="1" applyBorder="1" applyAlignment="1">
      <alignment horizontal="left"/>
    </xf>
    <xf numFmtId="0" fontId="9" fillId="68" borderId="0" xfId="0" applyFont="1" applyFill="1" applyBorder="1" applyAlignment="1">
      <alignment horizontal="left" vertical="top" wrapText="1"/>
    </xf>
    <xf numFmtId="0" fontId="6" fillId="4" borderId="12"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91" fillId="69" borderId="0" xfId="0" applyFont="1" applyFill="1" applyBorder="1" applyAlignment="1">
      <alignment horizontal="left" vertical="top" wrapText="1"/>
    </xf>
    <xf numFmtId="0" fontId="91" fillId="68" borderId="0" xfId="0" applyFont="1" applyFill="1" applyAlignment="1">
      <alignment horizontal="left" vertical="top" wrapText="1"/>
    </xf>
    <xf numFmtId="9" fontId="96" fillId="0" borderId="2" xfId="2" applyFont="1" applyFill="1" applyBorder="1" applyAlignment="1">
      <alignment horizontal="center" wrapText="1"/>
    </xf>
    <xf numFmtId="9" fontId="96" fillId="0" borderId="3" xfId="2" applyFont="1" applyFill="1" applyBorder="1" applyAlignment="1">
      <alignment horizontal="center" wrapText="1"/>
    </xf>
    <xf numFmtId="9" fontId="96" fillId="0" borderId="4" xfId="2" applyFont="1" applyFill="1" applyBorder="1" applyAlignment="1">
      <alignment horizontal="center" wrapText="1"/>
    </xf>
    <xf numFmtId="0" fontId="91" fillId="69" borderId="5" xfId="0" applyFont="1" applyFill="1" applyBorder="1" applyAlignment="1">
      <alignment horizontal="left" vertical="center" wrapText="1"/>
    </xf>
    <xf numFmtId="0" fontId="1" fillId="5" borderId="0" xfId="0" applyFont="1" applyFill="1" applyBorder="1" applyAlignment="1">
      <alignment horizontal="center" vertical="center" wrapText="1"/>
    </xf>
    <xf numFmtId="190" fontId="91" fillId="69" borderId="5" xfId="0" applyNumberFormat="1" applyFont="1" applyFill="1" applyBorder="1" applyAlignment="1">
      <alignment horizontal="left" vertical="center" wrapText="1"/>
    </xf>
    <xf numFmtId="0" fontId="5" fillId="67" borderId="0" xfId="0" applyFont="1" applyFill="1" applyAlignment="1">
      <alignment horizontal="left"/>
    </xf>
    <xf numFmtId="0" fontId="23" fillId="67" borderId="0" xfId="0" applyFont="1" applyFill="1" applyAlignment="1">
      <alignment horizontal="left" vertical="center"/>
    </xf>
    <xf numFmtId="0" fontId="9" fillId="68" borderId="0" xfId="0" applyFont="1" applyFill="1" applyAlignment="1">
      <alignment horizontal="left" vertical="top" wrapText="1"/>
    </xf>
    <xf numFmtId="0" fontId="88" fillId="68" borderId="0" xfId="0" applyFont="1" applyFill="1" applyAlignment="1">
      <alignment horizontal="left" vertical="top" wrapText="1"/>
    </xf>
    <xf numFmtId="0" fontId="89" fillId="67" borderId="0" xfId="0" applyFont="1" applyFill="1" applyAlignment="1">
      <alignment horizontal="left"/>
    </xf>
    <xf numFmtId="0" fontId="88" fillId="68" borderId="0" xfId="0" applyFont="1" applyFill="1" applyAlignment="1">
      <alignment horizontal="left" vertical="top"/>
    </xf>
    <xf numFmtId="0" fontId="88" fillId="68" borderId="0" xfId="0" quotePrefix="1" applyFont="1" applyFill="1" applyAlignment="1">
      <alignment horizontal="left" vertical="top"/>
    </xf>
  </cellXfs>
  <cellStyles count="1355">
    <cellStyle name="_x0013_" xfId="502"/>
    <cellStyle name="_x0013_ 10" xfId="503"/>
    <cellStyle name="_x0013_ 100" xfId="504"/>
    <cellStyle name="_x0013_ 101" xfId="505"/>
    <cellStyle name="_x0013_ 102" xfId="506"/>
    <cellStyle name="_x0013_ 103" xfId="507"/>
    <cellStyle name="_x0013_ 104" xfId="508"/>
    <cellStyle name="_x0013_ 105" xfId="509"/>
    <cellStyle name="_x0013_ 106" xfId="510"/>
    <cellStyle name="_x0013_ 107" xfId="511"/>
    <cellStyle name="_x0013_ 108" xfId="512"/>
    <cellStyle name="_x0013_ 109" xfId="513"/>
    <cellStyle name="_x0013_ 11" xfId="514"/>
    <cellStyle name="_x0013_ 110" xfId="515"/>
    <cellStyle name="_x0013_ 110 2" xfId="516"/>
    <cellStyle name="_x0013_ 111" xfId="517"/>
    <cellStyle name="_x0013_ 112" xfId="518"/>
    <cellStyle name="_x0013_ 113" xfId="519"/>
    <cellStyle name="_x0013_ 114" xfId="520"/>
    <cellStyle name="_x0013_ 12" xfId="521"/>
    <cellStyle name="_x0013_ 13" xfId="522"/>
    <cellStyle name="_x0013_ 14" xfId="523"/>
    <cellStyle name="_x0013_ 15" xfId="524"/>
    <cellStyle name="_x0013_ 16" xfId="525"/>
    <cellStyle name="_x0013_ 17" xfId="526"/>
    <cellStyle name="_x0013_ 18" xfId="527"/>
    <cellStyle name="_x0013_ 19" xfId="528"/>
    <cellStyle name="_x0013_ 2" xfId="529"/>
    <cellStyle name="_x0013_ 20" xfId="530"/>
    <cellStyle name="_x0013_ 21" xfId="531"/>
    <cellStyle name="_x0013_ 22" xfId="532"/>
    <cellStyle name="_x0013_ 23" xfId="533"/>
    <cellStyle name="_x0013_ 24" xfId="534"/>
    <cellStyle name="_x0013_ 25" xfId="535"/>
    <cellStyle name="_x0013_ 26" xfId="536"/>
    <cellStyle name="_x0013_ 27" xfId="537"/>
    <cellStyle name="_x0013_ 28" xfId="538"/>
    <cellStyle name="_x0013_ 29" xfId="539"/>
    <cellStyle name="_x0013_ 3" xfId="540"/>
    <cellStyle name="_x0013_ 30" xfId="541"/>
    <cellStyle name="_x0013_ 31" xfId="542"/>
    <cellStyle name="_x0013_ 32" xfId="543"/>
    <cellStyle name="_x0013_ 33" xfId="544"/>
    <cellStyle name="_x0013_ 34" xfId="545"/>
    <cellStyle name="_x0013_ 35" xfId="546"/>
    <cellStyle name="_x0013_ 36" xfId="547"/>
    <cellStyle name="_x0013_ 37" xfId="548"/>
    <cellStyle name="_x0013_ 38" xfId="549"/>
    <cellStyle name="_x0013_ 39" xfId="550"/>
    <cellStyle name="_x0013_ 4" xfId="551"/>
    <cellStyle name="_x0013_ 40" xfId="552"/>
    <cellStyle name="_x0013_ 41" xfId="553"/>
    <cellStyle name="_x0013_ 42" xfId="554"/>
    <cellStyle name="_x0013_ 43" xfId="555"/>
    <cellStyle name="_x0013_ 44" xfId="556"/>
    <cellStyle name="_x0013_ 45" xfId="557"/>
    <cellStyle name="_x0013_ 46" xfId="558"/>
    <cellStyle name="_x0013_ 47" xfId="559"/>
    <cellStyle name="_x0013_ 48" xfId="560"/>
    <cellStyle name="_x0013_ 49" xfId="561"/>
    <cellStyle name="_x0013_ 5" xfId="562"/>
    <cellStyle name="_x0013_ 50" xfId="563"/>
    <cellStyle name="_x0013_ 51" xfId="564"/>
    <cellStyle name="_x0013_ 52" xfId="565"/>
    <cellStyle name="_x0013_ 53" xfId="566"/>
    <cellStyle name="_x0013_ 54" xfId="567"/>
    <cellStyle name="_x0013_ 55" xfId="568"/>
    <cellStyle name="_x0013_ 56" xfId="569"/>
    <cellStyle name="_x0013_ 57" xfId="570"/>
    <cellStyle name="_x0013_ 58" xfId="571"/>
    <cellStyle name="_x0013_ 59" xfId="572"/>
    <cellStyle name="_x0013_ 6" xfId="573"/>
    <cellStyle name="_x0013_ 60" xfId="574"/>
    <cellStyle name="_x0013_ 61" xfId="575"/>
    <cellStyle name="_x0013_ 62" xfId="576"/>
    <cellStyle name="_x0013_ 63" xfId="577"/>
    <cellStyle name="_x0013_ 64" xfId="578"/>
    <cellStyle name="_x0013_ 65" xfId="579"/>
    <cellStyle name="_x0013_ 66" xfId="580"/>
    <cellStyle name="_x0013_ 67" xfId="581"/>
    <cellStyle name="_x0013_ 68" xfId="582"/>
    <cellStyle name="_x0013_ 69" xfId="583"/>
    <cellStyle name="_x0013_ 7" xfId="584"/>
    <cellStyle name="_x0013_ 70" xfId="585"/>
    <cellStyle name="_x0013_ 71" xfId="586"/>
    <cellStyle name="_x0013_ 72" xfId="587"/>
    <cellStyle name="_x0013_ 73" xfId="588"/>
    <cellStyle name="_x0013_ 74" xfId="589"/>
    <cellStyle name="_x0013_ 75" xfId="590"/>
    <cellStyle name="_x0013_ 76" xfId="591"/>
    <cellStyle name="_x0013_ 77" xfId="592"/>
    <cellStyle name="_x0013_ 78" xfId="593"/>
    <cellStyle name="_x0013_ 79" xfId="594"/>
    <cellStyle name="_x0013_ 8" xfId="595"/>
    <cellStyle name="_x0013_ 80" xfId="596"/>
    <cellStyle name="_x0013_ 81" xfId="597"/>
    <cellStyle name="_x0013_ 82" xfId="598"/>
    <cellStyle name="_x0013_ 83" xfId="599"/>
    <cellStyle name="_x0013_ 84" xfId="600"/>
    <cellStyle name="_x0013_ 85" xfId="601"/>
    <cellStyle name="_x0013_ 86" xfId="602"/>
    <cellStyle name="_x0013_ 87" xfId="603"/>
    <cellStyle name="_x0013_ 88" xfId="604"/>
    <cellStyle name="_x0013_ 89" xfId="605"/>
    <cellStyle name="_x0013_ 9" xfId="606"/>
    <cellStyle name="_x0013_ 90" xfId="607"/>
    <cellStyle name="_x0013_ 91" xfId="608"/>
    <cellStyle name="_x0013_ 92" xfId="609"/>
    <cellStyle name="_x0013_ 93" xfId="610"/>
    <cellStyle name="_x0013_ 94" xfId="611"/>
    <cellStyle name="_x0013_ 95" xfId="612"/>
    <cellStyle name="_x0013_ 96" xfId="613"/>
    <cellStyle name="_x0013_ 97" xfId="614"/>
    <cellStyle name="_x0013_ 98" xfId="615"/>
    <cellStyle name="_x0013_ 99" xfId="616"/>
    <cellStyle name="%" xfId="55"/>
    <cellStyle name="% 2" xfId="56"/>
    <cellStyle name="%_STB10_E_Europe" xfId="57"/>
    <cellStyle name="%_STB10_W_Europe" xfId="58"/>
    <cellStyle name="%_STB10_W_Europe 2" xfId="59"/>
    <cellStyle name="_x0013__BCEPS_Markups_2010.02.02" xfId="617"/>
    <cellStyle name="_Europe" xfId="60"/>
    <cellStyle name="_x0013__Handoff Document 02-02-2010" xfId="618"/>
    <cellStyle name="_x0013__Handoff Document 02-03-2010" xfId="619"/>
    <cellStyle name="20% - Accent1" xfId="21" builtinId="30" customBuiltin="1"/>
    <cellStyle name="20% - Accent1 2" xfId="61"/>
    <cellStyle name="20% - Accent1 2 2" xfId="62"/>
    <cellStyle name="20% - Accent1 2 3" xfId="63"/>
    <cellStyle name="20% - Accent1 2 4" xfId="64"/>
    <cellStyle name="20% - Accent1 2 5" xfId="620"/>
    <cellStyle name="20% - Accent1 2 6" xfId="621"/>
    <cellStyle name="20% - Accent1 2_Handoff Document 3.12.2010_IT_MRJ" xfId="622"/>
    <cellStyle name="20% - Accent1 3" xfId="65"/>
    <cellStyle name="20% - Accent1 3 2" xfId="66"/>
    <cellStyle name="20% - Accent1 3 3" xfId="623"/>
    <cellStyle name="20% - Accent1 3 4" xfId="624"/>
    <cellStyle name="20% - Accent1 3 5" xfId="625"/>
    <cellStyle name="20% - Accent1 3 6" xfId="626"/>
    <cellStyle name="20% - Accent1 3_Handoff Document 3.12.2010_IT_MRJ" xfId="627"/>
    <cellStyle name="20% - Accent1 4" xfId="67"/>
    <cellStyle name="20% - Accent1 4 2" xfId="68"/>
    <cellStyle name="20% - Accent1 4 3" xfId="628"/>
    <cellStyle name="20% - Accent1 4 4" xfId="629"/>
    <cellStyle name="20% - Accent1 4 5" xfId="630"/>
    <cellStyle name="20% - Accent1 4 6" xfId="631"/>
    <cellStyle name="20% - Accent1 4_Handoff Document 3.12.2010_IT_MRJ" xfId="632"/>
    <cellStyle name="20% - Accent1 5" xfId="69"/>
    <cellStyle name="20% - Accent1 5 2" xfId="70"/>
    <cellStyle name="20% - Accent1 5 3" xfId="633"/>
    <cellStyle name="20% - Accent1 5 4" xfId="634"/>
    <cellStyle name="20% - Accent1 5 5" xfId="635"/>
    <cellStyle name="20% - Accent1 5 6" xfId="636"/>
    <cellStyle name="20% - Accent1 5_Handoff Document 3.12.2010_IT_MRJ" xfId="637"/>
    <cellStyle name="20% - Accent1 6" xfId="71"/>
    <cellStyle name="20% - Accent1 7" xfId="72"/>
    <cellStyle name="20% - Accent1 8" xfId="73"/>
    <cellStyle name="20% - Accent2" xfId="25" builtinId="34" customBuiltin="1"/>
    <cellStyle name="20% - Accent2 2" xfId="74"/>
    <cellStyle name="20% - Accent2 2 2" xfId="75"/>
    <cellStyle name="20% - Accent2 2 3" xfId="76"/>
    <cellStyle name="20% - Accent2 2 4" xfId="77"/>
    <cellStyle name="20% - Accent2 2 5" xfId="638"/>
    <cellStyle name="20% - Accent2 2 6" xfId="639"/>
    <cellStyle name="20% - Accent2 2_Handoff Document 3.12.2010_IT_MRJ" xfId="640"/>
    <cellStyle name="20% - Accent2 3" xfId="78"/>
    <cellStyle name="20% - Accent2 3 2" xfId="79"/>
    <cellStyle name="20% - Accent2 3 3" xfId="641"/>
    <cellStyle name="20% - Accent2 3 4" xfId="642"/>
    <cellStyle name="20% - Accent2 3 5" xfId="643"/>
    <cellStyle name="20% - Accent2 3 6" xfId="644"/>
    <cellStyle name="20% - Accent2 3_Handoff Document 3.12.2010_IT_MRJ" xfId="645"/>
    <cellStyle name="20% - Accent2 4" xfId="80"/>
    <cellStyle name="20% - Accent2 4 2" xfId="81"/>
    <cellStyle name="20% - Accent2 4 3" xfId="646"/>
    <cellStyle name="20% - Accent2 4 4" xfId="647"/>
    <cellStyle name="20% - Accent2 4 5" xfId="648"/>
    <cellStyle name="20% - Accent2 4 6" xfId="649"/>
    <cellStyle name="20% - Accent2 4_Handoff Document 3.12.2010_IT_MRJ" xfId="650"/>
    <cellStyle name="20% - Accent2 5" xfId="82"/>
    <cellStyle name="20% - Accent2 5 2" xfId="83"/>
    <cellStyle name="20% - Accent2 5 3" xfId="651"/>
    <cellStyle name="20% - Accent2 5 4" xfId="652"/>
    <cellStyle name="20% - Accent2 5 5" xfId="653"/>
    <cellStyle name="20% - Accent2 5 6" xfId="654"/>
    <cellStyle name="20% - Accent2 5_Handoff Document 3.12.2010_IT_MRJ" xfId="655"/>
    <cellStyle name="20% - Accent2 6" xfId="84"/>
    <cellStyle name="20% - Accent2 7" xfId="85"/>
    <cellStyle name="20% - Accent2 8" xfId="86"/>
    <cellStyle name="20% - Accent3" xfId="29" builtinId="38" customBuiltin="1"/>
    <cellStyle name="20% - Accent3 2" xfId="87"/>
    <cellStyle name="20% - Accent3 2 2" xfId="88"/>
    <cellStyle name="20% - Accent3 2 3" xfId="89"/>
    <cellStyle name="20% - Accent3 2 4" xfId="90"/>
    <cellStyle name="20% - Accent3 2 5" xfId="656"/>
    <cellStyle name="20% - Accent3 2 6" xfId="657"/>
    <cellStyle name="20% - Accent3 2_Handoff Document 3.12.2010_IT_MRJ" xfId="658"/>
    <cellStyle name="20% - Accent3 3" xfId="91"/>
    <cellStyle name="20% - Accent3 3 2" xfId="92"/>
    <cellStyle name="20% - Accent3 3 3" xfId="659"/>
    <cellStyle name="20% - Accent3 3 4" xfId="660"/>
    <cellStyle name="20% - Accent3 3 5" xfId="661"/>
    <cellStyle name="20% - Accent3 3 6" xfId="662"/>
    <cellStyle name="20% - Accent3 3_Handoff Document 3.12.2010_IT_MRJ" xfId="663"/>
    <cellStyle name="20% - Accent3 4" xfId="93"/>
    <cellStyle name="20% - Accent3 4 2" xfId="94"/>
    <cellStyle name="20% - Accent3 4 3" xfId="664"/>
    <cellStyle name="20% - Accent3 4 4" xfId="665"/>
    <cellStyle name="20% - Accent3 4 5" xfId="666"/>
    <cellStyle name="20% - Accent3 4 6" xfId="667"/>
    <cellStyle name="20% - Accent3 4_Handoff Document 3.12.2010_IT_MRJ" xfId="668"/>
    <cellStyle name="20% - Accent3 5" xfId="95"/>
    <cellStyle name="20% - Accent3 5 2" xfId="96"/>
    <cellStyle name="20% - Accent3 5 3" xfId="669"/>
    <cellStyle name="20% - Accent3 5 4" xfId="670"/>
    <cellStyle name="20% - Accent3 5 5" xfId="671"/>
    <cellStyle name="20% - Accent3 5 6" xfId="672"/>
    <cellStyle name="20% - Accent3 5_Handoff Document 3.12.2010_IT_MRJ" xfId="673"/>
    <cellStyle name="20% - Accent3 6" xfId="97"/>
    <cellStyle name="20% - Accent3 7" xfId="98"/>
    <cellStyle name="20% - Accent3 8" xfId="99"/>
    <cellStyle name="20% - Accent4" xfId="33" builtinId="42" customBuiltin="1"/>
    <cellStyle name="20% - Accent4 2" xfId="100"/>
    <cellStyle name="20% - Accent4 2 2" xfId="101"/>
    <cellStyle name="20% - Accent4 2 3" xfId="102"/>
    <cellStyle name="20% - Accent4 2 4" xfId="103"/>
    <cellStyle name="20% - Accent4 2 5" xfId="674"/>
    <cellStyle name="20% - Accent4 2 6" xfId="675"/>
    <cellStyle name="20% - Accent4 2_Handoff Document 3.12.2010_IT_MRJ" xfId="676"/>
    <cellStyle name="20% - Accent4 3" xfId="104"/>
    <cellStyle name="20% - Accent4 3 2" xfId="105"/>
    <cellStyle name="20% - Accent4 3 3" xfId="677"/>
    <cellStyle name="20% - Accent4 3 4" xfId="678"/>
    <cellStyle name="20% - Accent4 3 5" xfId="679"/>
    <cellStyle name="20% - Accent4 3 6" xfId="680"/>
    <cellStyle name="20% - Accent4 3_Handoff Document 3.12.2010_IT_MRJ" xfId="681"/>
    <cellStyle name="20% - Accent4 4" xfId="106"/>
    <cellStyle name="20% - Accent4 4 2" xfId="107"/>
    <cellStyle name="20% - Accent4 4 3" xfId="682"/>
    <cellStyle name="20% - Accent4 4 4" xfId="683"/>
    <cellStyle name="20% - Accent4 4 5" xfId="684"/>
    <cellStyle name="20% - Accent4 4 6" xfId="685"/>
    <cellStyle name="20% - Accent4 4_Handoff Document 3.12.2010_IT_MRJ" xfId="686"/>
    <cellStyle name="20% - Accent4 5" xfId="108"/>
    <cellStyle name="20% - Accent4 5 2" xfId="109"/>
    <cellStyle name="20% - Accent4 5 3" xfId="687"/>
    <cellStyle name="20% - Accent4 5 4" xfId="688"/>
    <cellStyle name="20% - Accent4 5 5" xfId="689"/>
    <cellStyle name="20% - Accent4 5 6" xfId="690"/>
    <cellStyle name="20% - Accent4 5_Handoff Document 3.12.2010_IT_MRJ" xfId="691"/>
    <cellStyle name="20% - Accent4 6" xfId="110"/>
    <cellStyle name="20% - Accent4 7" xfId="111"/>
    <cellStyle name="20% - Accent4 8" xfId="112"/>
    <cellStyle name="20% - Accent5" xfId="37" builtinId="46" customBuiltin="1"/>
    <cellStyle name="20% - Accent5 2" xfId="113"/>
    <cellStyle name="20% - Accent5 2 2" xfId="114"/>
    <cellStyle name="20% - Accent5 2 3" xfId="115"/>
    <cellStyle name="20% - Accent5 2 4" xfId="116"/>
    <cellStyle name="20% - Accent5 2 5" xfId="692"/>
    <cellStyle name="20% - Accent5 2 6" xfId="693"/>
    <cellStyle name="20% - Accent5 2_Handoff Document 3.12.2010_IT_MRJ" xfId="694"/>
    <cellStyle name="20% - Accent5 3" xfId="117"/>
    <cellStyle name="20% - Accent5 3 2" xfId="118"/>
    <cellStyle name="20% - Accent5 3 3" xfId="695"/>
    <cellStyle name="20% - Accent5 3 4" xfId="696"/>
    <cellStyle name="20% - Accent5 3 5" xfId="697"/>
    <cellStyle name="20% - Accent5 3 6" xfId="698"/>
    <cellStyle name="20% - Accent5 3_Handoff Document 3.12.2010_IT_MRJ" xfId="699"/>
    <cellStyle name="20% - Accent5 4" xfId="119"/>
    <cellStyle name="20% - Accent5 4 2" xfId="120"/>
    <cellStyle name="20% - Accent5 4 3" xfId="700"/>
    <cellStyle name="20% - Accent5 4 4" xfId="701"/>
    <cellStyle name="20% - Accent5 4 5" xfId="702"/>
    <cellStyle name="20% - Accent5 4 6" xfId="703"/>
    <cellStyle name="20% - Accent5 4_Handoff Document 3.12.2010_IT_MRJ" xfId="704"/>
    <cellStyle name="20% - Accent5 5" xfId="121"/>
    <cellStyle name="20% - Accent5 5 2" xfId="122"/>
    <cellStyle name="20% - Accent5 5 3" xfId="705"/>
    <cellStyle name="20% - Accent5 5 4" xfId="706"/>
    <cellStyle name="20% - Accent5 5 5" xfId="707"/>
    <cellStyle name="20% - Accent5 5 6" xfId="708"/>
    <cellStyle name="20% - Accent5 5_Handoff Document 3.12.2010_IT_MRJ" xfId="709"/>
    <cellStyle name="20% - Accent5 6" xfId="123"/>
    <cellStyle name="20% - Accent5 7" xfId="124"/>
    <cellStyle name="20% - Accent5 8" xfId="125"/>
    <cellStyle name="20% - Accent6" xfId="41" builtinId="50" customBuiltin="1"/>
    <cellStyle name="20% - Accent6 2" xfId="126"/>
    <cellStyle name="20% - Accent6 2 2" xfId="127"/>
    <cellStyle name="20% - Accent6 2 3" xfId="128"/>
    <cellStyle name="20% - Accent6 2 4" xfId="129"/>
    <cellStyle name="20% - Accent6 2 5" xfId="710"/>
    <cellStyle name="20% - Accent6 2 6" xfId="711"/>
    <cellStyle name="20% - Accent6 2_Handoff Document 3.12.2010_IT_MRJ" xfId="712"/>
    <cellStyle name="20% - Accent6 3" xfId="130"/>
    <cellStyle name="20% - Accent6 3 2" xfId="131"/>
    <cellStyle name="20% - Accent6 3 3" xfId="713"/>
    <cellStyle name="20% - Accent6 3 4" xfId="714"/>
    <cellStyle name="20% - Accent6 3 5" xfId="715"/>
    <cellStyle name="20% - Accent6 3 6" xfId="716"/>
    <cellStyle name="20% - Accent6 3_Handoff Document 3.12.2010_IT_MRJ" xfId="717"/>
    <cellStyle name="20% - Accent6 4" xfId="132"/>
    <cellStyle name="20% - Accent6 4 2" xfId="133"/>
    <cellStyle name="20% - Accent6 4 3" xfId="718"/>
    <cellStyle name="20% - Accent6 4 4" xfId="719"/>
    <cellStyle name="20% - Accent6 4 5" xfId="720"/>
    <cellStyle name="20% - Accent6 4 6" xfId="721"/>
    <cellStyle name="20% - Accent6 4_Handoff Document 3.12.2010_IT_MRJ" xfId="722"/>
    <cellStyle name="20% - Accent6 5" xfId="134"/>
    <cellStyle name="20% - Accent6 5 2" xfId="135"/>
    <cellStyle name="20% - Accent6 5 3" xfId="723"/>
    <cellStyle name="20% - Accent6 5 4" xfId="724"/>
    <cellStyle name="20% - Accent6 5 5" xfId="725"/>
    <cellStyle name="20% - Accent6 5 6" xfId="726"/>
    <cellStyle name="20% - Accent6 5_Handoff Document 3.12.2010_IT_MRJ" xfId="727"/>
    <cellStyle name="20% - Accent6 6" xfId="136"/>
    <cellStyle name="20% - Accent6 7" xfId="137"/>
    <cellStyle name="20% - Accent6 8" xfId="138"/>
    <cellStyle name="40% - Accent1" xfId="22" builtinId="31" customBuiltin="1"/>
    <cellStyle name="40% - Accent1 2" xfId="139"/>
    <cellStyle name="40% - Accent1 2 2" xfId="140"/>
    <cellStyle name="40% - Accent1 2 3" xfId="141"/>
    <cellStyle name="40% - Accent1 2 4" xfId="142"/>
    <cellStyle name="40% - Accent1 2 5" xfId="728"/>
    <cellStyle name="40% - Accent1 2 6" xfId="729"/>
    <cellStyle name="40% - Accent1 2_Handoff Document 3.12.2010_IT_MRJ" xfId="730"/>
    <cellStyle name="40% - Accent1 3" xfId="143"/>
    <cellStyle name="40% - Accent1 3 2" xfId="144"/>
    <cellStyle name="40% - Accent1 3 3" xfId="731"/>
    <cellStyle name="40% - Accent1 3 4" xfId="732"/>
    <cellStyle name="40% - Accent1 3 5" xfId="733"/>
    <cellStyle name="40% - Accent1 3 6" xfId="734"/>
    <cellStyle name="40% - Accent1 3_Handoff Document 3.12.2010_IT_MRJ" xfId="735"/>
    <cellStyle name="40% - Accent1 4" xfId="145"/>
    <cellStyle name="40% - Accent1 4 2" xfId="146"/>
    <cellStyle name="40% - Accent1 4 3" xfId="736"/>
    <cellStyle name="40% - Accent1 4 4" xfId="737"/>
    <cellStyle name="40% - Accent1 4 5" xfId="738"/>
    <cellStyle name="40% - Accent1 4 6" xfId="739"/>
    <cellStyle name="40% - Accent1 4_Handoff Document 3.12.2010_IT_MRJ" xfId="740"/>
    <cellStyle name="40% - Accent1 5" xfId="147"/>
    <cellStyle name="40% - Accent1 5 2" xfId="148"/>
    <cellStyle name="40% - Accent1 5 3" xfId="741"/>
    <cellStyle name="40% - Accent1 5 4" xfId="742"/>
    <cellStyle name="40% - Accent1 5 5" xfId="743"/>
    <cellStyle name="40% - Accent1 5 6" xfId="744"/>
    <cellStyle name="40% - Accent1 5_Handoff Document 3.12.2010_IT_MRJ" xfId="745"/>
    <cellStyle name="40% - Accent1 6" xfId="149"/>
    <cellStyle name="40% - Accent1 7" xfId="150"/>
    <cellStyle name="40% - Accent1 8" xfId="151"/>
    <cellStyle name="40% - Accent2" xfId="26" builtinId="35" customBuiltin="1"/>
    <cellStyle name="40% - Accent2 2" xfId="152"/>
    <cellStyle name="40% - Accent2 2 2" xfId="153"/>
    <cellStyle name="40% - Accent2 2 3" xfId="154"/>
    <cellStyle name="40% - Accent2 2 4" xfId="155"/>
    <cellStyle name="40% - Accent2 2 5" xfId="746"/>
    <cellStyle name="40% - Accent2 2 6" xfId="747"/>
    <cellStyle name="40% - Accent2 2_Handoff Document 3.12.2010_IT_MRJ" xfId="748"/>
    <cellStyle name="40% - Accent2 3" xfId="156"/>
    <cellStyle name="40% - Accent2 3 2" xfId="157"/>
    <cellStyle name="40% - Accent2 3 3" xfId="749"/>
    <cellStyle name="40% - Accent2 3 4" xfId="750"/>
    <cellStyle name="40% - Accent2 3 5" xfId="751"/>
    <cellStyle name="40% - Accent2 3 6" xfId="752"/>
    <cellStyle name="40% - Accent2 3_Handoff Document 3.12.2010_IT_MRJ" xfId="753"/>
    <cellStyle name="40% - Accent2 4" xfId="158"/>
    <cellStyle name="40% - Accent2 4 2" xfId="159"/>
    <cellStyle name="40% - Accent2 4 3" xfId="754"/>
    <cellStyle name="40% - Accent2 4 4" xfId="755"/>
    <cellStyle name="40% - Accent2 4 5" xfId="756"/>
    <cellStyle name="40% - Accent2 4 6" xfId="757"/>
    <cellStyle name="40% - Accent2 4_Handoff Document 3.12.2010_IT_MRJ" xfId="758"/>
    <cellStyle name="40% - Accent2 5" xfId="160"/>
    <cellStyle name="40% - Accent2 5 2" xfId="161"/>
    <cellStyle name="40% - Accent2 5 3" xfId="759"/>
    <cellStyle name="40% - Accent2 5 4" xfId="760"/>
    <cellStyle name="40% - Accent2 5 5" xfId="761"/>
    <cellStyle name="40% - Accent2 5 6" xfId="762"/>
    <cellStyle name="40% - Accent2 5_Handoff Document 3.12.2010_IT_MRJ" xfId="763"/>
    <cellStyle name="40% - Accent2 6" xfId="162"/>
    <cellStyle name="40% - Accent2 7" xfId="163"/>
    <cellStyle name="40% - Accent2 8" xfId="164"/>
    <cellStyle name="40% - Accent3" xfId="30" builtinId="39" customBuiltin="1"/>
    <cellStyle name="40% - Accent3 2" xfId="165"/>
    <cellStyle name="40% - Accent3 2 2" xfId="166"/>
    <cellStyle name="40% - Accent3 2 3" xfId="167"/>
    <cellStyle name="40% - Accent3 2 4" xfId="168"/>
    <cellStyle name="40% - Accent3 2 5" xfId="764"/>
    <cellStyle name="40% - Accent3 2 6" xfId="765"/>
    <cellStyle name="40% - Accent3 2_Handoff Document 3.12.2010_IT_MRJ" xfId="766"/>
    <cellStyle name="40% - Accent3 3" xfId="169"/>
    <cellStyle name="40% - Accent3 3 2" xfId="170"/>
    <cellStyle name="40% - Accent3 3 3" xfId="767"/>
    <cellStyle name="40% - Accent3 3 4" xfId="768"/>
    <cellStyle name="40% - Accent3 3 5" xfId="769"/>
    <cellStyle name="40% - Accent3 3 6" xfId="770"/>
    <cellStyle name="40% - Accent3 3_Handoff Document 3.12.2010_IT_MRJ" xfId="771"/>
    <cellStyle name="40% - Accent3 4" xfId="171"/>
    <cellStyle name="40% - Accent3 4 2" xfId="172"/>
    <cellStyle name="40% - Accent3 4 3" xfId="772"/>
    <cellStyle name="40% - Accent3 4 4" xfId="773"/>
    <cellStyle name="40% - Accent3 4 5" xfId="774"/>
    <cellStyle name="40% - Accent3 4 6" xfId="775"/>
    <cellStyle name="40% - Accent3 4_Handoff Document 3.12.2010_IT_MRJ" xfId="776"/>
    <cellStyle name="40% - Accent3 5" xfId="173"/>
    <cellStyle name="40% - Accent3 5 2" xfId="174"/>
    <cellStyle name="40% - Accent3 5 3" xfId="777"/>
    <cellStyle name="40% - Accent3 5 4" xfId="778"/>
    <cellStyle name="40% - Accent3 5 5" xfId="779"/>
    <cellStyle name="40% - Accent3 5 6" xfId="780"/>
    <cellStyle name="40% - Accent3 5_Handoff Document 3.12.2010_IT_MRJ" xfId="781"/>
    <cellStyle name="40% - Accent3 6" xfId="175"/>
    <cellStyle name="40% - Accent3 7" xfId="176"/>
    <cellStyle name="40% - Accent3 8" xfId="177"/>
    <cellStyle name="40% - Accent4" xfId="34" builtinId="43" customBuiltin="1"/>
    <cellStyle name="40% - Accent4 10" xfId="782"/>
    <cellStyle name="40% - Accent4 2" xfId="178"/>
    <cellStyle name="40% - Accent4 2 2" xfId="179"/>
    <cellStyle name="40% - Accent4 2 3" xfId="180"/>
    <cellStyle name="40% - Accent4 2 4" xfId="181"/>
    <cellStyle name="40% - Accent4 2 5" xfId="783"/>
    <cellStyle name="40% - Accent4 2 6" xfId="784"/>
    <cellStyle name="40% - Accent4 2_Handoff Document 3.12.2010_IT_MRJ" xfId="785"/>
    <cellStyle name="40% - Accent4 3" xfId="182"/>
    <cellStyle name="40% - Accent4 3 2" xfId="183"/>
    <cellStyle name="40% - Accent4 3 3" xfId="786"/>
    <cellStyle name="40% - Accent4 3 4" xfId="787"/>
    <cellStyle name="40% - Accent4 3 5" xfId="788"/>
    <cellStyle name="40% - Accent4 3 6" xfId="789"/>
    <cellStyle name="40% - Accent4 3_Handoff Document 3.12.2010_IT_MRJ" xfId="790"/>
    <cellStyle name="40% - Accent4 4" xfId="184"/>
    <cellStyle name="40% - Accent4 4 2" xfId="185"/>
    <cellStyle name="40% - Accent4 4 3" xfId="791"/>
    <cellStyle name="40% - Accent4 4 4" xfId="792"/>
    <cellStyle name="40% - Accent4 4 5" xfId="793"/>
    <cellStyle name="40% - Accent4 4 6" xfId="794"/>
    <cellStyle name="40% - Accent4 4_Handoff Document 3.12.2010_IT_MRJ" xfId="795"/>
    <cellStyle name="40% - Accent4 5" xfId="186"/>
    <cellStyle name="40% - Accent4 5 2" xfId="187"/>
    <cellStyle name="40% - Accent4 5 3" xfId="796"/>
    <cellStyle name="40% - Accent4 5 4" xfId="797"/>
    <cellStyle name="40% - Accent4 5 5" xfId="798"/>
    <cellStyle name="40% - Accent4 5 6" xfId="799"/>
    <cellStyle name="40% - Accent4 5_Handoff Document 3.12.2010_IT_MRJ" xfId="800"/>
    <cellStyle name="40% - Accent4 6" xfId="188"/>
    <cellStyle name="40% - Accent4 7" xfId="189"/>
    <cellStyle name="40% - Accent4 8" xfId="190"/>
    <cellStyle name="40% - Accent4 9" xfId="801"/>
    <cellStyle name="40% - Accent5" xfId="38" builtinId="47" customBuiltin="1"/>
    <cellStyle name="40% - Accent5 2" xfId="191"/>
    <cellStyle name="40% - Accent5 2 2" xfId="192"/>
    <cellStyle name="40% - Accent5 2 3" xfId="193"/>
    <cellStyle name="40% - Accent5 2 4" xfId="194"/>
    <cellStyle name="40% - Accent5 2 5" xfId="802"/>
    <cellStyle name="40% - Accent5 2 6" xfId="803"/>
    <cellStyle name="40% - Accent5 2_Handoff Document 3.12.2010_IT_MRJ" xfId="804"/>
    <cellStyle name="40% - Accent5 3" xfId="195"/>
    <cellStyle name="40% - Accent5 3 2" xfId="196"/>
    <cellStyle name="40% - Accent5 3 3" xfId="805"/>
    <cellStyle name="40% - Accent5 3 4" xfId="806"/>
    <cellStyle name="40% - Accent5 3 5" xfId="807"/>
    <cellStyle name="40% - Accent5 3 6" xfId="808"/>
    <cellStyle name="40% - Accent5 3_Handoff Document 3.12.2010_IT_MRJ" xfId="809"/>
    <cellStyle name="40% - Accent5 4" xfId="197"/>
    <cellStyle name="40% - Accent5 4 2" xfId="198"/>
    <cellStyle name="40% - Accent5 4 3" xfId="810"/>
    <cellStyle name="40% - Accent5 4 4" xfId="811"/>
    <cellStyle name="40% - Accent5 4 5" xfId="812"/>
    <cellStyle name="40% - Accent5 4 6" xfId="813"/>
    <cellStyle name="40% - Accent5 4_Handoff Document 3.12.2010_IT_MRJ" xfId="814"/>
    <cellStyle name="40% - Accent5 5" xfId="199"/>
    <cellStyle name="40% - Accent5 5 2" xfId="200"/>
    <cellStyle name="40% - Accent5 5 3" xfId="815"/>
    <cellStyle name="40% - Accent5 5 4" xfId="816"/>
    <cellStyle name="40% - Accent5 5 5" xfId="817"/>
    <cellStyle name="40% - Accent5 5 6" xfId="818"/>
    <cellStyle name="40% - Accent5 5_Handoff Document 3.12.2010_IT_MRJ" xfId="819"/>
    <cellStyle name="40% - Accent5 6" xfId="201"/>
    <cellStyle name="40% - Accent5 7" xfId="202"/>
    <cellStyle name="40% - Accent5 8" xfId="203"/>
    <cellStyle name="40% - Accent6" xfId="42" builtinId="51" customBuiltin="1"/>
    <cellStyle name="40% - Accent6 2" xfId="204"/>
    <cellStyle name="40% - Accent6 2 2" xfId="205"/>
    <cellStyle name="40% - Accent6 2 3" xfId="206"/>
    <cellStyle name="40% - Accent6 2 4" xfId="207"/>
    <cellStyle name="40% - Accent6 2 5" xfId="820"/>
    <cellStyle name="40% - Accent6 2 6" xfId="821"/>
    <cellStyle name="40% - Accent6 2_Handoff Document 3.12.2010_IT_MRJ" xfId="822"/>
    <cellStyle name="40% - Accent6 3" xfId="208"/>
    <cellStyle name="40% - Accent6 3 2" xfId="209"/>
    <cellStyle name="40% - Accent6 3 3" xfId="823"/>
    <cellStyle name="40% - Accent6 3 4" xfId="824"/>
    <cellStyle name="40% - Accent6 3 5" xfId="825"/>
    <cellStyle name="40% - Accent6 3 6" xfId="826"/>
    <cellStyle name="40% - Accent6 3_Handoff Document 3.12.2010_IT_MRJ" xfId="827"/>
    <cellStyle name="40% - Accent6 4" xfId="210"/>
    <cellStyle name="40% - Accent6 4 2" xfId="211"/>
    <cellStyle name="40% - Accent6 4 3" xfId="828"/>
    <cellStyle name="40% - Accent6 4 4" xfId="829"/>
    <cellStyle name="40% - Accent6 4 5" xfId="830"/>
    <cellStyle name="40% - Accent6 4 6" xfId="831"/>
    <cellStyle name="40% - Accent6 4_Handoff Document 3.12.2010_IT_MRJ" xfId="832"/>
    <cellStyle name="40% - Accent6 5" xfId="212"/>
    <cellStyle name="40% - Accent6 5 2" xfId="213"/>
    <cellStyle name="40% - Accent6 5 3" xfId="833"/>
    <cellStyle name="40% - Accent6 5 4" xfId="834"/>
    <cellStyle name="40% - Accent6 5 5" xfId="835"/>
    <cellStyle name="40% - Accent6 5 6" xfId="836"/>
    <cellStyle name="40% - Accent6 5_Handoff Document 3.12.2010_IT_MRJ" xfId="837"/>
    <cellStyle name="40% - Accent6 6" xfId="214"/>
    <cellStyle name="40% - Accent6 7" xfId="215"/>
    <cellStyle name="40% - Accent6 8" xfId="216"/>
    <cellStyle name="60% - Accent1" xfId="23" builtinId="32" customBuiltin="1"/>
    <cellStyle name="60% - Accent1 2" xfId="217"/>
    <cellStyle name="60% - Accent1 2 2" xfId="218"/>
    <cellStyle name="60% - Accent1 3" xfId="219"/>
    <cellStyle name="60% - Accent1 4" xfId="838"/>
    <cellStyle name="60% - Accent1 5" xfId="839"/>
    <cellStyle name="60% - Accent1 6" xfId="840"/>
    <cellStyle name="60% - Accent2" xfId="27" builtinId="36" customBuiltin="1"/>
    <cellStyle name="60% - Accent2 2" xfId="220"/>
    <cellStyle name="60% - Accent2 2 2" xfId="221"/>
    <cellStyle name="60% - Accent2 3" xfId="222"/>
    <cellStyle name="60% - Accent2 4" xfId="841"/>
    <cellStyle name="60% - Accent2 5" xfId="842"/>
    <cellStyle name="60% - Accent3" xfId="31" builtinId="40" customBuiltin="1"/>
    <cellStyle name="60% - Accent3 2" xfId="223"/>
    <cellStyle name="60% - Accent3 2 2" xfId="224"/>
    <cellStyle name="60% - Accent3 3" xfId="225"/>
    <cellStyle name="60% - Accent3 4" xfId="843"/>
    <cellStyle name="60% - Accent3 5" xfId="844"/>
    <cellStyle name="60% - Accent3 6" xfId="845"/>
    <cellStyle name="60% - Accent4" xfId="35" builtinId="44" customBuiltin="1"/>
    <cellStyle name="60% - Accent4 2" xfId="226"/>
    <cellStyle name="60% - Accent4 2 2" xfId="227"/>
    <cellStyle name="60% - Accent4 3" xfId="228"/>
    <cellStyle name="60% - Accent4 4" xfId="846"/>
    <cellStyle name="60% - Accent4 5" xfId="847"/>
    <cellStyle name="60% - Accent5" xfId="39" builtinId="48" customBuiltin="1"/>
    <cellStyle name="60% - Accent5 2" xfId="229"/>
    <cellStyle name="60% - Accent5 2 2" xfId="230"/>
    <cellStyle name="60% - Accent5 3" xfId="231"/>
    <cellStyle name="60% - Accent5 4" xfId="848"/>
    <cellStyle name="60% - Accent5 5" xfId="849"/>
    <cellStyle name="60% - Accent6" xfId="43" builtinId="52" customBuiltin="1"/>
    <cellStyle name="60% - Accent6 2" xfId="232"/>
    <cellStyle name="60% - Accent6 2 2" xfId="233"/>
    <cellStyle name="60% - Accent6 3" xfId="234"/>
    <cellStyle name="60% - Accent6 4" xfId="850"/>
    <cellStyle name="60% - Accent6 5" xfId="851"/>
    <cellStyle name="Accent1" xfId="20" builtinId="29" customBuiltin="1"/>
    <cellStyle name="Accent1 2" xfId="235"/>
    <cellStyle name="Accent1 2 2" xfId="236"/>
    <cellStyle name="Accent1 3" xfId="237"/>
    <cellStyle name="Accent1 4" xfId="852"/>
    <cellStyle name="Accent1 5" xfId="853"/>
    <cellStyle name="Accent1 6" xfId="854"/>
    <cellStyle name="Accent2" xfId="24" builtinId="33" customBuiltin="1"/>
    <cellStyle name="Accent2 2" xfId="238"/>
    <cellStyle name="Accent2 2 2" xfId="239"/>
    <cellStyle name="Accent2 3" xfId="240"/>
    <cellStyle name="Accent2 4" xfId="855"/>
    <cellStyle name="Accent2 5" xfId="856"/>
    <cellStyle name="Accent3" xfId="28" builtinId="37" customBuiltin="1"/>
    <cellStyle name="Accent3 2" xfId="241"/>
    <cellStyle name="Accent3 2 2" xfId="242"/>
    <cellStyle name="Accent3 3" xfId="243"/>
    <cellStyle name="Accent3 4" xfId="857"/>
    <cellStyle name="Accent3 5" xfId="858"/>
    <cellStyle name="Accent4" xfId="32" builtinId="41" customBuiltin="1"/>
    <cellStyle name="Accent4 2" xfId="244"/>
    <cellStyle name="Accent4 2 2" xfId="245"/>
    <cellStyle name="Accent4 3" xfId="246"/>
    <cellStyle name="Accent4 4" xfId="859"/>
    <cellStyle name="Accent4 5" xfId="860"/>
    <cellStyle name="Accent5" xfId="36" builtinId="45" customBuiltin="1"/>
    <cellStyle name="Accent5 2" xfId="247"/>
    <cellStyle name="Accent5 2 2" xfId="248"/>
    <cellStyle name="Accent5 3" xfId="249"/>
    <cellStyle name="Accent5 4" xfId="861"/>
    <cellStyle name="Accent5 5" xfId="862"/>
    <cellStyle name="Accent6" xfId="40" builtinId="49" customBuiltin="1"/>
    <cellStyle name="Accent6 2" xfId="250"/>
    <cellStyle name="Accent6 2 2" xfId="251"/>
    <cellStyle name="Accent6 3" xfId="252"/>
    <cellStyle name="Accent6 4" xfId="863"/>
    <cellStyle name="Accent6 5" xfId="864"/>
    <cellStyle name="Bad" xfId="9" builtinId="27" customBuiltin="1"/>
    <cellStyle name="Bad 2" xfId="253"/>
    <cellStyle name="Bad 2 2" xfId="254"/>
    <cellStyle name="Bad 3" xfId="255"/>
    <cellStyle name="Bad 4" xfId="865"/>
    <cellStyle name="Bad 5" xfId="866"/>
    <cellStyle name="Body: normal cell" xfId="500"/>
    <cellStyle name="Calculation" xfId="13" builtinId="22" customBuiltin="1"/>
    <cellStyle name="Calculation 2" xfId="256"/>
    <cellStyle name="Calculation 2 2" xfId="257"/>
    <cellStyle name="Calculation 2 2 2" xfId="258"/>
    <cellStyle name="Calculation 2 2 3" xfId="259"/>
    <cellStyle name="Calculation 2 2 4" xfId="260"/>
    <cellStyle name="Calculation 2 3" xfId="261"/>
    <cellStyle name="Calculation 2 3 2" xfId="262"/>
    <cellStyle name="Calculation 2 3 3" xfId="263"/>
    <cellStyle name="Calculation 2 3 4" xfId="264"/>
    <cellStyle name="Calculation 2 4" xfId="265"/>
    <cellStyle name="Calculation 2 4 2" xfId="266"/>
    <cellStyle name="Calculation 2 4 3" xfId="267"/>
    <cellStyle name="Calculation 2 4 4" xfId="268"/>
    <cellStyle name="Calculation 2 5" xfId="269"/>
    <cellStyle name="Calculation 2 5 2" xfId="270"/>
    <cellStyle name="Calculation 2 5 3" xfId="271"/>
    <cellStyle name="Calculation 2 5 4" xfId="272"/>
    <cellStyle name="Calculation 3" xfId="273"/>
    <cellStyle name="Calculation 4" xfId="867"/>
    <cellStyle name="Calculation 5" xfId="868"/>
    <cellStyle name="Check Cell" xfId="15" builtinId="23" customBuiltin="1"/>
    <cellStyle name="Check Cell 2" xfId="274"/>
    <cellStyle name="Check Cell 2 2" xfId="275"/>
    <cellStyle name="Check Cell 2 3" xfId="869"/>
    <cellStyle name="Check Cell 2 4" xfId="870"/>
    <cellStyle name="Check Cell 2 5" xfId="871"/>
    <cellStyle name="Check Cell 2 6" xfId="872"/>
    <cellStyle name="Check Cell 2_Handoff Document 3.12.2010_IT_MRJ" xfId="873"/>
    <cellStyle name="Check Cell 3" xfId="276"/>
    <cellStyle name="Check Cell 3 2" xfId="874"/>
    <cellStyle name="Check Cell 3 3" xfId="875"/>
    <cellStyle name="Check Cell 3 4" xfId="876"/>
    <cellStyle name="Check Cell 3 5" xfId="877"/>
    <cellStyle name="Check Cell 3 6" xfId="878"/>
    <cellStyle name="Check Cell 3_Handoff Document 3.12.2010_IT_MRJ" xfId="879"/>
    <cellStyle name="Check Cell 4" xfId="880"/>
    <cellStyle name="Check Cell 4 2" xfId="881"/>
    <cellStyle name="Check Cell 4 3" xfId="882"/>
    <cellStyle name="Check Cell 4 4" xfId="883"/>
    <cellStyle name="Check Cell 4 5" xfId="884"/>
    <cellStyle name="Check Cell 4 6" xfId="885"/>
    <cellStyle name="Check Cell 4_Handoff Document 3.12.2010_IT_MRJ" xfId="886"/>
    <cellStyle name="Check Cell 5" xfId="887"/>
    <cellStyle name="Check Cell 5 2" xfId="888"/>
    <cellStyle name="Check Cell 5 3" xfId="889"/>
    <cellStyle name="Check Cell 5 4" xfId="890"/>
    <cellStyle name="Check Cell 5 5" xfId="891"/>
    <cellStyle name="Check Cell 5 6" xfId="892"/>
    <cellStyle name="Check Cell 5_Handoff Document 3.12.2010_IT_MRJ" xfId="893"/>
    <cellStyle name="Comma" xfId="1" builtinId="3"/>
    <cellStyle name="Comma 10" xfId="894"/>
    <cellStyle name="Comma 10 2" xfId="895"/>
    <cellStyle name="Comma 2" xfId="277"/>
    <cellStyle name="Comma 2 2" xfId="278"/>
    <cellStyle name="Comma 3" xfId="279"/>
    <cellStyle name="Comma 3 2" xfId="280"/>
    <cellStyle name="Comma 4" xfId="281"/>
    <cellStyle name="Comma 5" xfId="282"/>
    <cellStyle name="Comma 6" xfId="283"/>
    <cellStyle name="Comma 7" xfId="284"/>
    <cellStyle name="Comma 8" xfId="498"/>
    <cellStyle name="Currency 2" xfId="285"/>
    <cellStyle name="Currency 2 10" xfId="896"/>
    <cellStyle name="Currency 2 11" xfId="897"/>
    <cellStyle name="Currency 2 12" xfId="898"/>
    <cellStyle name="Currency 2 2" xfId="286"/>
    <cellStyle name="Currency 2 3" xfId="899"/>
    <cellStyle name="Currency 2 4" xfId="900"/>
    <cellStyle name="Currency 2 5" xfId="901"/>
    <cellStyle name="Currency 2 6" xfId="902"/>
    <cellStyle name="Currency 2 7" xfId="903"/>
    <cellStyle name="Currency 2 8" xfId="904"/>
    <cellStyle name="Currency 2 9" xfId="905"/>
    <cellStyle name="Currency 3" xfId="287"/>
    <cellStyle name="Currency 4" xfId="288"/>
    <cellStyle name="Dezimal [0]_DATEN" xfId="289"/>
    <cellStyle name="Dezimal_DATEN" xfId="290"/>
    <cellStyle name="e0" xfId="291"/>
    <cellStyle name="e1" xfId="292"/>
    <cellStyle name="e2" xfId="293"/>
    <cellStyle name="Explanatory Text" xfId="18" builtinId="53" customBuiltin="1"/>
    <cellStyle name="Explanatory Text 2" xfId="294"/>
    <cellStyle name="Explanatory Text 2 2" xfId="295"/>
    <cellStyle name="Explanatory Text 3" xfId="296"/>
    <cellStyle name="Explanatory Text 4" xfId="906"/>
    <cellStyle name="Explanatory Text 5" xfId="907"/>
    <cellStyle name="f0" xfId="297"/>
    <cellStyle name="f1" xfId="298"/>
    <cellStyle name="f2" xfId="299"/>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Good" xfId="8" builtinId="26" customBuiltin="1"/>
    <cellStyle name="Good 2" xfId="300"/>
    <cellStyle name="Good 2 2" xfId="301"/>
    <cellStyle name="Good 3" xfId="302"/>
    <cellStyle name="Good 4" xfId="908"/>
    <cellStyle name="Good 5" xfId="909"/>
    <cellStyle name="Header" xfId="303"/>
    <cellStyle name="Header 2" xfId="304"/>
    <cellStyle name="Header 3" xfId="305"/>
    <cellStyle name="Heading 1" xfId="4" builtinId="16" customBuiltin="1"/>
    <cellStyle name="Heading 1 2" xfId="306"/>
    <cellStyle name="Heading 1 2 2" xfId="307"/>
    <cellStyle name="Heading 1 3" xfId="308"/>
    <cellStyle name="Heading 1 4" xfId="910"/>
    <cellStyle name="Heading 1 5" xfId="911"/>
    <cellStyle name="Heading 2" xfId="5" builtinId="17" customBuiltin="1"/>
    <cellStyle name="Heading 2 2" xfId="309"/>
    <cellStyle name="Heading 2 2 2" xfId="310"/>
    <cellStyle name="Heading 2 3" xfId="311"/>
    <cellStyle name="Heading 2 4" xfId="912"/>
    <cellStyle name="Heading 2 5" xfId="913"/>
    <cellStyle name="Heading 2 6" xfId="914"/>
    <cellStyle name="Heading 3" xfId="6" builtinId="18" customBuiltin="1"/>
    <cellStyle name="Heading 3 2" xfId="312"/>
    <cellStyle name="Heading 3 2 2" xfId="313"/>
    <cellStyle name="Heading 3 3" xfId="314"/>
    <cellStyle name="Heading 3 4" xfId="915"/>
    <cellStyle name="Heading 3 5" xfId="916"/>
    <cellStyle name="Heading 4" xfId="7" builtinId="19" customBuiltin="1"/>
    <cellStyle name="Heading 4 2" xfId="315"/>
    <cellStyle name="Heading 4 2 2" xfId="316"/>
    <cellStyle name="Heading 4 3" xfId="317"/>
    <cellStyle name="Heading 4 4" xfId="917"/>
    <cellStyle name="Heading 4 5" xfId="918"/>
    <cellStyle name="Heading 4 6" xfId="919"/>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2" xfId="318"/>
    <cellStyle name="Hyperlink 2 2" xfId="319"/>
    <cellStyle name="Hyperlink 3" xfId="320"/>
    <cellStyle name="Hyperlink 4" xfId="321"/>
    <cellStyle name="Input" xfId="11" builtinId="20" customBuiltin="1"/>
    <cellStyle name="Input 2" xfId="322"/>
    <cellStyle name="Input 2 2" xfId="323"/>
    <cellStyle name="Input 2 2 2" xfId="324"/>
    <cellStyle name="Input 2 2 3" xfId="325"/>
    <cellStyle name="Input 2 2 4" xfId="326"/>
    <cellStyle name="Input 2 3" xfId="327"/>
    <cellStyle name="Input 2 3 2" xfId="328"/>
    <cellStyle name="Input 2 3 3" xfId="329"/>
    <cellStyle name="Input 2 3 4" xfId="330"/>
    <cellStyle name="Input 2 4" xfId="331"/>
    <cellStyle name="Input 2 4 2" xfId="332"/>
    <cellStyle name="Input 2 4 3" xfId="333"/>
    <cellStyle name="Input 2 4 4" xfId="334"/>
    <cellStyle name="Input 2 5" xfId="335"/>
    <cellStyle name="Input 2 5 2" xfId="336"/>
    <cellStyle name="Input 2 5 3" xfId="337"/>
    <cellStyle name="Input 2 5 4" xfId="338"/>
    <cellStyle name="Input 3" xfId="339"/>
    <cellStyle name="Input 4" xfId="920"/>
    <cellStyle name="Input 5" xfId="921"/>
    <cellStyle name="Linked Cell" xfId="14" builtinId="24" customBuiltin="1"/>
    <cellStyle name="Linked Cell 2" xfId="340"/>
    <cellStyle name="Linked Cell 2 2" xfId="341"/>
    <cellStyle name="Linked Cell 3" xfId="342"/>
    <cellStyle name="Linked Cell 4" xfId="922"/>
    <cellStyle name="Linked Cell 5" xfId="923"/>
    <cellStyle name="n0" xfId="343"/>
    <cellStyle name="n1" xfId="344"/>
    <cellStyle name="n2" xfId="345"/>
    <cellStyle name="Neutral" xfId="10" builtinId="28" customBuiltin="1"/>
    <cellStyle name="Neutral 2" xfId="346"/>
    <cellStyle name="Neutral 2 2" xfId="347"/>
    <cellStyle name="Neutral 3" xfId="348"/>
    <cellStyle name="Neutral 4" xfId="924"/>
    <cellStyle name="Neutral 5" xfId="925"/>
    <cellStyle name="New Rep Unit" xfId="926"/>
    <cellStyle name="New Rep Unit 2" xfId="927"/>
    <cellStyle name="New Rep Unit 3" xfId="928"/>
    <cellStyle name="New Rep Unit 4" xfId="929"/>
    <cellStyle name="New Rep Unit 5" xfId="930"/>
    <cellStyle name="New Rep Unit 6" xfId="931"/>
    <cellStyle name="New Rep Unit_Handoff Document 3.12.2010_IT_MRJ" xfId="932"/>
    <cellStyle name="Normal" xfId="0" builtinId="0"/>
    <cellStyle name="Normal 10" xfId="349"/>
    <cellStyle name="Normal 10 2" xfId="350"/>
    <cellStyle name="Normal 10 3" xfId="933"/>
    <cellStyle name="Normal 100" xfId="934"/>
    <cellStyle name="Normal 101" xfId="935"/>
    <cellStyle name="Normal 102" xfId="936"/>
    <cellStyle name="Normal 103" xfId="937"/>
    <cellStyle name="Normal 104" xfId="938"/>
    <cellStyle name="Normal 105" xfId="939"/>
    <cellStyle name="Normal 106" xfId="940"/>
    <cellStyle name="Normal 107" xfId="941"/>
    <cellStyle name="Normal 108" xfId="942"/>
    <cellStyle name="Normal 109" xfId="943"/>
    <cellStyle name="Normal 11" xfId="351"/>
    <cellStyle name="Normal 11 2" xfId="352"/>
    <cellStyle name="Normal 11 2 2" xfId="944"/>
    <cellStyle name="Normal 11 2 3" xfId="945"/>
    <cellStyle name="Normal 11 2 4" xfId="946"/>
    <cellStyle name="Normal 11 2 5" xfId="947"/>
    <cellStyle name="Normal 11 2 6" xfId="948"/>
    <cellStyle name="Normal 11 2_Handoff Document 3.12.2010_IT_MRJ" xfId="949"/>
    <cellStyle name="Normal 11 3" xfId="950"/>
    <cellStyle name="Normal 11 3 2" xfId="951"/>
    <cellStyle name="Normal 11 3 3" xfId="952"/>
    <cellStyle name="Normal 11 3 4" xfId="953"/>
    <cellStyle name="Normal 11 3 5" xfId="954"/>
    <cellStyle name="Normal 11 3 6" xfId="955"/>
    <cellStyle name="Normal 11 3_Handoff Document 3.12.2010_IT_MRJ" xfId="956"/>
    <cellStyle name="Normal 11 4" xfId="957"/>
    <cellStyle name="Normal 11 4 2" xfId="958"/>
    <cellStyle name="Normal 11 4 3" xfId="959"/>
    <cellStyle name="Normal 11 4 4" xfId="960"/>
    <cellStyle name="Normal 11 4 5" xfId="961"/>
    <cellStyle name="Normal 11 4 6" xfId="962"/>
    <cellStyle name="Normal 11 4_Handoff Document 3.12.2010_IT_MRJ" xfId="963"/>
    <cellStyle name="Normal 11 5" xfId="964"/>
    <cellStyle name="Normal 11 5 2" xfId="965"/>
    <cellStyle name="Normal 11 5 3" xfId="966"/>
    <cellStyle name="Normal 11 5 4" xfId="967"/>
    <cellStyle name="Normal 11 5 5" xfId="968"/>
    <cellStyle name="Normal 11 5 6" xfId="969"/>
    <cellStyle name="Normal 11 5_Handoff Document 3.12.2010_IT_MRJ" xfId="970"/>
    <cellStyle name="Normal 11 6" xfId="971"/>
    <cellStyle name="Normal 11 6 2" xfId="972"/>
    <cellStyle name="Normal 11 6 3" xfId="973"/>
    <cellStyle name="Normal 11 6 4" xfId="974"/>
    <cellStyle name="Normal 11 6 5" xfId="975"/>
    <cellStyle name="Normal 11 6 6" xfId="976"/>
    <cellStyle name="Normal 11 6_Handoff Document 3.12.2010_IT_MRJ" xfId="977"/>
    <cellStyle name="Normal 110" xfId="978"/>
    <cellStyle name="Normal 111" xfId="979"/>
    <cellStyle name="Normal 112" xfId="980"/>
    <cellStyle name="Normal 113" xfId="981"/>
    <cellStyle name="Normal 114" xfId="982"/>
    <cellStyle name="Normal 115" xfId="983"/>
    <cellStyle name="Normal 116" xfId="984"/>
    <cellStyle name="Normal 117" xfId="985"/>
    <cellStyle name="Normal 118" xfId="986"/>
    <cellStyle name="Normal 119" xfId="987"/>
    <cellStyle name="Normal 12" xfId="353"/>
    <cellStyle name="Normal 12 2" xfId="354"/>
    <cellStyle name="Normal 12 3" xfId="355"/>
    <cellStyle name="Normal 120" xfId="988"/>
    <cellStyle name="Normal 121" xfId="989"/>
    <cellStyle name="Normal 122" xfId="990"/>
    <cellStyle name="Normal 123" xfId="991"/>
    <cellStyle name="Normal 124" xfId="992"/>
    <cellStyle name="Normal 125" xfId="993"/>
    <cellStyle name="Normal 126" xfId="994"/>
    <cellStyle name="Normal 127" xfId="995"/>
    <cellStyle name="Normal 128" xfId="996"/>
    <cellStyle name="Normal 128 2" xfId="997"/>
    <cellStyle name="Normal 128_Handoff Document 3.12.2010_IT_MRJ" xfId="998"/>
    <cellStyle name="Normal 13" xfId="356"/>
    <cellStyle name="Normal 13 2" xfId="357"/>
    <cellStyle name="Normal 13 3" xfId="358"/>
    <cellStyle name="Normal 135 2" xfId="999"/>
    <cellStyle name="Normal 139" xfId="1000"/>
    <cellStyle name="Normal 14" xfId="359"/>
    <cellStyle name="Normal 14 2" xfId="360"/>
    <cellStyle name="Normal 14 3" xfId="361"/>
    <cellStyle name="Normal 140" xfId="1001"/>
    <cellStyle name="Normal 142" xfId="1002"/>
    <cellStyle name="Normal 143" xfId="1003"/>
    <cellStyle name="Normal 15" xfId="362"/>
    <cellStyle name="Normal 15 2" xfId="363"/>
    <cellStyle name="Normal 16" xfId="364"/>
    <cellStyle name="Normal 17" xfId="365"/>
    <cellStyle name="Normal 18" xfId="366"/>
    <cellStyle name="Normal 19" xfId="367"/>
    <cellStyle name="Normal 2" xfId="46"/>
    <cellStyle name="Normal 2 10" xfId="1004"/>
    <cellStyle name="Normal 2 100" xfId="1005"/>
    <cellStyle name="Normal 2 101" xfId="1006"/>
    <cellStyle name="Normal 2 102" xfId="1007"/>
    <cellStyle name="Normal 2 103" xfId="1008"/>
    <cellStyle name="Normal 2 104" xfId="1009"/>
    <cellStyle name="Normal 2 105" xfId="1010"/>
    <cellStyle name="Normal 2 106" xfId="1011"/>
    <cellStyle name="Normal 2 107" xfId="1012"/>
    <cellStyle name="Normal 2 108" xfId="1013"/>
    <cellStyle name="Normal 2 109" xfId="1014"/>
    <cellStyle name="Normal 2 11" xfId="1015"/>
    <cellStyle name="Normal 2 110" xfId="1016"/>
    <cellStyle name="Normal 2 12" xfId="1017"/>
    <cellStyle name="Normal 2 13" xfId="1018"/>
    <cellStyle name="Normal 2 14" xfId="1019"/>
    <cellStyle name="Normal 2 15" xfId="1020"/>
    <cellStyle name="Normal 2 16" xfId="1021"/>
    <cellStyle name="Normal 2 17" xfId="1022"/>
    <cellStyle name="Normal 2 18" xfId="1023"/>
    <cellStyle name="Normal 2 19" xfId="1024"/>
    <cellStyle name="Normal 2 2" xfId="51"/>
    <cellStyle name="Normal 2 2 2" xfId="368"/>
    <cellStyle name="Normal 2 20" xfId="1025"/>
    <cellStyle name="Normal 2 21" xfId="1026"/>
    <cellStyle name="Normal 2 22" xfId="1027"/>
    <cellStyle name="Normal 2 23" xfId="1028"/>
    <cellStyle name="Normal 2 24" xfId="1029"/>
    <cellStyle name="Normal 2 25" xfId="1030"/>
    <cellStyle name="Normal 2 26" xfId="1031"/>
    <cellStyle name="Normal 2 27" xfId="1032"/>
    <cellStyle name="Normal 2 28" xfId="1033"/>
    <cellStyle name="Normal 2 29" xfId="1034"/>
    <cellStyle name="Normal 2 3" xfId="369"/>
    <cellStyle name="Normal 2 30" xfId="1035"/>
    <cellStyle name="Normal 2 31" xfId="1036"/>
    <cellStyle name="Normal 2 32" xfId="1037"/>
    <cellStyle name="Normal 2 33" xfId="1038"/>
    <cellStyle name="Normal 2 34" xfId="1039"/>
    <cellStyle name="Normal 2 35" xfId="1040"/>
    <cellStyle name="Normal 2 36" xfId="1041"/>
    <cellStyle name="Normal 2 37" xfId="1042"/>
    <cellStyle name="Normal 2 38" xfId="1043"/>
    <cellStyle name="Normal 2 39" xfId="1044"/>
    <cellStyle name="Normal 2 4" xfId="370"/>
    <cellStyle name="Normal 2 40" xfId="1045"/>
    <cellStyle name="Normal 2 41" xfId="1046"/>
    <cellStyle name="Normal 2 42" xfId="1047"/>
    <cellStyle name="Normal 2 43" xfId="1048"/>
    <cellStyle name="Normal 2 44" xfId="1049"/>
    <cellStyle name="Normal 2 45" xfId="1050"/>
    <cellStyle name="Normal 2 46" xfId="1051"/>
    <cellStyle name="Normal 2 47" xfId="1052"/>
    <cellStyle name="Normal 2 48" xfId="1053"/>
    <cellStyle name="Normal 2 49" xfId="1054"/>
    <cellStyle name="Normal 2 5" xfId="1055"/>
    <cellStyle name="Normal 2 50" xfId="1056"/>
    <cellStyle name="Normal 2 51" xfId="1057"/>
    <cellStyle name="Normal 2 52" xfId="1058"/>
    <cellStyle name="Normal 2 53" xfId="1059"/>
    <cellStyle name="Normal 2 54" xfId="1060"/>
    <cellStyle name="Normal 2 55" xfId="1061"/>
    <cellStyle name="Normal 2 56" xfId="1062"/>
    <cellStyle name="Normal 2 57" xfId="1063"/>
    <cellStyle name="Normal 2 58" xfId="1064"/>
    <cellStyle name="Normal 2 59" xfId="1065"/>
    <cellStyle name="Normal 2 6" xfId="1066"/>
    <cellStyle name="Normal 2 60" xfId="1067"/>
    <cellStyle name="Normal 2 61" xfId="1068"/>
    <cellStyle name="Normal 2 62" xfId="1069"/>
    <cellStyle name="Normal 2 63" xfId="1070"/>
    <cellStyle name="Normal 2 64" xfId="1071"/>
    <cellStyle name="Normal 2 65" xfId="1072"/>
    <cellStyle name="Normal 2 66" xfId="1073"/>
    <cellStyle name="Normal 2 67" xfId="1074"/>
    <cellStyle name="Normal 2 68" xfId="1075"/>
    <cellStyle name="Normal 2 69" xfId="1076"/>
    <cellStyle name="Normal 2 7" xfId="1077"/>
    <cellStyle name="Normal 2 70" xfId="1078"/>
    <cellStyle name="Normal 2 71" xfId="1079"/>
    <cellStyle name="Normal 2 72" xfId="1080"/>
    <cellStyle name="Normal 2 73" xfId="1081"/>
    <cellStyle name="Normal 2 74" xfId="1082"/>
    <cellStyle name="Normal 2 75" xfId="1083"/>
    <cellStyle name="Normal 2 76" xfId="1084"/>
    <cellStyle name="Normal 2 77" xfId="1085"/>
    <cellStyle name="Normal 2 78" xfId="1086"/>
    <cellStyle name="Normal 2 79" xfId="1087"/>
    <cellStyle name="Normal 2 8" xfId="1088"/>
    <cellStyle name="Normal 2 80" xfId="1089"/>
    <cellStyle name="Normal 2 81" xfId="1090"/>
    <cellStyle name="Normal 2 82" xfId="1091"/>
    <cellStyle name="Normal 2 83" xfId="1092"/>
    <cellStyle name="Normal 2 84" xfId="1093"/>
    <cellStyle name="Normal 2 85" xfId="1094"/>
    <cellStyle name="Normal 2 86" xfId="1095"/>
    <cellStyle name="Normal 2 87" xfId="1096"/>
    <cellStyle name="Normal 2 88" xfId="1097"/>
    <cellStyle name="Normal 2 89" xfId="1098"/>
    <cellStyle name="Normal 2 9" xfId="1099"/>
    <cellStyle name="Normal 2 90" xfId="1100"/>
    <cellStyle name="Normal 2 91" xfId="1101"/>
    <cellStyle name="Normal 2 92" xfId="1102"/>
    <cellStyle name="Normal 2 93" xfId="1103"/>
    <cellStyle name="Normal 2 94" xfId="1104"/>
    <cellStyle name="Normal 2 95" xfId="1105"/>
    <cellStyle name="Normal 2 96" xfId="1106"/>
    <cellStyle name="Normal 2 97" xfId="1107"/>
    <cellStyle name="Normal 2 98" xfId="1108"/>
    <cellStyle name="Normal 2 99" xfId="1109"/>
    <cellStyle name="Normal 20" xfId="371"/>
    <cellStyle name="Normal 21" xfId="372"/>
    <cellStyle name="Normal 22" xfId="373"/>
    <cellStyle name="Normal 23" xfId="374"/>
    <cellStyle name="Normal 24" xfId="375"/>
    <cellStyle name="Normal 25" xfId="376"/>
    <cellStyle name="Normal 26" xfId="497"/>
    <cellStyle name="Normal 26 2" xfId="499"/>
    <cellStyle name="Normal 26 3" xfId="501"/>
    <cellStyle name="Normal 27" xfId="1110"/>
    <cellStyle name="Normal 28" xfId="1111"/>
    <cellStyle name="Normal 29" xfId="1112"/>
    <cellStyle name="Normal 3" xfId="45"/>
    <cellStyle name="Normal 3 2" xfId="377"/>
    <cellStyle name="Normal 3 2 2" xfId="378"/>
    <cellStyle name="Normal 3 2 2 2" xfId="47"/>
    <cellStyle name="Normal 3 3" xfId="379"/>
    <cellStyle name="Normal 3 4" xfId="380"/>
    <cellStyle name="Normal 3 5" xfId="381"/>
    <cellStyle name="Normal 3 6" xfId="382"/>
    <cellStyle name="Normal 30" xfId="1113"/>
    <cellStyle name="Normal 31" xfId="1114"/>
    <cellStyle name="Normal 32" xfId="1115"/>
    <cellStyle name="Normal 33" xfId="1116"/>
    <cellStyle name="Normal 34" xfId="1117"/>
    <cellStyle name="Normal 35" xfId="1118"/>
    <cellStyle name="Normal 36" xfId="1119"/>
    <cellStyle name="Normal 37" xfId="1120"/>
    <cellStyle name="Normal 38" xfId="1121"/>
    <cellStyle name="Normal 39" xfId="1122"/>
    <cellStyle name="Normal 4" xfId="48"/>
    <cellStyle name="Normal 4 10" xfId="1123"/>
    <cellStyle name="Normal 4 100" xfId="1124"/>
    <cellStyle name="Normal 4 101" xfId="1125"/>
    <cellStyle name="Normal 4 102" xfId="1126"/>
    <cellStyle name="Normal 4 103" xfId="1127"/>
    <cellStyle name="Normal 4 104" xfId="1128"/>
    <cellStyle name="Normal 4 105" xfId="1129"/>
    <cellStyle name="Normal 4 106" xfId="1130"/>
    <cellStyle name="Normal 4 107" xfId="1131"/>
    <cellStyle name="Normal 4 108" xfId="1132"/>
    <cellStyle name="Normal 4 11" xfId="1133"/>
    <cellStyle name="Normal 4 12" xfId="1134"/>
    <cellStyle name="Normal 4 13" xfId="1135"/>
    <cellStyle name="Normal 4 14" xfId="1136"/>
    <cellStyle name="Normal 4 15" xfId="1137"/>
    <cellStyle name="Normal 4 16" xfId="1138"/>
    <cellStyle name="Normal 4 17" xfId="1139"/>
    <cellStyle name="Normal 4 18" xfId="1140"/>
    <cellStyle name="Normal 4 19" xfId="1141"/>
    <cellStyle name="Normal 4 2" xfId="383"/>
    <cellStyle name="Normal 4 20" xfId="1142"/>
    <cellStyle name="Normal 4 21" xfId="1143"/>
    <cellStyle name="Normal 4 22" xfId="1144"/>
    <cellStyle name="Normal 4 23" xfId="1145"/>
    <cellStyle name="Normal 4 24" xfId="1146"/>
    <cellStyle name="Normal 4 25" xfId="1147"/>
    <cellStyle name="Normal 4 26" xfId="1148"/>
    <cellStyle name="Normal 4 27" xfId="1149"/>
    <cellStyle name="Normal 4 28" xfId="1150"/>
    <cellStyle name="Normal 4 29" xfId="1151"/>
    <cellStyle name="Normal 4 3" xfId="384"/>
    <cellStyle name="Normal 4 30" xfId="1152"/>
    <cellStyle name="Normal 4 31" xfId="1153"/>
    <cellStyle name="Normal 4 32" xfId="1154"/>
    <cellStyle name="Normal 4 33" xfId="1155"/>
    <cellStyle name="Normal 4 34" xfId="1156"/>
    <cellStyle name="Normal 4 35" xfId="1157"/>
    <cellStyle name="Normal 4 36" xfId="1158"/>
    <cellStyle name="Normal 4 37" xfId="1159"/>
    <cellStyle name="Normal 4 38" xfId="1160"/>
    <cellStyle name="Normal 4 39" xfId="1161"/>
    <cellStyle name="Normal 4 4" xfId="1162"/>
    <cellStyle name="Normal 4 40" xfId="1163"/>
    <cellStyle name="Normal 4 41" xfId="1164"/>
    <cellStyle name="Normal 4 42" xfId="1165"/>
    <cellStyle name="Normal 4 43" xfId="1166"/>
    <cellStyle name="Normal 4 44" xfId="1167"/>
    <cellStyle name="Normal 4 45" xfId="1168"/>
    <cellStyle name="Normal 4 46" xfId="1169"/>
    <cellStyle name="Normal 4 47" xfId="1170"/>
    <cellStyle name="Normal 4 48" xfId="1171"/>
    <cellStyle name="Normal 4 49" xfId="1172"/>
    <cellStyle name="Normal 4 5" xfId="1173"/>
    <cellStyle name="Normal 4 50" xfId="1174"/>
    <cellStyle name="Normal 4 51" xfId="1175"/>
    <cellStyle name="Normal 4 52" xfId="1176"/>
    <cellStyle name="Normal 4 53" xfId="1177"/>
    <cellStyle name="Normal 4 54" xfId="1178"/>
    <cellStyle name="Normal 4 55" xfId="1179"/>
    <cellStyle name="Normal 4 56" xfId="1180"/>
    <cellStyle name="Normal 4 57" xfId="1181"/>
    <cellStyle name="Normal 4 58" xfId="1182"/>
    <cellStyle name="Normal 4 59" xfId="1183"/>
    <cellStyle name="Normal 4 6" xfId="1184"/>
    <cellStyle name="Normal 4 60" xfId="1185"/>
    <cellStyle name="Normal 4 61" xfId="1186"/>
    <cellStyle name="Normal 4 62" xfId="1187"/>
    <cellStyle name="Normal 4 63" xfId="1188"/>
    <cellStyle name="Normal 4 64" xfId="1189"/>
    <cellStyle name="Normal 4 65" xfId="1190"/>
    <cellStyle name="Normal 4 66" xfId="1191"/>
    <cellStyle name="Normal 4 67" xfId="1192"/>
    <cellStyle name="Normal 4 68" xfId="1193"/>
    <cellStyle name="Normal 4 69" xfId="1194"/>
    <cellStyle name="Normal 4 7" xfId="1195"/>
    <cellStyle name="Normal 4 70" xfId="1196"/>
    <cellStyle name="Normal 4 71" xfId="1197"/>
    <cellStyle name="Normal 4 72" xfId="1198"/>
    <cellStyle name="Normal 4 73" xfId="1199"/>
    <cellStyle name="Normal 4 74" xfId="1200"/>
    <cellStyle name="Normal 4 75" xfId="1201"/>
    <cellStyle name="Normal 4 76" xfId="1202"/>
    <cellStyle name="Normal 4 77" xfId="1203"/>
    <cellStyle name="Normal 4 78" xfId="1204"/>
    <cellStyle name="Normal 4 79" xfId="1205"/>
    <cellStyle name="Normal 4 8" xfId="1206"/>
    <cellStyle name="Normal 4 80" xfId="1207"/>
    <cellStyle name="Normal 4 81" xfId="1208"/>
    <cellStyle name="Normal 4 82" xfId="1209"/>
    <cellStyle name="Normal 4 83" xfId="1210"/>
    <cellStyle name="Normal 4 84" xfId="1211"/>
    <cellStyle name="Normal 4 85" xfId="1212"/>
    <cellStyle name="Normal 4 86" xfId="1213"/>
    <cellStyle name="Normal 4 87" xfId="1214"/>
    <cellStyle name="Normal 4 88" xfId="1215"/>
    <cellStyle name="Normal 4 89" xfId="1216"/>
    <cellStyle name="Normal 4 9" xfId="1217"/>
    <cellStyle name="Normal 4 90" xfId="1218"/>
    <cellStyle name="Normal 4 91" xfId="1219"/>
    <cellStyle name="Normal 4 92" xfId="1220"/>
    <cellStyle name="Normal 4 93" xfId="1221"/>
    <cellStyle name="Normal 4 94" xfId="1222"/>
    <cellStyle name="Normal 4 95" xfId="1223"/>
    <cellStyle name="Normal 4 96" xfId="1224"/>
    <cellStyle name="Normal 4 97" xfId="1225"/>
    <cellStyle name="Normal 4 98" xfId="1226"/>
    <cellStyle name="Normal 4 99" xfId="1227"/>
    <cellStyle name="Normal 40" xfId="1228"/>
    <cellStyle name="Normal 41" xfId="1229"/>
    <cellStyle name="Normal 42" xfId="1230"/>
    <cellStyle name="Normal 43" xfId="1231"/>
    <cellStyle name="Normal 44" xfId="1232"/>
    <cellStyle name="Normal 45" xfId="1233"/>
    <cellStyle name="Normal 46" xfId="1234"/>
    <cellStyle name="Normal 47" xfId="1235"/>
    <cellStyle name="Normal 48" xfId="1236"/>
    <cellStyle name="Normal 49" xfId="1237"/>
    <cellStyle name="Normal 5" xfId="44"/>
    <cellStyle name="Normal 5 2" xfId="385"/>
    <cellStyle name="Normal 5 3" xfId="386"/>
    <cellStyle name="Normal 5 4" xfId="1238"/>
    <cellStyle name="Normal 5 5" xfId="1239"/>
    <cellStyle name="Normal 5 6" xfId="1240"/>
    <cellStyle name="Normal 5 7" xfId="1241"/>
    <cellStyle name="Normal 5_Handoff Document 3.12.2010_IT_MRJ" xfId="1242"/>
    <cellStyle name="Normal 50" xfId="1243"/>
    <cellStyle name="Normal 50 2" xfId="1244"/>
    <cellStyle name="Normal 51" xfId="1245"/>
    <cellStyle name="Normal 52" xfId="1246"/>
    <cellStyle name="Normal 53" xfId="1247"/>
    <cellStyle name="Normal 54" xfId="1248"/>
    <cellStyle name="Normal 55" xfId="1249"/>
    <cellStyle name="Normal 56" xfId="1250"/>
    <cellStyle name="Normal 57" xfId="1251"/>
    <cellStyle name="Normal 58" xfId="1252"/>
    <cellStyle name="Normal 59" xfId="1253"/>
    <cellStyle name="Normal 6" xfId="49"/>
    <cellStyle name="Normal 6 2" xfId="387"/>
    <cellStyle name="Normal 6 3" xfId="388"/>
    <cellStyle name="Normal 60" xfId="1254"/>
    <cellStyle name="Normal 61" xfId="1255"/>
    <cellStyle name="Normal 62" xfId="1256"/>
    <cellStyle name="Normal 63" xfId="1257"/>
    <cellStyle name="Normal 64" xfId="1258"/>
    <cellStyle name="Normal 65" xfId="1259"/>
    <cellStyle name="Normal 66" xfId="1260"/>
    <cellStyle name="Normal 67" xfId="1261"/>
    <cellStyle name="Normal 68" xfId="1262"/>
    <cellStyle name="Normal 69" xfId="1263"/>
    <cellStyle name="Normal 7" xfId="52"/>
    <cellStyle name="Normal 7 2" xfId="389"/>
    <cellStyle name="Normal 7 2 2" xfId="390"/>
    <cellStyle name="Normal 7 3" xfId="391"/>
    <cellStyle name="Normal 70" xfId="1264"/>
    <cellStyle name="Normal 71" xfId="1265"/>
    <cellStyle name="Normal 71 2" xfId="1266"/>
    <cellStyle name="Normal 72" xfId="1267"/>
    <cellStyle name="Normal 73" xfId="1268"/>
    <cellStyle name="Normal 73 2" xfId="1269"/>
    <cellStyle name="Normal 74" xfId="1270"/>
    <cellStyle name="Normal 74 2" xfId="1271"/>
    <cellStyle name="Normal 75" xfId="1272"/>
    <cellStyle name="Normal 76" xfId="1273"/>
    <cellStyle name="Normal 77" xfId="1274"/>
    <cellStyle name="Normal 78" xfId="1275"/>
    <cellStyle name="Normal 79" xfId="1276"/>
    <cellStyle name="Normal 79 2" xfId="1277"/>
    <cellStyle name="Normal 8" xfId="392"/>
    <cellStyle name="Normal 8 2" xfId="393"/>
    <cellStyle name="Normal 8 3" xfId="1278"/>
    <cellStyle name="Normal 80" xfId="1279"/>
    <cellStyle name="Normal 81" xfId="1280"/>
    <cellStyle name="Normal 82" xfId="1281"/>
    <cellStyle name="Normal 83" xfId="1282"/>
    <cellStyle name="Normal 84" xfId="1283"/>
    <cellStyle name="Normal 85" xfId="1284"/>
    <cellStyle name="Normal 86" xfId="1285"/>
    <cellStyle name="Normal 87" xfId="1286"/>
    <cellStyle name="Normal 88" xfId="1287"/>
    <cellStyle name="Normal 89" xfId="1288"/>
    <cellStyle name="Normal 9" xfId="394"/>
    <cellStyle name="Normal 9 2" xfId="395"/>
    <cellStyle name="Normal 9 3" xfId="396"/>
    <cellStyle name="Normal 90" xfId="1289"/>
    <cellStyle name="Normal 91" xfId="1290"/>
    <cellStyle name="Normal 92" xfId="1291"/>
    <cellStyle name="Normal 93" xfId="1292"/>
    <cellStyle name="Normal 94" xfId="1293"/>
    <cellStyle name="Normal 95" xfId="1294"/>
    <cellStyle name="Normal 96" xfId="1295"/>
    <cellStyle name="Normal 97" xfId="1296"/>
    <cellStyle name="Normal 98" xfId="1297"/>
    <cellStyle name="Normal 99" xfId="1298"/>
    <cellStyle name="Normál_F15A" xfId="397"/>
    <cellStyle name="Note" xfId="17" builtinId="10" customBuiltin="1"/>
    <cellStyle name="Note 2" xfId="398"/>
    <cellStyle name="Note 2 2" xfId="399"/>
    <cellStyle name="Note 2 2 2" xfId="400"/>
    <cellStyle name="Note 2 2 3" xfId="401"/>
    <cellStyle name="Note 2 2 4" xfId="402"/>
    <cellStyle name="Note 2 3" xfId="403"/>
    <cellStyle name="Note 2 3 2" xfId="404"/>
    <cellStyle name="Note 2 3 3" xfId="405"/>
    <cellStyle name="Note 2 3 4" xfId="406"/>
    <cellStyle name="Note 2 4" xfId="407"/>
    <cellStyle name="Note 2 4 2" xfId="408"/>
    <cellStyle name="Note 2 4 3" xfId="409"/>
    <cellStyle name="Note 2 4 4" xfId="410"/>
    <cellStyle name="Note 2 5" xfId="411"/>
    <cellStyle name="Note 2 5 2" xfId="412"/>
    <cellStyle name="Note 2 5 3" xfId="413"/>
    <cellStyle name="Note 2 5 4" xfId="414"/>
    <cellStyle name="Note 2 6" xfId="1299"/>
    <cellStyle name="Note 3" xfId="415"/>
    <cellStyle name="Note 3 2" xfId="416"/>
    <cellStyle name="Note 3 3" xfId="417"/>
    <cellStyle name="Note 3 4" xfId="1300"/>
    <cellStyle name="Note 3 5" xfId="1301"/>
    <cellStyle name="Note 3 6" xfId="1302"/>
    <cellStyle name="Note 4" xfId="418"/>
    <cellStyle name="Note 4 2" xfId="1303"/>
    <cellStyle name="Note 4 3" xfId="1304"/>
    <cellStyle name="Note 4 4" xfId="1305"/>
    <cellStyle name="Note 4 5" xfId="1306"/>
    <cellStyle name="Note 4 6" xfId="1307"/>
    <cellStyle name="Note 5" xfId="419"/>
    <cellStyle name="Note 5 2" xfId="1308"/>
    <cellStyle name="Note 5 3" xfId="1309"/>
    <cellStyle name="Note 5 4" xfId="1310"/>
    <cellStyle name="Note 5 5" xfId="1311"/>
    <cellStyle name="Note 5 6" xfId="1312"/>
    <cellStyle name="Output" xfId="12" builtinId="21" customBuiltin="1"/>
    <cellStyle name="Output 2" xfId="420"/>
    <cellStyle name="Output 2 2" xfId="421"/>
    <cellStyle name="Output 2 2 2" xfId="422"/>
    <cellStyle name="Output 2 2 3" xfId="423"/>
    <cellStyle name="Output 2 2 4" xfId="424"/>
    <cellStyle name="Output 2 3" xfId="425"/>
    <cellStyle name="Output 2 3 2" xfId="426"/>
    <cellStyle name="Output 2 3 3" xfId="427"/>
    <cellStyle name="Output 2 3 4" xfId="428"/>
    <cellStyle name="Output 2 4" xfId="429"/>
    <cellStyle name="Output 2 4 2" xfId="430"/>
    <cellStyle name="Output 2 4 3" xfId="431"/>
    <cellStyle name="Output 2 4 4" xfId="432"/>
    <cellStyle name="Output 2 5" xfId="433"/>
    <cellStyle name="Output 2 5 2" xfId="434"/>
    <cellStyle name="Output 2 5 3" xfId="435"/>
    <cellStyle name="Output 2 5 4" xfId="436"/>
    <cellStyle name="Output 3" xfId="437"/>
    <cellStyle name="Output 4" xfId="1313"/>
    <cellStyle name="Output 5" xfId="1314"/>
    <cellStyle name="p0" xfId="438"/>
    <cellStyle name="p1" xfId="439"/>
    <cellStyle name="p2" xfId="440"/>
    <cellStyle name="Percent" xfId="2" builtinId="5"/>
    <cellStyle name="Percent 2" xfId="50"/>
    <cellStyle name="Percent 2 2" xfId="53"/>
    <cellStyle name="Percent 2 3" xfId="441"/>
    <cellStyle name="Percent 3" xfId="54"/>
    <cellStyle name="Percent 3 2" xfId="442"/>
    <cellStyle name="Percent 3 3" xfId="443"/>
    <cellStyle name="Percent 3 4" xfId="444"/>
    <cellStyle name="Percent 4" xfId="445"/>
    <cellStyle name="Percent 4 2" xfId="446"/>
    <cellStyle name="Percent 5" xfId="447"/>
    <cellStyle name="Percent 6" xfId="448"/>
    <cellStyle name="Percent 6 2" xfId="449"/>
    <cellStyle name="Percent 7" xfId="450"/>
    <cellStyle name="r0" xfId="451"/>
    <cellStyle name="r1" xfId="452"/>
    <cellStyle name="r2" xfId="453"/>
    <cellStyle name="Standard_DATEN" xfId="454"/>
    <cellStyle name="Style 1" xfId="455"/>
    <cellStyle name="Style 2" xfId="456"/>
    <cellStyle name="Style 3" xfId="457"/>
    <cellStyle name="Style 4" xfId="458"/>
    <cellStyle name="Style 5" xfId="459"/>
    <cellStyle name="Titel" xfId="460"/>
    <cellStyle name="Title" xfId="3" builtinId="15" customBuiltin="1"/>
    <cellStyle name="Title 2" xfId="461"/>
    <cellStyle name="Title 2 2" xfId="462"/>
    <cellStyle name="Title 3" xfId="463"/>
    <cellStyle name="Title 4" xfId="1315"/>
    <cellStyle name="Title 5" xfId="1316"/>
    <cellStyle name="Total" xfId="19" builtinId="25" customBuiltin="1"/>
    <cellStyle name="Total 2" xfId="464"/>
    <cellStyle name="Total 2 2" xfId="465"/>
    <cellStyle name="Total 2 2 2" xfId="466"/>
    <cellStyle name="Total 2 2 3" xfId="467"/>
    <cellStyle name="Total 2 2 4" xfId="468"/>
    <cellStyle name="Total 2 3" xfId="469"/>
    <cellStyle name="Total 2 3 2" xfId="470"/>
    <cellStyle name="Total 2 3 3" xfId="471"/>
    <cellStyle name="Total 2 3 4" xfId="472"/>
    <cellStyle name="Total 2 4" xfId="473"/>
    <cellStyle name="Total 2 4 2" xfId="474"/>
    <cellStyle name="Total 2 4 3" xfId="475"/>
    <cellStyle name="Total 2 4 4" xfId="476"/>
    <cellStyle name="Total 2 5" xfId="477"/>
    <cellStyle name="Total 2 5 2" xfId="478"/>
    <cellStyle name="Total 2 5 3" xfId="479"/>
    <cellStyle name="Total 2 5 4" xfId="480"/>
    <cellStyle name="Total 2 6" xfId="1317"/>
    <cellStyle name="Total 2_Handoff Document 3.12.2010_IT_MRJ" xfId="1318"/>
    <cellStyle name="Total 3" xfId="481"/>
    <cellStyle name="Total 3 2" xfId="1319"/>
    <cellStyle name="Total 3 3" xfId="1320"/>
    <cellStyle name="Total 3 4" xfId="1321"/>
    <cellStyle name="Total 3 5" xfId="1322"/>
    <cellStyle name="Total 3 6" xfId="1323"/>
    <cellStyle name="Total 3_Handoff Document 3.12.2010_IT_MRJ" xfId="1324"/>
    <cellStyle name="Total 4" xfId="1325"/>
    <cellStyle name="Total 4 2" xfId="1326"/>
    <cellStyle name="Total 4 3" xfId="1327"/>
    <cellStyle name="Total 4 4" xfId="1328"/>
    <cellStyle name="Total 4 5" xfId="1329"/>
    <cellStyle name="Total 4 6" xfId="1330"/>
    <cellStyle name="Total 4_Handoff Document 3.12.2010_IT_MRJ" xfId="1331"/>
    <cellStyle name="Total 5" xfId="1332"/>
    <cellStyle name="Total 5 2" xfId="1333"/>
    <cellStyle name="Total 5 3" xfId="1334"/>
    <cellStyle name="Total 5 4" xfId="1335"/>
    <cellStyle name="Total 5 5" xfId="1336"/>
    <cellStyle name="Total 5 6" xfId="1337"/>
    <cellStyle name="Total 5_Handoff Document 3.12.2010_IT_MRJ" xfId="1338"/>
    <cellStyle name="Währung [0]_DATEN" xfId="482"/>
    <cellStyle name="Währung_DATEN" xfId="483"/>
    <cellStyle name="Warning Text" xfId="16" builtinId="11" customBuiltin="1"/>
    <cellStyle name="Warning Text 2" xfId="484"/>
    <cellStyle name="Warning Text 2 2" xfId="485"/>
    <cellStyle name="Warning Text 3" xfId="486"/>
    <cellStyle name="Warning Text 4" xfId="1339"/>
    <cellStyle name="Warning Text 5" xfId="1340"/>
    <cellStyle name="Βασικό_Φύλλο1" xfId="487"/>
    <cellStyle name="ハイパーリンク" xfId="488"/>
    <cellStyle name="ハイパーリンク 2" xfId="489"/>
    <cellStyle name="ハイパーリンク 3" xfId="490"/>
    <cellStyle name="常规_New Report Layout Table  Figure Templates June 2008" xfId="491"/>
    <cellStyle name="桁区切り 2" xfId="492"/>
    <cellStyle name="標準 2" xfId="493"/>
    <cellStyle name="標準 3" xfId="494"/>
    <cellStyle name="標準_e040x_TMSシステム（２係用）" xfId="495"/>
    <cellStyle name="表示済みのハイパーリンク" xfId="496"/>
  </cellStyles>
  <dxfs count="3561">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rgb="FFFFFF00"/>
        </patternFill>
      </fill>
    </dxf>
    <dxf>
      <fill>
        <patternFill>
          <bgColor indexed="22"/>
        </patternFill>
      </fill>
    </dxf>
    <dxf>
      <fill>
        <patternFill>
          <bgColor rgb="FFFFFF00"/>
        </patternFill>
      </fill>
    </dxf>
    <dxf>
      <fill>
        <patternFill>
          <bgColor indexed="22"/>
        </patternFill>
      </fill>
    </dxf>
    <dxf>
      <fill>
        <patternFill>
          <bgColor rgb="FFFFFF00"/>
        </patternFill>
      </fill>
    </dxf>
    <dxf>
      <fill>
        <patternFill>
          <bgColor rgb="FFFF0000"/>
        </patternFill>
      </fill>
    </dxf>
    <dxf>
      <fill>
        <patternFill>
          <bgColor rgb="FFFF0000"/>
        </patternFill>
      </fill>
    </dxf>
    <dxf>
      <fill>
        <patternFill>
          <bgColor indexed="22"/>
        </patternFill>
      </fill>
    </dxf>
    <dxf>
      <fill>
        <patternFill>
          <bgColor indexed="52"/>
        </patternFill>
      </fill>
    </dxf>
    <dxf>
      <fill>
        <patternFill>
          <bgColor indexed="13"/>
        </patternFill>
      </fill>
    </dxf>
    <dxf>
      <fill>
        <patternFill>
          <bgColor indexed="22"/>
        </patternFill>
      </fill>
    </dxf>
    <dxf>
      <fill>
        <patternFill>
          <bgColor indexed="52"/>
        </patternFill>
      </fill>
    </dxf>
    <dxf>
      <fill>
        <patternFill>
          <bgColor indexed="13"/>
        </patternFill>
      </fill>
    </dxf>
    <dxf>
      <fill>
        <patternFill>
          <bgColor indexed="22"/>
        </patternFill>
      </fill>
    </dxf>
    <dxf>
      <fill>
        <patternFill>
          <bgColor indexed="5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indexed="22"/>
        </patternFill>
      </fill>
    </dxf>
    <dxf>
      <fill>
        <patternFill>
          <bgColor indexed="13"/>
        </patternFill>
      </fill>
    </dxf>
    <dxf>
      <fill>
        <patternFill>
          <bgColor rgb="FFF0F0FF"/>
        </patternFill>
      </fill>
    </dxf>
    <dxf>
      <fill>
        <patternFill>
          <bgColor rgb="FFFFFF00"/>
        </patternFill>
      </fill>
    </dxf>
    <dxf>
      <fill>
        <patternFill>
          <bgColor indexed="22"/>
        </patternFill>
      </fill>
    </dxf>
    <dxf>
      <fill>
        <patternFill>
          <bgColor indexed="13"/>
        </patternFill>
      </fill>
    </dxf>
    <dxf>
      <fill>
        <patternFill>
          <bgColor rgb="FFF0F0FF"/>
        </patternFill>
      </fill>
    </dxf>
    <dxf>
      <fill>
        <patternFill>
          <bgColor rgb="FFFFFF00"/>
        </patternFill>
      </fill>
    </dxf>
    <dxf>
      <fill>
        <patternFill>
          <bgColor indexed="22"/>
        </patternFill>
      </fill>
    </dxf>
    <dxf>
      <fill>
        <patternFill>
          <bgColor indexed="13"/>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indexed="22"/>
        </patternFill>
      </fill>
    </dxf>
    <dxf>
      <fill>
        <patternFill>
          <bgColor indexed="13"/>
        </patternFill>
      </fill>
    </dxf>
    <dxf>
      <fill>
        <patternFill>
          <bgColor indexed="22"/>
        </patternFill>
      </fill>
    </dxf>
    <dxf>
      <fill>
        <patternFill>
          <bgColor indexed="22"/>
        </patternFill>
      </fill>
    </dxf>
    <dxf>
      <fill>
        <patternFill>
          <bgColor indexed="22"/>
        </patternFill>
      </fill>
    </dxf>
    <dxf>
      <font>
        <color theme="0" tint="-0.499984740745262"/>
      </font>
      <fill>
        <patternFill>
          <bgColor theme="0" tint="-0.24994659260841701"/>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theme="0" tint="-0.499984740745262"/>
      </font>
      <fill>
        <patternFill>
          <bgColor theme="0" tint="-0.24994659260841701"/>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0"/>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1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642323"/>
      <rgbColor rgb="00808000"/>
      <rgbColor rgb="00800080"/>
      <rgbColor rgb="00008080"/>
      <rgbColor rgb="00F0F0FF"/>
      <rgbColor rgb="00808080"/>
      <rgbColor rgb="009999FF"/>
      <rgbColor rgb="00993366"/>
      <rgbColor rgb="00FFFFCC"/>
      <rgbColor rgb="00CCFFFF"/>
      <rgbColor rgb="00660066"/>
      <rgbColor rgb="00FF8080"/>
      <rgbColor rgb="00005082"/>
      <rgbColor rgb="00CCCCFF"/>
      <rgbColor rgb="00000080"/>
      <rgbColor rgb="00FF00FF"/>
      <rgbColor rgb="00FFFF00"/>
      <rgbColor rgb="0000FFFF"/>
      <rgbColor rgb="00800080"/>
      <rgbColor rgb="00800000"/>
      <rgbColor rgb="00008080"/>
      <rgbColor rgb="000000FF"/>
      <rgbColor rgb="0000CCFF"/>
      <rgbColor rgb="00DAEEF3"/>
      <rgbColor rgb="00CCFFCC"/>
      <rgbColor rgb="00FFFF99"/>
      <rgbColor rgb="0096D2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sjue/Downloads/EERE-2011-BT-NOA-0067-004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sjue/Downloads/EERE-2011-BT-NOA-0067-0046%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esjue/Downloads/stb_lcc_2012-11-29%20public%20(full%20result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sjue/Desktop/cif_asrac_nia_static_update_06032015_ej.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mulation Inputs"/>
      <sheetName val="Introduction"/>
      <sheetName val="Summary"/>
      <sheetName val="Statistics"/>
      <sheetName val="LCC &amp; Payback"/>
      <sheetName val="Household Sample"/>
      <sheetName val="Adjustment Factors"/>
      <sheetName val="Equipment Price"/>
      <sheetName val="Model Info"/>
      <sheetName val="Base Case Distribution"/>
      <sheetName val="Electricity Prices"/>
      <sheetName val="Electricity Price Trend"/>
      <sheetName val="Discount Rate"/>
      <sheetName val="CB_DATA_"/>
      <sheetName val="Lifetime"/>
      <sheetName val="LCC Box Plots"/>
      <sheetName val="PBP Box Plots"/>
      <sheetName val="Frequency Charts"/>
      <sheetName val="Forecast Cells"/>
      <sheetName val="Forecast Data"/>
      <sheetName val="Engineering Data"/>
      <sheetName val="NIA Data 2"/>
      <sheetName val="NIA Data"/>
      <sheetName val="Spreadsheet Flow Diagram"/>
      <sheetName val="Sheet1"/>
    </sheetNames>
    <sheetDataSet>
      <sheetData sheetId="0">
        <row r="2">
          <cell r="C2" t="str">
            <v>AEO 2012 Reference</v>
          </cell>
          <cell r="D2" t="str">
            <v>10000</v>
          </cell>
          <cell r="F2" t="str">
            <v>OTT</v>
          </cell>
          <cell r="H2" t="str">
            <v>100% E*3, Fast Improvement</v>
          </cell>
        </row>
        <row r="3">
          <cell r="F3">
            <v>16</v>
          </cell>
        </row>
        <row r="5">
          <cell r="C5" t="str">
            <v>AEO 2012 Reference</v>
          </cell>
          <cell r="D5">
            <v>100</v>
          </cell>
        </row>
        <row r="6">
          <cell r="C6" t="str">
            <v>AEO 2012 High Growth</v>
          </cell>
          <cell r="D6">
            <v>1000</v>
          </cell>
        </row>
        <row r="7">
          <cell r="C7" t="str">
            <v>AEO 2012 Low Growth</v>
          </cell>
          <cell r="D7">
            <v>2000</v>
          </cell>
        </row>
        <row r="8">
          <cell r="D8">
            <v>5000</v>
          </cell>
        </row>
        <row r="9">
          <cell r="D9">
            <v>10000</v>
          </cell>
        </row>
        <row r="10">
          <cell r="D10">
            <v>50000</v>
          </cell>
        </row>
      </sheetData>
      <sheetData sheetId="1"/>
      <sheetData sheetId="2"/>
      <sheetData sheetId="3"/>
      <sheetData sheetId="4">
        <row r="6">
          <cell r="C6">
            <v>9.5595330252597215</v>
          </cell>
        </row>
        <row r="7">
          <cell r="C7">
            <v>0</v>
          </cell>
        </row>
        <row r="8">
          <cell r="C8">
            <v>14.440466974740279</v>
          </cell>
        </row>
        <row r="9">
          <cell r="C9">
            <v>4.01</v>
          </cell>
        </row>
        <row r="10">
          <cell r="C10">
            <v>0</v>
          </cell>
          <cell r="X10">
            <v>9.5595330252597215</v>
          </cell>
          <cell r="AC10">
            <v>0</v>
          </cell>
          <cell r="AG10">
            <v>14.440466974740279</v>
          </cell>
          <cell r="AH10">
            <v>4.01</v>
          </cell>
          <cell r="AI10">
            <v>0</v>
          </cell>
          <cell r="AJ10">
            <v>10.430466974740279</v>
          </cell>
          <cell r="AM10">
            <v>0.142460574800129</v>
          </cell>
        </row>
        <row r="11">
          <cell r="C11">
            <v>10.430466974740279</v>
          </cell>
          <cell r="X11">
            <v>9.8407596713387147</v>
          </cell>
          <cell r="AC11">
            <v>0</v>
          </cell>
          <cell r="AG11">
            <v>14.159240328661285</v>
          </cell>
          <cell r="AH11">
            <v>4.01</v>
          </cell>
          <cell r="AI11">
            <v>0</v>
          </cell>
          <cell r="AJ11">
            <v>10.149240328661286</v>
          </cell>
          <cell r="AM11">
            <v>0.142460574800129</v>
          </cell>
        </row>
        <row r="12">
          <cell r="X12">
            <v>10.121847061830884</v>
          </cell>
          <cell r="AC12">
            <v>0</v>
          </cell>
          <cell r="AG12">
            <v>13.878152938169116</v>
          </cell>
          <cell r="AH12">
            <v>4.01</v>
          </cell>
          <cell r="AI12">
            <v>0</v>
          </cell>
          <cell r="AJ12">
            <v>9.868152938169116</v>
          </cell>
          <cell r="AM12">
            <v>0.14258356234671907</v>
          </cell>
        </row>
        <row r="13">
          <cell r="X13">
            <v>10.40279533457915</v>
          </cell>
          <cell r="AC13">
            <v>0</v>
          </cell>
          <cell r="AG13">
            <v>13.59720466542085</v>
          </cell>
          <cell r="AH13">
            <v>4.01</v>
          </cell>
          <cell r="AI13">
            <v>0</v>
          </cell>
          <cell r="AJ13">
            <v>9.5872046654208507</v>
          </cell>
          <cell r="AM13">
            <v>0.14282953743989912</v>
          </cell>
        </row>
        <row r="14">
          <cell r="X14">
            <v>10.683604627221722</v>
          </cell>
          <cell r="AC14">
            <v>0</v>
          </cell>
          <cell r="AG14">
            <v>13.316395372778278</v>
          </cell>
          <cell r="AH14">
            <v>3.48</v>
          </cell>
          <cell r="AI14">
            <v>0</v>
          </cell>
          <cell r="AJ14">
            <v>9.8363953727782771</v>
          </cell>
          <cell r="AM14">
            <v>0.14323949592853261</v>
          </cell>
        </row>
        <row r="15">
          <cell r="X15">
            <v>10.96427507719212</v>
          </cell>
          <cell r="AC15">
            <v>0</v>
          </cell>
          <cell r="AG15">
            <v>13.03572492280788</v>
          </cell>
          <cell r="AH15">
            <v>3.48</v>
          </cell>
          <cell r="AI15">
            <v>0</v>
          </cell>
          <cell r="AJ15">
            <v>9.5557249228078796</v>
          </cell>
          <cell r="AM15">
            <v>0.14381343781261943</v>
          </cell>
        </row>
        <row r="16">
          <cell r="X16">
            <v>11.244806821720738</v>
          </cell>
          <cell r="AC16">
            <v>0</v>
          </cell>
          <cell r="AG16">
            <v>12.755193178279262</v>
          </cell>
          <cell r="AH16">
            <v>3.48</v>
          </cell>
          <cell r="AI16">
            <v>0</v>
          </cell>
          <cell r="AJ16">
            <v>9.2751931782792614</v>
          </cell>
          <cell r="AM16">
            <v>0.14467435063874973</v>
          </cell>
        </row>
        <row r="17">
          <cell r="X17">
            <v>11.52519999783406</v>
          </cell>
          <cell r="AC17">
            <v>0</v>
          </cell>
          <cell r="AG17">
            <v>12.47480000216594</v>
          </cell>
          <cell r="AH17">
            <v>2.88</v>
          </cell>
          <cell r="AI17">
            <v>0</v>
          </cell>
          <cell r="AJ17">
            <v>9.5948000021659396</v>
          </cell>
          <cell r="AM17">
            <v>0.14586323025578676</v>
          </cell>
        </row>
        <row r="18">
          <cell r="X18">
            <v>11.805454742357012</v>
          </cell>
          <cell r="AC18">
            <v>0</v>
          </cell>
          <cell r="AG18">
            <v>12.194545257642988</v>
          </cell>
          <cell r="AH18">
            <v>2.88</v>
          </cell>
          <cell r="AI18">
            <v>0</v>
          </cell>
          <cell r="AJ18">
            <v>9.3145452576429868</v>
          </cell>
          <cell r="AM18">
            <v>0.14709310572168718</v>
          </cell>
        </row>
        <row r="19">
          <cell r="X19">
            <v>12.085571191909841</v>
          </cell>
          <cell r="AC19">
            <v>0</v>
          </cell>
          <cell r="AG19">
            <v>11.914428808090159</v>
          </cell>
          <cell r="AH19">
            <v>2.88</v>
          </cell>
          <cell r="AI19">
            <v>0</v>
          </cell>
          <cell r="AJ19">
            <v>9.0344288080901585</v>
          </cell>
          <cell r="AM19">
            <v>0.14725708911714055</v>
          </cell>
        </row>
        <row r="20">
          <cell r="X20">
            <v>12.365549482912011</v>
          </cell>
          <cell r="AC20">
            <v>0</v>
          </cell>
          <cell r="AG20">
            <v>11.634450517087989</v>
          </cell>
          <cell r="AH20">
            <v>2.88</v>
          </cell>
          <cell r="AI20">
            <v>0</v>
          </cell>
          <cell r="AJ20">
            <v>8.7544505170879887</v>
          </cell>
          <cell r="AM20">
            <v>0.1472160932682772</v>
          </cell>
        </row>
        <row r="21">
          <cell r="X21">
            <v>12.645389751582242</v>
          </cell>
          <cell r="AC21">
            <v>0</v>
          </cell>
          <cell r="AG21">
            <v>11.354610248417758</v>
          </cell>
          <cell r="AH21">
            <v>2.46</v>
          </cell>
          <cell r="AI21">
            <v>0</v>
          </cell>
          <cell r="AJ21">
            <v>8.8946102484177594</v>
          </cell>
          <cell r="AM21">
            <v>0.1470521098728238</v>
          </cell>
        </row>
        <row r="22">
          <cell r="X22">
            <v>12.925092133935333</v>
          </cell>
          <cell r="AC22">
            <v>0</v>
          </cell>
          <cell r="AG22">
            <v>11.074907866064667</v>
          </cell>
          <cell r="AH22">
            <v>2.46</v>
          </cell>
          <cell r="AI22">
            <v>0</v>
          </cell>
          <cell r="AJ22">
            <v>8.6149078660646659</v>
          </cell>
          <cell r="AM22">
            <v>0.14692912232623379</v>
          </cell>
        </row>
        <row r="23">
          <cell r="X23">
            <v>13.204656765786899</v>
          </cell>
          <cell r="AC23">
            <v>0</v>
          </cell>
          <cell r="AG23">
            <v>10.795343234213101</v>
          </cell>
          <cell r="AH23">
            <v>2.46</v>
          </cell>
          <cell r="AI23">
            <v>0</v>
          </cell>
          <cell r="AJ23">
            <v>8.3353432342131022</v>
          </cell>
          <cell r="AM23">
            <v>0.14643717213987359</v>
          </cell>
        </row>
        <row r="24">
          <cell r="X24">
            <v>13.484083782751005</v>
          </cell>
          <cell r="AC24">
            <v>0</v>
          </cell>
          <cell r="AG24">
            <v>10.515916217248995</v>
          </cell>
          <cell r="AH24">
            <v>2.46</v>
          </cell>
          <cell r="AI24">
            <v>0</v>
          </cell>
          <cell r="AJ24">
            <v>8.0559162172489955</v>
          </cell>
          <cell r="AM24">
            <v>0.14582223440692343</v>
          </cell>
        </row>
        <row r="25">
          <cell r="X25">
            <v>13.763373320242529</v>
          </cell>
          <cell r="AC25">
            <v>0</v>
          </cell>
          <cell r="AG25">
            <v>10.236626679757471</v>
          </cell>
          <cell r="AH25">
            <v>2.0099999999999998</v>
          </cell>
          <cell r="AI25">
            <v>0</v>
          </cell>
          <cell r="AJ25">
            <v>8.2266266797574712</v>
          </cell>
          <cell r="AM25">
            <v>0.14557625931374335</v>
          </cell>
        </row>
        <row r="26">
          <cell r="C26">
            <v>13.48</v>
          </cell>
          <cell r="X26">
            <v>14.042525513475592</v>
          </cell>
          <cell r="AC26">
            <v>0</v>
          </cell>
          <cell r="AG26">
            <v>9.9574744865244078</v>
          </cell>
          <cell r="AH26">
            <v>2.0099999999999998</v>
          </cell>
          <cell r="AI26">
            <v>0</v>
          </cell>
          <cell r="AJ26">
            <v>7.947474486524408</v>
          </cell>
          <cell r="AM26">
            <v>0.14578123855806008</v>
          </cell>
        </row>
        <row r="27">
          <cell r="C27">
            <v>7.04</v>
          </cell>
          <cell r="X27">
            <v>14.321540497465909</v>
          </cell>
          <cell r="AC27">
            <v>0</v>
          </cell>
          <cell r="AG27">
            <v>9.6784595025340909</v>
          </cell>
          <cell r="AH27">
            <v>2.0099999999999998</v>
          </cell>
          <cell r="AI27">
            <v>0</v>
          </cell>
          <cell r="AJ27">
            <v>7.6684595025340911</v>
          </cell>
          <cell r="AM27">
            <v>0.14590422610465012</v>
          </cell>
        </row>
        <row r="28">
          <cell r="C28">
            <v>1.87</v>
          </cell>
          <cell r="X28">
            <v>14.600418407030011</v>
          </cell>
          <cell r="AC28">
            <v>0</v>
          </cell>
          <cell r="AG28">
            <v>9.3995815929699891</v>
          </cell>
          <cell r="AH28">
            <v>1.58</v>
          </cell>
          <cell r="AI28">
            <v>0</v>
          </cell>
          <cell r="AJ28">
            <v>7.819581592969989</v>
          </cell>
          <cell r="AM28">
            <v>0.1461283337023937</v>
          </cell>
        </row>
        <row r="29">
          <cell r="C29">
            <v>0</v>
          </cell>
          <cell r="X29">
            <v>14.879159376785241</v>
          </cell>
          <cell r="AC29">
            <v>0</v>
          </cell>
          <cell r="AG29">
            <v>9.1208406232147592</v>
          </cell>
          <cell r="AH29">
            <v>1.58</v>
          </cell>
          <cell r="AI29">
            <v>0</v>
          </cell>
          <cell r="AJ29">
            <v>7.5408406232147591</v>
          </cell>
          <cell r="AM29">
            <v>0.14635278552742051</v>
          </cell>
        </row>
        <row r="30">
          <cell r="X30">
            <v>15.157763541151333</v>
          </cell>
          <cell r="AC30">
            <v>0</v>
          </cell>
          <cell r="AG30">
            <v>8.8422364588486673</v>
          </cell>
          <cell r="AH30">
            <v>1.58</v>
          </cell>
          <cell r="AI30">
            <v>0</v>
          </cell>
          <cell r="AJ30">
            <v>7.2622364588486672</v>
          </cell>
          <cell r="AM30">
            <v>0.14657758210846064</v>
          </cell>
        </row>
        <row r="31">
          <cell r="C31">
            <v>0</v>
          </cell>
          <cell r="X31">
            <v>15.436231034348827</v>
          </cell>
          <cell r="AC31">
            <v>0</v>
          </cell>
          <cell r="AG31">
            <v>8.5637689656511728</v>
          </cell>
          <cell r="AH31">
            <v>1.58</v>
          </cell>
          <cell r="AI31">
            <v>0</v>
          </cell>
          <cell r="AJ31">
            <v>6.9837689656511728</v>
          </cell>
          <cell r="AM31">
            <v>0.14680272397505623</v>
          </cell>
        </row>
        <row r="32">
          <cell r="C32">
            <v>0</v>
          </cell>
          <cell r="X32">
            <v>15.714561990403016</v>
          </cell>
          <cell r="AC32">
            <v>0</v>
          </cell>
          <cell r="AG32">
            <v>8.2854380095969837</v>
          </cell>
          <cell r="AH32">
            <v>1.18</v>
          </cell>
          <cell r="AI32">
            <v>0</v>
          </cell>
          <cell r="AJ32">
            <v>7.105438009596984</v>
          </cell>
          <cell r="AM32">
            <v>0.14702821165756289</v>
          </cell>
        </row>
        <row r="33">
          <cell r="C33">
            <v>0</v>
          </cell>
          <cell r="X33">
            <v>15.992756543141587</v>
          </cell>
          <cell r="AC33">
            <v>0</v>
          </cell>
          <cell r="AG33">
            <v>8.0072434568584132</v>
          </cell>
          <cell r="AH33">
            <v>1.18</v>
          </cell>
          <cell r="AI33">
            <v>0</v>
          </cell>
          <cell r="AJ33">
            <v>6.8272434568584135</v>
          </cell>
          <cell r="AM33">
            <v>0.14725404568715075</v>
          </cell>
        </row>
        <row r="34">
          <cell r="C34">
            <v>0</v>
          </cell>
          <cell r="X34">
            <v>16.270814826193032</v>
          </cell>
          <cell r="AC34">
            <v>0</v>
          </cell>
          <cell r="AG34">
            <v>7.7291851738069681</v>
          </cell>
          <cell r="AH34">
            <v>1.18</v>
          </cell>
          <cell r="AI34">
            <v>0</v>
          </cell>
          <cell r="AJ34">
            <v>6.5491851738069684</v>
          </cell>
          <cell r="AM34">
            <v>0.14748022659580584</v>
          </cell>
        </row>
        <row r="35">
          <cell r="X35">
            <v>16.548736972993741</v>
          </cell>
          <cell r="AC35">
            <v>0</v>
          </cell>
          <cell r="AG35">
            <v>7.4512630270062594</v>
          </cell>
          <cell r="AH35">
            <v>0.77</v>
          </cell>
          <cell r="AI35">
            <v>0</v>
          </cell>
          <cell r="AJ35">
            <v>6.6812630270062598</v>
          </cell>
          <cell r="AM35">
            <v>0.1477067549163314</v>
          </cell>
        </row>
        <row r="36">
          <cell r="C36">
            <v>0.52</v>
          </cell>
          <cell r="X36">
            <v>16.826523116780926</v>
          </cell>
          <cell r="AC36">
            <v>0</v>
          </cell>
          <cell r="AG36">
            <v>7.1734768832190738</v>
          </cell>
          <cell r="AH36">
            <v>0.77</v>
          </cell>
          <cell r="AI36">
            <v>0</v>
          </cell>
          <cell r="AJ36">
            <v>6.4034768832190743</v>
          </cell>
          <cell r="AM36">
            <v>0.14793363118234892</v>
          </cell>
        </row>
        <row r="37">
          <cell r="C37">
            <v>0.18</v>
          </cell>
          <cell r="X37">
            <v>17.104173390596536</v>
          </cell>
          <cell r="AC37">
            <v>0</v>
          </cell>
          <cell r="AG37">
            <v>6.8958266094034641</v>
          </cell>
          <cell r="AH37">
            <v>0.77</v>
          </cell>
          <cell r="AI37">
            <v>0</v>
          </cell>
          <cell r="AJ37">
            <v>6.1258266094034646</v>
          </cell>
          <cell r="AM37">
            <v>0.14816085592829958</v>
          </cell>
        </row>
        <row r="38">
          <cell r="C38">
            <v>0.18</v>
          </cell>
          <cell r="X38">
            <v>17.381687927289644</v>
          </cell>
          <cell r="AC38">
            <v>0</v>
          </cell>
          <cell r="AG38">
            <v>6.6183120727103564</v>
          </cell>
          <cell r="AH38">
            <v>0.77</v>
          </cell>
          <cell r="AI38">
            <v>0</v>
          </cell>
          <cell r="AJ38">
            <v>5.8483120727103568</v>
          </cell>
          <cell r="AM38">
            <v>0.14838842968944552</v>
          </cell>
        </row>
        <row r="39">
          <cell r="C39">
            <v>0</v>
          </cell>
          <cell r="X39">
            <v>17.65906685951327</v>
          </cell>
          <cell r="AC39">
            <v>0</v>
          </cell>
          <cell r="AG39">
            <v>6.3409331404867295</v>
          </cell>
          <cell r="AH39">
            <v>0.44</v>
          </cell>
          <cell r="AI39">
            <v>0</v>
          </cell>
          <cell r="AJ39">
            <v>5.9009331404867291</v>
          </cell>
          <cell r="AM39">
            <v>0.14838842968944552</v>
          </cell>
        </row>
        <row r="40">
          <cell r="X40">
            <v>17.93631031972599</v>
          </cell>
          <cell r="AC40">
            <v>0</v>
          </cell>
          <cell r="AG40">
            <v>6.0636896802740097</v>
          </cell>
          <cell r="AH40">
            <v>0.44</v>
          </cell>
          <cell r="AI40">
            <v>0</v>
          </cell>
          <cell r="AJ40">
            <v>5.6236896802740093</v>
          </cell>
          <cell r="AM40">
            <v>0.14838842968944552</v>
          </cell>
        </row>
        <row r="41">
          <cell r="C41">
            <v>12.5</v>
          </cell>
          <cell r="X41">
            <v>18.213418440191116</v>
          </cell>
          <cell r="AC41">
            <v>0</v>
          </cell>
          <cell r="AG41">
            <v>5.7865815598088837</v>
          </cell>
          <cell r="AH41">
            <v>0.44</v>
          </cell>
          <cell r="AI41">
            <v>0</v>
          </cell>
          <cell r="AJ41">
            <v>5.3465815598088833</v>
          </cell>
          <cell r="AM41">
            <v>0.14838842968944552</v>
          </cell>
        </row>
        <row r="42">
          <cell r="C42">
            <v>0.18</v>
          </cell>
          <cell r="X42">
            <v>18.490391352980648</v>
          </cell>
          <cell r="AC42">
            <v>0</v>
          </cell>
          <cell r="AG42">
            <v>5.5096086470193519</v>
          </cell>
          <cell r="AH42">
            <v>0.44</v>
          </cell>
          <cell r="AI42">
            <v>0</v>
          </cell>
          <cell r="AJ42">
            <v>5.0696086470193515</v>
          </cell>
          <cell r="AM42">
            <v>0.14838842968944552</v>
          </cell>
        </row>
        <row r="43">
          <cell r="C43">
            <v>0.18</v>
          </cell>
        </row>
        <row r="44">
          <cell r="C44">
            <v>0</v>
          </cell>
        </row>
      </sheetData>
      <sheetData sheetId="5">
        <row r="5">
          <cell r="C5">
            <v>9.5595330252597215</v>
          </cell>
        </row>
        <row r="6">
          <cell r="C6">
            <v>0</v>
          </cell>
        </row>
        <row r="8">
          <cell r="C8">
            <v>2.1508949306834371</v>
          </cell>
        </row>
        <row r="9">
          <cell r="C9">
            <v>13.536298763767766</v>
          </cell>
        </row>
        <row r="19">
          <cell r="C19">
            <v>0</v>
          </cell>
        </row>
        <row r="20">
          <cell r="C20">
            <v>3</v>
          </cell>
        </row>
        <row r="26">
          <cell r="C26" t="str">
            <v>MICHIGAN</v>
          </cell>
        </row>
        <row r="45">
          <cell r="C45">
            <v>1</v>
          </cell>
        </row>
      </sheetData>
      <sheetData sheetId="6"/>
      <sheetData sheetId="7"/>
      <sheetData sheetId="8"/>
      <sheetData sheetId="9">
        <row r="5">
          <cell r="C5">
            <v>0</v>
          </cell>
        </row>
      </sheetData>
      <sheetData sheetId="10">
        <row r="4">
          <cell r="G4">
            <v>2011</v>
          </cell>
        </row>
        <row r="8">
          <cell r="C8">
            <v>0.13340049220132943</v>
          </cell>
        </row>
      </sheetData>
      <sheetData sheetId="11">
        <row r="5">
          <cell r="D5">
            <v>3</v>
          </cell>
        </row>
        <row r="11">
          <cell r="B11">
            <v>2009</v>
          </cell>
          <cell r="C11">
            <v>0.99539028887523051</v>
          </cell>
        </row>
        <row r="12">
          <cell r="B12">
            <v>2010</v>
          </cell>
          <cell r="C12">
            <v>1.0273509526736324</v>
          </cell>
          <cell r="G12">
            <v>32.389046</v>
          </cell>
          <cell r="H12">
            <v>32.39</v>
          </cell>
          <cell r="I12">
            <v>32.39</v>
          </cell>
        </row>
        <row r="13">
          <cell r="B13">
            <v>2011</v>
          </cell>
          <cell r="C13">
            <v>1</v>
          </cell>
          <cell r="G13">
            <v>33.433472000000002</v>
          </cell>
          <cell r="H13">
            <v>33.43</v>
          </cell>
          <cell r="I13">
            <v>33.43</v>
          </cell>
        </row>
        <row r="14">
          <cell r="B14">
            <v>2012</v>
          </cell>
          <cell r="C14">
            <v>1</v>
          </cell>
          <cell r="G14">
            <v>32.542102999999997</v>
          </cell>
          <cell r="H14">
            <v>32.54</v>
          </cell>
          <cell r="I14">
            <v>32.54</v>
          </cell>
        </row>
        <row r="15">
          <cell r="B15">
            <v>2013</v>
          </cell>
          <cell r="C15">
            <v>1.0215119852489245</v>
          </cell>
          <cell r="G15">
            <v>32.577969000000003</v>
          </cell>
          <cell r="H15">
            <v>32.54</v>
          </cell>
          <cell r="I15">
            <v>32.64</v>
          </cell>
        </row>
        <row r="16">
          <cell r="B16">
            <v>2014</v>
          </cell>
          <cell r="C16">
            <v>1.0344191763982791</v>
          </cell>
          <cell r="G16">
            <v>33.480797000000003</v>
          </cell>
          <cell r="H16">
            <v>33.24</v>
          </cell>
          <cell r="I16">
            <v>33.770000000000003</v>
          </cell>
        </row>
        <row r="17">
          <cell r="B17">
            <v>2015</v>
          </cell>
          <cell r="C17">
            <v>1.0507068223724647</v>
          </cell>
          <cell r="G17">
            <v>33.983325999999998</v>
          </cell>
          <cell r="H17">
            <v>33.659999999999997</v>
          </cell>
          <cell r="I17">
            <v>34.47</v>
          </cell>
        </row>
        <row r="18">
          <cell r="B18">
            <v>2016</v>
          </cell>
          <cell r="C18">
            <v>1.0676090964966196</v>
          </cell>
          <cell r="G18">
            <v>34.488213000000002</v>
          </cell>
          <cell r="H18">
            <v>34.19</v>
          </cell>
          <cell r="I18">
            <v>35.22</v>
          </cell>
        </row>
        <row r="19">
          <cell r="B19">
            <v>2017</v>
          </cell>
          <cell r="C19">
            <v>1.0700676090964967</v>
          </cell>
          <cell r="G19">
            <v>34.951557000000001</v>
          </cell>
          <cell r="H19">
            <v>34.74</v>
          </cell>
          <cell r="I19">
            <v>35.450000000000003</v>
          </cell>
        </row>
        <row r="20">
          <cell r="B20">
            <v>2018</v>
          </cell>
          <cell r="C20">
            <v>1.0679164105716041</v>
          </cell>
          <cell r="G20">
            <v>34.798988000000001</v>
          </cell>
          <cell r="H20">
            <v>34.82</v>
          </cell>
          <cell r="I20">
            <v>35.21</v>
          </cell>
        </row>
        <row r="21">
          <cell r="B21">
            <v>2019</v>
          </cell>
          <cell r="C21">
            <v>1.0679164105716041</v>
          </cell>
          <cell r="G21">
            <v>34.700358999999999</v>
          </cell>
          <cell r="H21">
            <v>34.75</v>
          </cell>
          <cell r="I21">
            <v>35.07</v>
          </cell>
        </row>
        <row r="22">
          <cell r="B22">
            <v>2020</v>
          </cell>
          <cell r="C22">
            <v>1.0688383527965581</v>
          </cell>
          <cell r="G22">
            <v>34.656188999999998</v>
          </cell>
          <cell r="H22">
            <v>34.75</v>
          </cell>
          <cell r="I22">
            <v>34.82</v>
          </cell>
        </row>
        <row r="23">
          <cell r="B23">
            <v>2021</v>
          </cell>
          <cell r="C23">
            <v>1.0706822372464659</v>
          </cell>
          <cell r="G23">
            <v>34.711815000000001</v>
          </cell>
          <cell r="H23">
            <v>34.78</v>
          </cell>
          <cell r="I23">
            <v>34.78</v>
          </cell>
        </row>
        <row r="24">
          <cell r="B24">
            <v>2022</v>
          </cell>
          <cell r="C24">
            <v>1.0737553779963123</v>
          </cell>
          <cell r="G24">
            <v>34.764392999999998</v>
          </cell>
          <cell r="H24">
            <v>34.840000000000003</v>
          </cell>
          <cell r="I24">
            <v>34.700000000000003</v>
          </cell>
        </row>
        <row r="25">
          <cell r="B25">
            <v>2023</v>
          </cell>
          <cell r="C25">
            <v>1.0780577750460971</v>
          </cell>
          <cell r="G25">
            <v>34.922564999999999</v>
          </cell>
          <cell r="H25">
            <v>34.94</v>
          </cell>
          <cell r="I25">
            <v>34.76</v>
          </cell>
        </row>
        <row r="26">
          <cell r="B26">
            <v>2024</v>
          </cell>
          <cell r="C26">
            <v>1.0845113706207745</v>
          </cell>
          <cell r="G26">
            <v>35.112892000000002</v>
          </cell>
          <cell r="H26">
            <v>35.08</v>
          </cell>
          <cell r="I26">
            <v>35.119999999999997</v>
          </cell>
        </row>
        <row r="27">
          <cell r="B27">
            <v>2025</v>
          </cell>
          <cell r="C27">
            <v>1.0934234787953288</v>
          </cell>
          <cell r="G27">
            <v>35.256011999999998</v>
          </cell>
          <cell r="H27">
            <v>35.29</v>
          </cell>
          <cell r="I27">
            <v>35.159999999999997</v>
          </cell>
        </row>
        <row r="28">
          <cell r="B28">
            <v>2026</v>
          </cell>
          <cell r="C28">
            <v>1.102642901044868</v>
          </cell>
          <cell r="G28">
            <v>35.323013000000003</v>
          </cell>
          <cell r="H28">
            <v>35.58</v>
          </cell>
          <cell r="I28">
            <v>35.07</v>
          </cell>
        </row>
        <row r="29">
          <cell r="B29">
            <v>2027</v>
          </cell>
          <cell r="C29">
            <v>1.1038721573448065</v>
          </cell>
          <cell r="G29">
            <v>35.324142000000002</v>
          </cell>
          <cell r="H29">
            <v>35.880000000000003</v>
          </cell>
          <cell r="I29">
            <v>34.880000000000003</v>
          </cell>
        </row>
        <row r="30">
          <cell r="B30">
            <v>2028</v>
          </cell>
          <cell r="C30">
            <v>1.1035648432698217</v>
          </cell>
          <cell r="G30">
            <v>35.267353</v>
          </cell>
          <cell r="H30">
            <v>35.92</v>
          </cell>
          <cell r="I30">
            <v>34.54</v>
          </cell>
        </row>
        <row r="31">
          <cell r="B31">
            <v>2029</v>
          </cell>
          <cell r="C31">
            <v>1.1023355869698832</v>
          </cell>
          <cell r="G31">
            <v>35.207977</v>
          </cell>
          <cell r="H31">
            <v>35.909999999999997</v>
          </cell>
          <cell r="I31">
            <v>34.22</v>
          </cell>
        </row>
        <row r="32">
          <cell r="B32">
            <v>2030</v>
          </cell>
          <cell r="C32">
            <v>1.1014136447449294</v>
          </cell>
          <cell r="G32">
            <v>35.169338000000003</v>
          </cell>
          <cell r="H32">
            <v>35.869999999999997</v>
          </cell>
          <cell r="I32">
            <v>34.049999999999997</v>
          </cell>
        </row>
        <row r="33">
          <cell r="B33">
            <v>2031</v>
          </cell>
          <cell r="C33">
            <v>1.0977258758451136</v>
          </cell>
          <cell r="G33">
            <v>35.096626000000001</v>
          </cell>
          <cell r="H33">
            <v>35.840000000000003</v>
          </cell>
          <cell r="I33">
            <v>33.89</v>
          </cell>
        </row>
        <row r="34">
          <cell r="B34">
            <v>2032</v>
          </cell>
          <cell r="C34">
            <v>1.0931161647203442</v>
          </cell>
          <cell r="G34">
            <v>35.001175000000003</v>
          </cell>
          <cell r="H34">
            <v>35.72</v>
          </cell>
          <cell r="I34">
            <v>33.76</v>
          </cell>
        </row>
        <row r="35">
          <cell r="B35">
            <v>2033</v>
          </cell>
          <cell r="C35">
            <v>1.0912722802704364</v>
          </cell>
          <cell r="G35">
            <v>34.831313999999999</v>
          </cell>
          <cell r="H35">
            <v>35.57</v>
          </cell>
          <cell r="I35">
            <v>33.549999999999997</v>
          </cell>
        </row>
        <row r="36">
          <cell r="B36">
            <v>2034</v>
          </cell>
          <cell r="C36">
            <v>1.0928088506453597</v>
          </cell>
          <cell r="G36">
            <v>34.673969</v>
          </cell>
          <cell r="H36">
            <v>35.51</v>
          </cell>
          <cell r="I36">
            <v>33.56</v>
          </cell>
        </row>
        <row r="37">
          <cell r="B37">
            <v>2035</v>
          </cell>
          <cell r="C37">
            <v>1.0937307928703135</v>
          </cell>
          <cell r="G37">
            <v>34.839931</v>
          </cell>
          <cell r="H37">
            <v>35.56</v>
          </cell>
          <cell r="I37">
            <v>33.5</v>
          </cell>
        </row>
        <row r="38">
          <cell r="B38">
            <v>2036</v>
          </cell>
          <cell r="C38">
            <v>1.0954107536713977</v>
          </cell>
          <cell r="G38">
            <v>35.021332000000001</v>
          </cell>
          <cell r="H38">
            <v>35.590000000000003</v>
          </cell>
          <cell r="I38">
            <v>33.71</v>
          </cell>
        </row>
        <row r="39">
          <cell r="B39">
            <v>2037</v>
          </cell>
          <cell r="C39">
            <v>1.0970932948773782</v>
          </cell>
        </row>
        <row r="40">
          <cell r="B40">
            <v>2038</v>
          </cell>
          <cell r="C40">
            <v>1.0987784204517341</v>
          </cell>
        </row>
        <row r="41">
          <cell r="B41">
            <v>2039</v>
          </cell>
          <cell r="C41">
            <v>1.1004661343640323</v>
          </cell>
        </row>
        <row r="42">
          <cell r="B42">
            <v>2040</v>
          </cell>
          <cell r="C42">
            <v>1.1021564405899369</v>
          </cell>
        </row>
        <row r="43">
          <cell r="B43">
            <v>2041</v>
          </cell>
          <cell r="C43">
            <v>1.1038493431112186</v>
          </cell>
        </row>
        <row r="44">
          <cell r="B44">
            <v>2042</v>
          </cell>
          <cell r="C44">
            <v>1.1055448459157642</v>
          </cell>
        </row>
        <row r="45">
          <cell r="B45">
            <v>2043</v>
          </cell>
          <cell r="C45">
            <v>1.1072429529975856</v>
          </cell>
        </row>
        <row r="46">
          <cell r="B46">
            <v>2044</v>
          </cell>
          <cell r="C46">
            <v>1.1089436683568297</v>
          </cell>
        </row>
        <row r="47">
          <cell r="B47">
            <v>2045</v>
          </cell>
          <cell r="C47">
            <v>1.1106469959997873</v>
          </cell>
        </row>
        <row r="48">
          <cell r="B48">
            <v>2046</v>
          </cell>
          <cell r="C48">
            <v>1.1123529399389032</v>
          </cell>
        </row>
      </sheetData>
      <sheetData sheetId="12">
        <row r="4">
          <cell r="D4">
            <v>7.0485579914747604E-2</v>
          </cell>
        </row>
        <row r="5">
          <cell r="M5">
            <v>6.38053570935979E-2</v>
          </cell>
        </row>
        <row r="6">
          <cell r="M6">
            <v>9.5879779872723295E-2</v>
          </cell>
        </row>
        <row r="7">
          <cell r="M7">
            <v>2.7019807112857002E-4</v>
          </cell>
        </row>
        <row r="8">
          <cell r="M8">
            <v>3.4769528878881101E-2</v>
          </cell>
        </row>
        <row r="9">
          <cell r="M9">
            <v>5.4853282575819E-2</v>
          </cell>
        </row>
        <row r="10">
          <cell r="M10">
            <v>0</v>
          </cell>
        </row>
        <row r="11">
          <cell r="M11">
            <v>1.4542243259958731E-2</v>
          </cell>
        </row>
        <row r="12">
          <cell r="M12">
            <v>2.7908567581589716E-2</v>
          </cell>
        </row>
        <row r="13">
          <cell r="M13">
            <v>5.301860922626056E-2</v>
          </cell>
        </row>
        <row r="14">
          <cell r="M14">
            <v>2.5776936197600884E-2</v>
          </cell>
        </row>
        <row r="15">
          <cell r="M15">
            <v>7.0485579914747604E-2</v>
          </cell>
        </row>
        <row r="16">
          <cell r="M16">
            <v>2.0588348495637204E-2</v>
          </cell>
        </row>
      </sheetData>
      <sheetData sheetId="13">
        <row r="14">
          <cell r="B14" t="str">
            <v>9b13e708-5635-4372-9234-e0cbe897a62e</v>
          </cell>
        </row>
      </sheetData>
      <sheetData sheetId="14">
        <row r="4">
          <cell r="D4">
            <v>7</v>
          </cell>
        </row>
        <row r="10">
          <cell r="B10">
            <v>0</v>
          </cell>
        </row>
        <row r="11">
          <cell r="B11">
            <v>0.5</v>
          </cell>
        </row>
        <row r="12">
          <cell r="B12">
            <v>1</v>
          </cell>
        </row>
        <row r="13">
          <cell r="B13">
            <v>1.5</v>
          </cell>
        </row>
        <row r="14">
          <cell r="B14">
            <v>2</v>
          </cell>
        </row>
        <row r="15">
          <cell r="B15">
            <v>2.5</v>
          </cell>
        </row>
        <row r="16">
          <cell r="B16">
            <v>3</v>
          </cell>
        </row>
        <row r="17">
          <cell r="B17">
            <v>3.5</v>
          </cell>
        </row>
        <row r="18">
          <cell r="B18">
            <v>4</v>
          </cell>
        </row>
        <row r="19">
          <cell r="B19">
            <v>4.5</v>
          </cell>
        </row>
        <row r="20">
          <cell r="B20">
            <v>5</v>
          </cell>
        </row>
        <row r="21">
          <cell r="B21">
            <v>5.5</v>
          </cell>
        </row>
        <row r="22">
          <cell r="B22">
            <v>6</v>
          </cell>
        </row>
        <row r="23">
          <cell r="B23">
            <v>6.5</v>
          </cell>
        </row>
        <row r="24">
          <cell r="B24">
            <v>7</v>
          </cell>
        </row>
        <row r="25">
          <cell r="B25">
            <v>7.5</v>
          </cell>
        </row>
        <row r="26">
          <cell r="B26">
            <v>8</v>
          </cell>
        </row>
        <row r="27">
          <cell r="B27">
            <v>8.5</v>
          </cell>
        </row>
        <row r="28">
          <cell r="B28">
            <v>9</v>
          </cell>
        </row>
        <row r="29">
          <cell r="B29">
            <v>9.5</v>
          </cell>
        </row>
        <row r="30">
          <cell r="B30">
            <v>10</v>
          </cell>
        </row>
        <row r="31">
          <cell r="B31">
            <v>10.5</v>
          </cell>
        </row>
        <row r="32">
          <cell r="B32">
            <v>11</v>
          </cell>
        </row>
        <row r="33">
          <cell r="B33">
            <v>11.5</v>
          </cell>
        </row>
        <row r="34">
          <cell r="B34">
            <v>12</v>
          </cell>
        </row>
        <row r="35">
          <cell r="B35">
            <v>12.5</v>
          </cell>
        </row>
      </sheetData>
      <sheetData sheetId="15"/>
      <sheetData sheetId="16"/>
      <sheetData sheetId="17"/>
      <sheetData sheetId="18">
        <row r="1">
          <cell r="W1" t="str">
            <v>Statistics</v>
          </cell>
        </row>
      </sheetData>
      <sheetData sheetId="19"/>
      <sheetData sheetId="20"/>
      <sheetData sheetId="21"/>
      <sheetData sheetId="22"/>
      <sheetData sheetId="23"/>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mulation Inputs"/>
      <sheetName val="TSL-CSL Mapping"/>
      <sheetName val="Introduction"/>
      <sheetName val="Summary"/>
      <sheetName val="Calcs"/>
      <sheetName val="Shipments"/>
      <sheetName val="Shipment Data"/>
      <sheetName val="Efficiency Dist."/>
      <sheetName val="Efficiency Dist. Data"/>
      <sheetName val="Model Data"/>
      <sheetName val="Usage Trend"/>
      <sheetName val="Electricity Prices"/>
      <sheetName val="FFC Factors"/>
      <sheetName val="Lifetime"/>
      <sheetName val="INPUT - LCC Data"/>
      <sheetName val="Spreadsheet Flow Diagram"/>
    </sheetNames>
    <sheetDataSet>
      <sheetData sheetId="0">
        <row r="2">
          <cell r="C2" t="str">
            <v>2018</v>
          </cell>
          <cell r="D2" t="str">
            <v>AEO 2012 Reference</v>
          </cell>
          <cell r="E2" t="str">
            <v>1</v>
          </cell>
          <cell r="G2" t="str">
            <v>Cable Base</v>
          </cell>
          <cell r="H2" t="str">
            <v>100% E*3, Fast Improvement</v>
          </cell>
          <cell r="I2" t="str">
            <v>Postive Growth</v>
          </cell>
        </row>
        <row r="3">
          <cell r="C3">
            <v>2018</v>
          </cell>
          <cell r="D3">
            <v>1</v>
          </cell>
          <cell r="F3">
            <v>1</v>
          </cell>
          <cell r="H3">
            <v>5</v>
          </cell>
          <cell r="I3">
            <v>3</v>
          </cell>
        </row>
        <row r="5">
          <cell r="C5">
            <v>2017</v>
          </cell>
          <cell r="D5" t="str">
            <v>AEO 2012 Reference</v>
          </cell>
          <cell r="E5">
            <v>1</v>
          </cell>
          <cell r="G5" t="str">
            <v>Cable Base</v>
          </cell>
          <cell r="H5" t="str">
            <v>90% E*3, No Improvement</v>
          </cell>
          <cell r="I5" t="str">
            <v>Negative Growth</v>
          </cell>
        </row>
        <row r="6">
          <cell r="C6">
            <v>2018</v>
          </cell>
          <cell r="D6" t="str">
            <v>AEO 2012 High Growth</v>
          </cell>
          <cell r="E6">
            <v>2</v>
          </cell>
          <cell r="G6" t="str">
            <v>Cable Video Client</v>
          </cell>
          <cell r="H6" t="str">
            <v>100% E*3, No Improvement</v>
          </cell>
          <cell r="I6" t="str">
            <v>Flat Growth</v>
          </cell>
        </row>
        <row r="7">
          <cell r="C7">
            <v>2019</v>
          </cell>
          <cell r="D7" t="str">
            <v>AEO 2012 Low Growth</v>
          </cell>
          <cell r="E7">
            <v>3</v>
          </cell>
          <cell r="G7" t="str">
            <v>Cable Video Server</v>
          </cell>
          <cell r="H7" t="str">
            <v>90% E*3, Avg. Improvement</v>
          </cell>
          <cell r="I7" t="str">
            <v>Postive Growth</v>
          </cell>
        </row>
        <row r="8">
          <cell r="G8" t="str">
            <v>Cable with DVR</v>
          </cell>
          <cell r="H8" t="str">
            <v>100% E*3, Avg. Improvement</v>
          </cell>
        </row>
        <row r="9">
          <cell r="G9" t="str">
            <v>Cable with DVR &amp; Video Server</v>
          </cell>
          <cell r="H9" t="str">
            <v>100% E*3, Fast Improvement</v>
          </cell>
        </row>
        <row r="10">
          <cell r="G10" t="str">
            <v>Satellite Base</v>
          </cell>
        </row>
        <row r="11">
          <cell r="G11" t="str">
            <v>Satellite Video Client</v>
          </cell>
        </row>
        <row r="12">
          <cell r="G12" t="str">
            <v>Satellite Video Server</v>
          </cell>
        </row>
        <row r="13">
          <cell r="G13" t="str">
            <v>Satellite with DVR</v>
          </cell>
        </row>
        <row r="14">
          <cell r="G14" t="str">
            <v>Satellite with DVR &amp; Video Server</v>
          </cell>
        </row>
        <row r="15">
          <cell r="G15" t="str">
            <v>IP Base</v>
          </cell>
        </row>
        <row r="16">
          <cell r="G16" t="str">
            <v>IP Video Client</v>
          </cell>
        </row>
        <row r="17">
          <cell r="G17" t="str">
            <v>IP Video Server</v>
          </cell>
        </row>
        <row r="18">
          <cell r="G18" t="str">
            <v>IP with DVR</v>
          </cell>
        </row>
        <row r="19">
          <cell r="G19" t="str">
            <v>IP with DVR &amp; Video Server</v>
          </cell>
        </row>
        <row r="20">
          <cell r="G20" t="str">
            <v>OTT</v>
          </cell>
        </row>
        <row r="21">
          <cell r="G21" t="str">
            <v>Thin-client</v>
          </cell>
        </row>
      </sheetData>
      <sheetData sheetId="1">
        <row r="5">
          <cell r="B5" t="str">
            <v>Cable Base</v>
          </cell>
          <cell r="C5">
            <v>1</v>
          </cell>
          <cell r="D5">
            <v>2</v>
          </cell>
          <cell r="E5">
            <v>3</v>
          </cell>
        </row>
        <row r="6">
          <cell r="B6" t="str">
            <v>Cable Video Client</v>
          </cell>
          <cell r="C6">
            <v>1</v>
          </cell>
          <cell r="D6">
            <v>2</v>
          </cell>
          <cell r="E6">
            <v>3</v>
          </cell>
        </row>
        <row r="7">
          <cell r="B7" t="str">
            <v>Cable Video Server</v>
          </cell>
          <cell r="C7">
            <v>1</v>
          </cell>
          <cell r="D7">
            <v>2</v>
          </cell>
          <cell r="E7">
            <v>3</v>
          </cell>
        </row>
        <row r="8">
          <cell r="B8" t="str">
            <v>Cable with DVR</v>
          </cell>
          <cell r="C8">
            <v>1</v>
          </cell>
          <cell r="D8">
            <v>2</v>
          </cell>
          <cell r="E8">
            <v>3</v>
          </cell>
        </row>
        <row r="9">
          <cell r="B9" t="str">
            <v>Cable with DVR &amp; Video Server</v>
          </cell>
          <cell r="C9">
            <v>1</v>
          </cell>
          <cell r="D9">
            <v>2</v>
          </cell>
          <cell r="E9">
            <v>3</v>
          </cell>
        </row>
        <row r="10">
          <cell r="B10" t="str">
            <v>Satellite Base</v>
          </cell>
          <cell r="C10">
            <v>1</v>
          </cell>
          <cell r="D10">
            <v>2</v>
          </cell>
          <cell r="E10">
            <v>3</v>
          </cell>
        </row>
        <row r="11">
          <cell r="B11" t="str">
            <v>Satellite Video Client</v>
          </cell>
          <cell r="C11">
            <v>1</v>
          </cell>
          <cell r="D11">
            <v>2</v>
          </cell>
          <cell r="E11">
            <v>3</v>
          </cell>
        </row>
        <row r="12">
          <cell r="B12" t="str">
            <v>Satellite Video Server</v>
          </cell>
          <cell r="C12">
            <v>1</v>
          </cell>
          <cell r="D12">
            <v>2</v>
          </cell>
          <cell r="E12">
            <v>3</v>
          </cell>
        </row>
        <row r="13">
          <cell r="B13" t="str">
            <v>Satellite with DVR</v>
          </cell>
          <cell r="C13">
            <v>1</v>
          </cell>
          <cell r="D13">
            <v>2</v>
          </cell>
          <cell r="E13">
            <v>3</v>
          </cell>
        </row>
        <row r="14">
          <cell r="B14" t="str">
            <v>Satellite with DVR &amp; Video Server</v>
          </cell>
          <cell r="C14">
            <v>1</v>
          </cell>
          <cell r="D14">
            <v>2</v>
          </cell>
          <cell r="E14">
            <v>3</v>
          </cell>
        </row>
        <row r="15">
          <cell r="B15" t="str">
            <v>IP Base</v>
          </cell>
          <cell r="C15">
            <v>1</v>
          </cell>
          <cell r="D15">
            <v>2</v>
          </cell>
          <cell r="E15">
            <v>3</v>
          </cell>
        </row>
        <row r="16">
          <cell r="B16" t="str">
            <v>IP Video Client</v>
          </cell>
          <cell r="C16">
            <v>1</v>
          </cell>
          <cell r="D16">
            <v>2</v>
          </cell>
          <cell r="E16">
            <v>3</v>
          </cell>
        </row>
        <row r="17">
          <cell r="B17" t="str">
            <v>IP Video Server</v>
          </cell>
          <cell r="C17">
            <v>1</v>
          </cell>
          <cell r="D17">
            <v>2</v>
          </cell>
          <cell r="E17">
            <v>3</v>
          </cell>
        </row>
        <row r="18">
          <cell r="B18" t="str">
            <v>IP with DVR</v>
          </cell>
          <cell r="C18">
            <v>1</v>
          </cell>
          <cell r="D18">
            <v>2</v>
          </cell>
          <cell r="E18">
            <v>3</v>
          </cell>
        </row>
        <row r="19">
          <cell r="B19" t="str">
            <v>IP with DVR &amp; Video Server</v>
          </cell>
          <cell r="C19">
            <v>1</v>
          </cell>
          <cell r="D19">
            <v>2</v>
          </cell>
          <cell r="E19">
            <v>3</v>
          </cell>
        </row>
        <row r="20">
          <cell r="B20" t="str">
            <v>OTT</v>
          </cell>
          <cell r="C20">
            <v>1</v>
          </cell>
          <cell r="D20">
            <v>2</v>
          </cell>
          <cell r="E20">
            <v>2</v>
          </cell>
        </row>
        <row r="21">
          <cell r="B21" t="str">
            <v>Thin-client</v>
          </cell>
          <cell r="C21">
            <v>1</v>
          </cell>
          <cell r="D21">
            <v>2</v>
          </cell>
          <cell r="E21">
            <v>3</v>
          </cell>
        </row>
      </sheetData>
      <sheetData sheetId="2"/>
      <sheetData sheetId="3">
        <row r="8">
          <cell r="C8">
            <v>2013</v>
          </cell>
        </row>
        <row r="10">
          <cell r="C10">
            <v>0.05</v>
          </cell>
        </row>
        <row r="14">
          <cell r="C14">
            <v>30</v>
          </cell>
        </row>
      </sheetData>
      <sheetData sheetId="4"/>
      <sheetData sheetId="5"/>
      <sheetData sheetId="6"/>
      <sheetData sheetId="7">
        <row r="3">
          <cell r="D3">
            <v>1</v>
          </cell>
        </row>
        <row r="10">
          <cell r="C10">
            <v>0.5</v>
          </cell>
          <cell r="D10">
            <v>0.4</v>
          </cell>
          <cell r="E10">
            <v>0.1</v>
          </cell>
          <cell r="F10">
            <v>0</v>
          </cell>
          <cell r="J10">
            <v>0.5</v>
          </cell>
          <cell r="K10">
            <v>0.4</v>
          </cell>
          <cell r="L10">
            <v>0.1</v>
          </cell>
          <cell r="M10">
            <v>0</v>
          </cell>
        </row>
      </sheetData>
      <sheetData sheetId="8"/>
      <sheetData sheetId="9">
        <row r="5">
          <cell r="C5">
            <v>0</v>
          </cell>
          <cell r="D5">
            <v>1</v>
          </cell>
          <cell r="E5">
            <v>2</v>
          </cell>
          <cell r="F5">
            <v>3</v>
          </cell>
        </row>
        <row r="26">
          <cell r="L26">
            <v>7.0847343495634152E-2</v>
          </cell>
        </row>
        <row r="27">
          <cell r="L27">
            <v>7.0301783110911745E-2</v>
          </cell>
        </row>
        <row r="28">
          <cell r="L28">
            <v>6.8897072252026043E-2</v>
          </cell>
        </row>
        <row r="29">
          <cell r="L29">
            <v>6.8321769552707315E-2</v>
          </cell>
        </row>
        <row r="30">
          <cell r="L30">
            <v>7.0999999999999994E-2</v>
          </cell>
        </row>
        <row r="31">
          <cell r="L31">
            <v>7.0699999999999999E-2</v>
          </cell>
        </row>
        <row r="32">
          <cell r="L32">
            <v>6.8599999999999994E-2</v>
          </cell>
        </row>
        <row r="33">
          <cell r="L33">
            <v>6.8199999999999997E-2</v>
          </cell>
        </row>
        <row r="36">
          <cell r="M36">
            <v>4</v>
          </cell>
        </row>
        <row r="37">
          <cell r="M37">
            <v>4</v>
          </cell>
        </row>
        <row r="38">
          <cell r="M38">
            <v>8</v>
          </cell>
        </row>
        <row r="39">
          <cell r="M39">
            <v>3</v>
          </cell>
        </row>
        <row r="40">
          <cell r="D40">
            <v>0</v>
          </cell>
          <cell r="E40">
            <v>1</v>
          </cell>
          <cell r="F40">
            <v>2</v>
          </cell>
          <cell r="G40">
            <v>3</v>
          </cell>
          <cell r="M40">
            <v>7</v>
          </cell>
        </row>
        <row r="41">
          <cell r="M41">
            <v>2</v>
          </cell>
        </row>
        <row r="42">
          <cell r="M42">
            <v>2</v>
          </cell>
        </row>
        <row r="43">
          <cell r="M43">
            <v>6</v>
          </cell>
        </row>
        <row r="44">
          <cell r="M44">
            <v>1</v>
          </cell>
        </row>
        <row r="45">
          <cell r="M45">
            <v>5</v>
          </cell>
        </row>
        <row r="46">
          <cell r="M46">
            <v>4</v>
          </cell>
        </row>
        <row r="47">
          <cell r="M47">
            <v>4</v>
          </cell>
        </row>
        <row r="48">
          <cell r="M48">
            <v>8</v>
          </cell>
        </row>
        <row r="49">
          <cell r="M49">
            <v>3</v>
          </cell>
        </row>
        <row r="50">
          <cell r="M50">
            <v>7</v>
          </cell>
        </row>
        <row r="51">
          <cell r="M51">
            <v>4</v>
          </cell>
        </row>
        <row r="52">
          <cell r="M52">
            <v>4</v>
          </cell>
        </row>
      </sheetData>
      <sheetData sheetId="10">
        <row r="4">
          <cell r="B4">
            <v>2011</v>
          </cell>
          <cell r="C4">
            <v>1</v>
          </cell>
        </row>
        <row r="5">
          <cell r="B5">
            <v>2012</v>
          </cell>
          <cell r="C5">
            <v>1</v>
          </cell>
        </row>
        <row r="6">
          <cell r="B6">
            <v>2013</v>
          </cell>
          <cell r="C6">
            <v>1</v>
          </cell>
        </row>
        <row r="7">
          <cell r="B7">
            <v>2014</v>
          </cell>
          <cell r="C7">
            <v>1</v>
          </cell>
        </row>
        <row r="8">
          <cell r="B8">
            <v>2015</v>
          </cell>
          <cell r="C8">
            <v>1</v>
          </cell>
        </row>
        <row r="9">
          <cell r="B9">
            <v>2016</v>
          </cell>
          <cell r="C9">
            <v>1</v>
          </cell>
        </row>
        <row r="10">
          <cell r="B10">
            <v>2017</v>
          </cell>
          <cell r="C10">
            <v>1</v>
          </cell>
        </row>
        <row r="11">
          <cell r="B11">
            <v>2018</v>
          </cell>
          <cell r="C11">
            <v>1</v>
          </cell>
        </row>
        <row r="12">
          <cell r="B12">
            <v>2019</v>
          </cell>
          <cell r="C12">
            <v>1</v>
          </cell>
        </row>
        <row r="13">
          <cell r="B13">
            <v>2020</v>
          </cell>
          <cell r="C13">
            <v>1</v>
          </cell>
        </row>
        <row r="14">
          <cell r="B14">
            <v>2021</v>
          </cell>
          <cell r="C14">
            <v>1</v>
          </cell>
        </row>
        <row r="15">
          <cell r="B15">
            <v>2022</v>
          </cell>
          <cell r="C15">
            <v>1</v>
          </cell>
        </row>
        <row r="16">
          <cell r="B16">
            <v>2023</v>
          </cell>
          <cell r="C16">
            <v>1</v>
          </cell>
        </row>
        <row r="17">
          <cell r="B17">
            <v>2024</v>
          </cell>
          <cell r="C17">
            <v>1</v>
          </cell>
        </row>
        <row r="18">
          <cell r="B18">
            <v>2025</v>
          </cell>
          <cell r="C18">
            <v>1</v>
          </cell>
        </row>
        <row r="19">
          <cell r="B19">
            <v>2026</v>
          </cell>
          <cell r="C19">
            <v>1</v>
          </cell>
        </row>
        <row r="20">
          <cell r="B20">
            <v>2027</v>
          </cell>
          <cell r="C20">
            <v>1</v>
          </cell>
        </row>
        <row r="21">
          <cell r="B21">
            <v>2028</v>
          </cell>
          <cell r="C21">
            <v>1</v>
          </cell>
        </row>
        <row r="22">
          <cell r="B22">
            <v>2029</v>
          </cell>
          <cell r="C22">
            <v>1</v>
          </cell>
        </row>
        <row r="23">
          <cell r="B23">
            <v>2030</v>
          </cell>
          <cell r="C23">
            <v>1</v>
          </cell>
        </row>
        <row r="24">
          <cell r="B24">
            <v>2031</v>
          </cell>
          <cell r="C24">
            <v>1</v>
          </cell>
        </row>
        <row r="25">
          <cell r="B25">
            <v>2032</v>
          </cell>
          <cell r="C25">
            <v>1</v>
          </cell>
        </row>
        <row r="26">
          <cell r="B26">
            <v>2033</v>
          </cell>
          <cell r="C26">
            <v>1</v>
          </cell>
        </row>
        <row r="27">
          <cell r="B27">
            <v>2034</v>
          </cell>
          <cell r="C27">
            <v>1</v>
          </cell>
        </row>
        <row r="28">
          <cell r="B28">
            <v>2035</v>
          </cell>
          <cell r="C28">
            <v>1</v>
          </cell>
        </row>
        <row r="29">
          <cell r="B29">
            <v>2036</v>
          </cell>
          <cell r="C29">
            <v>1</v>
          </cell>
        </row>
        <row r="30">
          <cell r="B30">
            <v>2037</v>
          </cell>
          <cell r="C30">
            <v>1</v>
          </cell>
        </row>
        <row r="31">
          <cell r="B31">
            <v>2038</v>
          </cell>
          <cell r="C31">
            <v>1</v>
          </cell>
        </row>
        <row r="32">
          <cell r="B32">
            <v>2039</v>
          </cell>
          <cell r="C32">
            <v>1</v>
          </cell>
        </row>
        <row r="33">
          <cell r="B33">
            <v>2040</v>
          </cell>
          <cell r="C33">
            <v>1</v>
          </cell>
        </row>
        <row r="34">
          <cell r="B34">
            <v>2041</v>
          </cell>
          <cell r="C34">
            <v>1</v>
          </cell>
        </row>
        <row r="35">
          <cell r="B35">
            <v>2042</v>
          </cell>
          <cell r="C35">
            <v>1</v>
          </cell>
        </row>
        <row r="36">
          <cell r="B36">
            <v>2043</v>
          </cell>
          <cell r="C36">
            <v>1</v>
          </cell>
        </row>
        <row r="37">
          <cell r="B37">
            <v>2044</v>
          </cell>
          <cell r="C37">
            <v>1</v>
          </cell>
        </row>
        <row r="38">
          <cell r="B38">
            <v>2045</v>
          </cell>
          <cell r="C38">
            <v>1</v>
          </cell>
        </row>
        <row r="39">
          <cell r="B39">
            <v>2046</v>
          </cell>
          <cell r="C39">
            <v>1</v>
          </cell>
        </row>
        <row r="40">
          <cell r="B40">
            <v>2047</v>
          </cell>
          <cell r="C40">
            <v>1</v>
          </cell>
        </row>
        <row r="41">
          <cell r="B41">
            <v>2048</v>
          </cell>
          <cell r="C41">
            <v>1</v>
          </cell>
        </row>
        <row r="42">
          <cell r="B42">
            <v>2049</v>
          </cell>
          <cell r="C42">
            <v>1</v>
          </cell>
        </row>
        <row r="43">
          <cell r="B43">
            <v>2050</v>
          </cell>
          <cell r="C43">
            <v>1</v>
          </cell>
        </row>
        <row r="44">
          <cell r="B44">
            <v>2051</v>
          </cell>
          <cell r="C44">
            <v>1</v>
          </cell>
        </row>
        <row r="45">
          <cell r="B45">
            <v>2052</v>
          </cell>
          <cell r="C45">
            <v>1</v>
          </cell>
        </row>
        <row r="46">
          <cell r="B46">
            <v>2053</v>
          </cell>
          <cell r="C46">
            <v>1</v>
          </cell>
        </row>
        <row r="47">
          <cell r="B47">
            <v>2054</v>
          </cell>
          <cell r="C47">
            <v>1</v>
          </cell>
        </row>
        <row r="48">
          <cell r="B48">
            <v>2055</v>
          </cell>
          <cell r="C48">
            <v>1</v>
          </cell>
        </row>
        <row r="49">
          <cell r="B49">
            <v>2056</v>
          </cell>
          <cell r="C49">
            <v>1</v>
          </cell>
        </row>
        <row r="50">
          <cell r="B50">
            <v>2057</v>
          </cell>
          <cell r="C50">
            <v>1</v>
          </cell>
        </row>
        <row r="51">
          <cell r="B51">
            <v>2058</v>
          </cell>
          <cell r="C51">
            <v>1</v>
          </cell>
        </row>
        <row r="52">
          <cell r="B52">
            <v>2059</v>
          </cell>
          <cell r="C52">
            <v>1</v>
          </cell>
        </row>
        <row r="53">
          <cell r="B53">
            <v>2060</v>
          </cell>
          <cell r="C53">
            <v>1</v>
          </cell>
        </row>
        <row r="54">
          <cell r="B54">
            <v>2061</v>
          </cell>
          <cell r="C54">
            <v>1</v>
          </cell>
        </row>
        <row r="55">
          <cell r="B55">
            <v>2062</v>
          </cell>
          <cell r="C55">
            <v>1</v>
          </cell>
        </row>
        <row r="56">
          <cell r="B56">
            <v>2063</v>
          </cell>
          <cell r="C56">
            <v>1</v>
          </cell>
        </row>
        <row r="57">
          <cell r="B57">
            <v>2064</v>
          </cell>
          <cell r="C57">
            <v>1</v>
          </cell>
        </row>
        <row r="58">
          <cell r="B58">
            <v>2065</v>
          </cell>
          <cell r="C58">
            <v>1</v>
          </cell>
        </row>
        <row r="59">
          <cell r="B59">
            <v>2066</v>
          </cell>
          <cell r="C59">
            <v>1</v>
          </cell>
        </row>
        <row r="60">
          <cell r="B60">
            <v>2067</v>
          </cell>
          <cell r="C60">
            <v>1</v>
          </cell>
        </row>
        <row r="61">
          <cell r="B61">
            <v>2068</v>
          </cell>
          <cell r="C61">
            <v>1</v>
          </cell>
        </row>
        <row r="62">
          <cell r="B62">
            <v>2069</v>
          </cell>
          <cell r="C62">
            <v>1</v>
          </cell>
        </row>
        <row r="63">
          <cell r="B63">
            <v>2070</v>
          </cell>
          <cell r="C63">
            <v>1</v>
          </cell>
        </row>
        <row r="64">
          <cell r="B64">
            <v>2071</v>
          </cell>
          <cell r="C64">
            <v>1</v>
          </cell>
        </row>
        <row r="65">
          <cell r="B65">
            <v>2072</v>
          </cell>
          <cell r="C65">
            <v>1</v>
          </cell>
        </row>
        <row r="66">
          <cell r="B66">
            <v>2073</v>
          </cell>
          <cell r="C66">
            <v>1</v>
          </cell>
        </row>
        <row r="67">
          <cell r="B67">
            <v>2074</v>
          </cell>
          <cell r="C67">
            <v>1</v>
          </cell>
        </row>
        <row r="68">
          <cell r="B68">
            <v>2075</v>
          </cell>
          <cell r="C68">
            <v>1</v>
          </cell>
        </row>
        <row r="69">
          <cell r="B69">
            <v>2076</v>
          </cell>
          <cell r="C69">
            <v>1</v>
          </cell>
        </row>
        <row r="70">
          <cell r="B70">
            <v>2077</v>
          </cell>
          <cell r="C70">
            <v>1</v>
          </cell>
        </row>
        <row r="71">
          <cell r="B71">
            <v>2078</v>
          </cell>
          <cell r="C71">
            <v>1</v>
          </cell>
        </row>
        <row r="72">
          <cell r="B72">
            <v>2079</v>
          </cell>
          <cell r="C72">
            <v>1</v>
          </cell>
        </row>
        <row r="73">
          <cell r="B73">
            <v>2080</v>
          </cell>
          <cell r="C73">
            <v>1</v>
          </cell>
        </row>
      </sheetData>
      <sheetData sheetId="11">
        <row r="6">
          <cell r="B6">
            <v>2009</v>
          </cell>
          <cell r="C6">
            <v>35.085150807471472</v>
          </cell>
          <cell r="D6">
            <v>35.083535376233627</v>
          </cell>
          <cell r="E6">
            <v>35.083535376233627</v>
          </cell>
        </row>
        <row r="7">
          <cell r="B7">
            <v>2010</v>
          </cell>
          <cell r="C7">
            <v>34.753488126114391</v>
          </cell>
          <cell r="D7">
            <v>34.753434484719513</v>
          </cell>
          <cell r="E7">
            <v>34.753434484719513</v>
          </cell>
        </row>
        <row r="8">
          <cell r="B8">
            <v>2011</v>
          </cell>
          <cell r="C8">
            <v>35.132069491373777</v>
          </cell>
          <cell r="D8">
            <v>35.135113640532708</v>
          </cell>
          <cell r="E8">
            <v>35.135113640532708</v>
          </cell>
        </row>
        <row r="9">
          <cell r="B9">
            <v>2012</v>
          </cell>
          <cell r="C9">
            <v>34.803696471713685</v>
          </cell>
          <cell r="D9">
            <v>34.774065790439153</v>
          </cell>
          <cell r="E9">
            <v>34.825644054738227</v>
          </cell>
        </row>
        <row r="10">
          <cell r="B10">
            <v>2013</v>
          </cell>
          <cell r="C10">
            <v>35.280552998637958</v>
          </cell>
          <cell r="D10">
            <v>35.372373656308469</v>
          </cell>
          <cell r="E10">
            <v>35.846893687859996</v>
          </cell>
        </row>
        <row r="11">
          <cell r="B11">
            <v>2014</v>
          </cell>
          <cell r="C11">
            <v>35.379477014867739</v>
          </cell>
          <cell r="D11">
            <v>35.207323210551422</v>
          </cell>
          <cell r="E11">
            <v>36.166678926514287</v>
          </cell>
        </row>
        <row r="12">
          <cell r="B12">
            <v>2015</v>
          </cell>
          <cell r="C12">
            <v>35.682430202750666</v>
          </cell>
          <cell r="D12">
            <v>35.393004962028101</v>
          </cell>
          <cell r="E12">
            <v>36.713408528084528</v>
          </cell>
        </row>
        <row r="13">
          <cell r="B13">
            <v>2016</v>
          </cell>
          <cell r="C13">
            <v>35.681201608495066</v>
          </cell>
          <cell r="D13">
            <v>35.465214532046815</v>
          </cell>
          <cell r="E13">
            <v>36.692777222364896</v>
          </cell>
        </row>
        <row r="14">
          <cell r="B14">
            <v>2017</v>
          </cell>
          <cell r="C14">
            <v>35.403851871010197</v>
          </cell>
          <cell r="D14">
            <v>35.331111044869203</v>
          </cell>
          <cell r="E14">
            <v>36.321413719411524</v>
          </cell>
        </row>
        <row r="15">
          <cell r="B15">
            <v>2018</v>
          </cell>
          <cell r="C15">
            <v>35.216973503801775</v>
          </cell>
          <cell r="D15">
            <v>35.083535376233627</v>
          </cell>
          <cell r="E15">
            <v>36.032575439336682</v>
          </cell>
        </row>
        <row r="16">
          <cell r="B16">
            <v>2019</v>
          </cell>
          <cell r="C16">
            <v>34.913198158385917</v>
          </cell>
          <cell r="D16">
            <v>34.866906666177485</v>
          </cell>
          <cell r="E16">
            <v>35.650896283523501</v>
          </cell>
        </row>
        <row r="17">
          <cell r="B17">
            <v>2020</v>
          </cell>
          <cell r="C17">
            <v>34.93701390614337</v>
          </cell>
          <cell r="D17">
            <v>34.939116236196199</v>
          </cell>
          <cell r="E17">
            <v>35.506477143486073</v>
          </cell>
        </row>
        <row r="18">
          <cell r="B18">
            <v>2021</v>
          </cell>
          <cell r="C18">
            <v>34.907614295492898</v>
          </cell>
          <cell r="D18">
            <v>34.897853624756941</v>
          </cell>
          <cell r="E18">
            <v>35.310479739149571</v>
          </cell>
        </row>
        <row r="19">
          <cell r="B19">
            <v>2022</v>
          </cell>
          <cell r="C19">
            <v>34.891031883520739</v>
          </cell>
          <cell r="D19">
            <v>34.918484930476573</v>
          </cell>
          <cell r="E19">
            <v>35.207323210551422</v>
          </cell>
        </row>
        <row r="20">
          <cell r="B20">
            <v>2023</v>
          </cell>
          <cell r="C20">
            <v>34.996772483160285</v>
          </cell>
          <cell r="D20">
            <v>35.011325806214913</v>
          </cell>
          <cell r="E20">
            <v>35.24858582199068</v>
          </cell>
        </row>
        <row r="21">
          <cell r="B21">
            <v>2024</v>
          </cell>
          <cell r="C21">
            <v>35.12928735979748</v>
          </cell>
          <cell r="D21">
            <v>35.093851029093443</v>
          </cell>
          <cell r="E21">
            <v>35.331111044869203</v>
          </cell>
        </row>
        <row r="22">
          <cell r="B22">
            <v>2025</v>
          </cell>
          <cell r="C22">
            <v>35.152512020646071</v>
          </cell>
          <cell r="D22">
            <v>35.279532780570129</v>
          </cell>
          <cell r="E22">
            <v>35.382689309168278</v>
          </cell>
        </row>
        <row r="23">
          <cell r="B23">
            <v>2026</v>
          </cell>
          <cell r="C23">
            <v>35.176339115621673</v>
          </cell>
          <cell r="D23">
            <v>35.434267573467366</v>
          </cell>
          <cell r="E23">
            <v>35.269217127710306</v>
          </cell>
        </row>
        <row r="24">
          <cell r="B24">
            <v>2027</v>
          </cell>
          <cell r="C24">
            <v>35.188927306806505</v>
          </cell>
          <cell r="D24">
            <v>35.485845837766441</v>
          </cell>
          <cell r="E24">
            <v>35.062904070513994</v>
          </cell>
        </row>
        <row r="25">
          <cell r="B25">
            <v>2028</v>
          </cell>
          <cell r="C25">
            <v>35.155920312350958</v>
          </cell>
          <cell r="D25">
            <v>35.485845837766441</v>
          </cell>
          <cell r="E25">
            <v>34.866906666177485</v>
          </cell>
        </row>
        <row r="26">
          <cell r="B26">
            <v>2029</v>
          </cell>
          <cell r="C26">
            <v>35.149725762808636</v>
          </cell>
          <cell r="D26">
            <v>35.527108449205706</v>
          </cell>
          <cell r="E26">
            <v>34.805012749018601</v>
          </cell>
        </row>
        <row r="27">
          <cell r="B27">
            <v>2030</v>
          </cell>
          <cell r="C27">
            <v>35.133238254842794</v>
          </cell>
          <cell r="D27">
            <v>35.589002366364603</v>
          </cell>
          <cell r="E27">
            <v>34.794697096158778</v>
          </cell>
        </row>
        <row r="28">
          <cell r="B28">
            <v>2031</v>
          </cell>
          <cell r="C28">
            <v>35.211798140762006</v>
          </cell>
          <cell r="D28">
            <v>35.712790200682385</v>
          </cell>
          <cell r="E28">
            <v>34.846275360457859</v>
          </cell>
        </row>
        <row r="29">
          <cell r="B29">
            <v>2032</v>
          </cell>
          <cell r="C29">
            <v>35.22469373840206</v>
          </cell>
          <cell r="D29">
            <v>35.805631076420738</v>
          </cell>
          <cell r="E29">
            <v>34.846275360457859</v>
          </cell>
        </row>
        <row r="30">
          <cell r="B30">
            <v>2033</v>
          </cell>
          <cell r="C30">
            <v>35.158072157537511</v>
          </cell>
          <cell r="D30">
            <v>35.91910325787871</v>
          </cell>
          <cell r="E30">
            <v>34.908169277616757</v>
          </cell>
        </row>
        <row r="31">
          <cell r="B31">
            <v>2034</v>
          </cell>
          <cell r="C31">
            <v>35.384899953576145</v>
          </cell>
          <cell r="D31">
            <v>36.207941537953552</v>
          </cell>
          <cell r="E31">
            <v>34.939116236196199</v>
          </cell>
        </row>
        <row r="32">
          <cell r="B32">
            <v>2035</v>
          </cell>
          <cell r="C32">
            <v>35.673280218664011</v>
          </cell>
          <cell r="D32">
            <v>36.383307636570422</v>
          </cell>
          <cell r="E32">
            <v>35.217638863411231</v>
          </cell>
        </row>
        <row r="33">
          <cell r="B33">
            <v>2036</v>
          </cell>
          <cell r="C33">
            <v>35.722912744298334</v>
          </cell>
          <cell r="D33">
            <v>36.481682788407277</v>
          </cell>
          <cell r="E33">
            <v>35.198466733209663</v>
          </cell>
        </row>
        <row r="34">
          <cell r="B34">
            <v>2037</v>
          </cell>
          <cell r="C34">
            <v>35.772614324070261</v>
          </cell>
          <cell r="D34">
            <v>36.58032393229179</v>
          </cell>
          <cell r="E34">
            <v>35.179305040123936</v>
          </cell>
        </row>
        <row r="35">
          <cell r="B35">
            <v>2038</v>
          </cell>
          <cell r="C35">
            <v>35.822385054055367</v>
          </cell>
          <cell r="D35">
            <v>36.679231787427632</v>
          </cell>
          <cell r="E35">
            <v>35.160153778472193</v>
          </cell>
        </row>
        <row r="36">
          <cell r="B36">
            <v>2039</v>
          </cell>
          <cell r="C36">
            <v>35.872225030462914</v>
          </cell>
          <cell r="D36">
            <v>36.778407074963077</v>
          </cell>
          <cell r="E36">
            <v>35.141012942575657</v>
          </cell>
        </row>
        <row r="37">
          <cell r="B37">
            <v>2040</v>
          </cell>
          <cell r="C37">
            <v>35.922134349636011</v>
          </cell>
          <cell r="D37">
            <v>36.877850517996293</v>
          </cell>
          <cell r="E37">
            <v>35.121882526758661</v>
          </cell>
        </row>
        <row r="38">
          <cell r="B38">
            <v>2041</v>
          </cell>
          <cell r="C38">
            <v>35.972113108051815</v>
          </cell>
          <cell r="D38">
            <v>36.977562841580593</v>
          </cell>
          <cell r="E38">
            <v>35.102762525348609</v>
          </cell>
        </row>
        <row r="39">
          <cell r="B39">
            <v>2042</v>
          </cell>
          <cell r="C39">
            <v>36.022161402321714</v>
          </cell>
          <cell r="D39">
            <v>37.077544772729723</v>
          </cell>
          <cell r="E39">
            <v>35.08365293267601</v>
          </cell>
        </row>
        <row r="40">
          <cell r="B40">
            <v>2043</v>
          </cell>
          <cell r="C40">
            <v>36.072279329191502</v>
          </cell>
          <cell r="D40">
            <v>37.177797040423187</v>
          </cell>
          <cell r="E40">
            <v>35.064553743074441</v>
          </cell>
        </row>
        <row r="41">
          <cell r="B41">
            <v>2044</v>
          </cell>
          <cell r="C41">
            <v>36.122466985541585</v>
          </cell>
          <cell r="D41">
            <v>37.278320375611528</v>
          </cell>
          <cell r="E41">
            <v>35.045464950880586</v>
          </cell>
        </row>
        <row r="42">
          <cell r="B42">
            <v>2045</v>
          </cell>
          <cell r="C42">
            <v>36.172724468387159</v>
          </cell>
          <cell r="D42">
            <v>37.37911551122167</v>
          </cell>
          <cell r="E42">
            <v>35.026386550434189</v>
          </cell>
        </row>
        <row r="43">
          <cell r="B43">
            <v>2046</v>
          </cell>
          <cell r="C43">
            <v>36.223051874878401</v>
          </cell>
          <cell r="D43">
            <v>37.480183182162278</v>
          </cell>
          <cell r="E43">
            <v>35.007318536078095</v>
          </cell>
        </row>
        <row r="44">
          <cell r="B44">
            <v>2047</v>
          </cell>
          <cell r="C44">
            <v>36.273449302300641</v>
          </cell>
          <cell r="D44">
            <v>37.581524125329089</v>
          </cell>
          <cell r="E44">
            <v>34.988260902158217</v>
          </cell>
        </row>
        <row r="45">
          <cell r="B45">
            <v>2048</v>
          </cell>
          <cell r="C45">
            <v>36.323916848074575</v>
          </cell>
          <cell r="D45">
            <v>37.683139079610307</v>
          </cell>
          <cell r="E45">
            <v>34.969213643023551</v>
          </cell>
        </row>
        <row r="46">
          <cell r="B46">
            <v>2049</v>
          </cell>
          <cell r="C46">
            <v>36.374454609756434</v>
          </cell>
          <cell r="D46">
            <v>37.785028785891981</v>
          </cell>
          <cell r="E46">
            <v>34.950176753026163</v>
          </cell>
        </row>
        <row r="47">
          <cell r="B47">
            <v>2050</v>
          </cell>
          <cell r="C47">
            <v>36.425062685038192</v>
          </cell>
          <cell r="D47">
            <v>37.887193987063405</v>
          </cell>
          <cell r="E47">
            <v>34.931150226521204</v>
          </cell>
        </row>
        <row r="48">
          <cell r="B48">
            <v>2051</v>
          </cell>
          <cell r="C48">
            <v>36.475741171747728</v>
          </cell>
          <cell r="D48">
            <v>37.989635428022538</v>
          </cell>
          <cell r="E48">
            <v>34.912134057866893</v>
          </cell>
        </row>
        <row r="49">
          <cell r="B49">
            <v>2052</v>
          </cell>
          <cell r="C49">
            <v>36.526490167849033</v>
          </cell>
          <cell r="D49">
            <v>38.092353855681438</v>
          </cell>
          <cell r="E49">
            <v>34.893128241424513</v>
          </cell>
        </row>
        <row r="50">
          <cell r="B50">
            <v>2053</v>
          </cell>
          <cell r="C50">
            <v>36.577309771442401</v>
          </cell>
          <cell r="D50">
            <v>38.195350018971695</v>
          </cell>
          <cell r="E50">
            <v>34.874132771558429</v>
          </cell>
        </row>
        <row r="51">
          <cell r="B51">
            <v>2054</v>
          </cell>
          <cell r="C51">
            <v>36.628200080764614</v>
          </cell>
          <cell r="D51">
            <v>38.298624668849911</v>
          </cell>
          <cell r="E51">
            <v>34.855147642636069</v>
          </cell>
        </row>
        <row r="52">
          <cell r="B52">
            <v>2055</v>
          </cell>
          <cell r="C52">
            <v>36.679161194189128</v>
          </cell>
          <cell r="D52">
            <v>38.402178558303156</v>
          </cell>
          <cell r="E52">
            <v>34.836172849027925</v>
          </cell>
        </row>
        <row r="53">
          <cell r="B53">
            <v>2056</v>
          </cell>
          <cell r="C53">
            <v>36.730193210226261</v>
          </cell>
          <cell r="D53">
            <v>38.506012442354475</v>
          </cell>
          <cell r="E53">
            <v>34.817208385107556</v>
          </cell>
        </row>
        <row r="54">
          <cell r="B54">
            <v>2057</v>
          </cell>
          <cell r="C54">
            <v>36.781296227523406</v>
          </cell>
          <cell r="D54">
            <v>38.610127078068381</v>
          </cell>
          <cell r="E54">
            <v>34.798254245251577</v>
          </cell>
        </row>
        <row r="55">
          <cell r="B55">
            <v>2058</v>
          </cell>
          <cell r="C55">
            <v>36.832470344865186</v>
          </cell>
          <cell r="D55">
            <v>38.71452322455638</v>
          </cell>
          <cell r="E55">
            <v>34.779310423839682</v>
          </cell>
        </row>
        <row r="56">
          <cell r="B56">
            <v>2059</v>
          </cell>
          <cell r="C56">
            <v>36.883715661173682</v>
          </cell>
          <cell r="D56">
            <v>38.819201642982499</v>
          </cell>
          <cell r="E56">
            <v>34.760376915254604</v>
          </cell>
        </row>
        <row r="57">
          <cell r="B57">
            <v>2060</v>
          </cell>
          <cell r="C57">
            <v>36.93503227550859</v>
          </cell>
          <cell r="D57">
            <v>38.924163096568854</v>
          </cell>
          <cell r="E57">
            <v>34.741453713882144</v>
          </cell>
        </row>
        <row r="58">
          <cell r="B58">
            <v>2061</v>
          </cell>
          <cell r="C58">
            <v>36.986420287067439</v>
          </cell>
          <cell r="D58">
            <v>39.029408350601187</v>
          </cell>
          <cell r="E58">
            <v>34.722540814111163</v>
          </cell>
        </row>
        <row r="59">
          <cell r="B59">
            <v>2062</v>
          </cell>
          <cell r="C59">
            <v>37.037879795185766</v>
          </cell>
          <cell r="D59">
            <v>39.134938172434474</v>
          </cell>
          <cell r="E59">
            <v>34.703638210333573</v>
          </cell>
        </row>
        <row r="60">
          <cell r="B60">
            <v>2063</v>
          </cell>
          <cell r="C60">
            <v>37.089410899337324</v>
          </cell>
          <cell r="D60">
            <v>39.240753331498503</v>
          </cell>
          <cell r="E60">
            <v>34.684745896944335</v>
          </cell>
        </row>
        <row r="61">
          <cell r="B61">
            <v>2064</v>
          </cell>
          <cell r="C61">
            <v>37.141013699134248</v>
          </cell>
          <cell r="D61">
            <v>39.346854599303484</v>
          </cell>
          <cell r="E61">
            <v>34.665863868341468</v>
          </cell>
        </row>
        <row r="62">
          <cell r="B62">
            <v>2065</v>
          </cell>
          <cell r="C62">
            <v>37.192688294327283</v>
          </cell>
          <cell r="D62">
            <v>39.453242749445678</v>
          </cell>
          <cell r="E62">
            <v>34.646992118926036</v>
          </cell>
        </row>
        <row r="63">
          <cell r="B63">
            <v>2066</v>
          </cell>
          <cell r="C63">
            <v>37.244434784805939</v>
          </cell>
          <cell r="D63">
            <v>39.559918557613045</v>
          </cell>
          <cell r="E63">
            <v>34.628130643102146</v>
          </cell>
        </row>
        <row r="64">
          <cell r="B64">
            <v>2067</v>
          </cell>
          <cell r="C64">
            <v>37.296253270598726</v>
          </cell>
          <cell r="D64">
            <v>39.66688280159088</v>
          </cell>
          <cell r="E64">
            <v>34.609279435276967</v>
          </cell>
        </row>
        <row r="65">
          <cell r="B65">
            <v>2068</v>
          </cell>
          <cell r="C65">
            <v>37.348143851873303</v>
          </cell>
          <cell r="D65">
            <v>39.774136261267508</v>
          </cell>
          <cell r="E65">
            <v>34.590438489860695</v>
          </cell>
        </row>
        <row r="66">
          <cell r="B66">
            <v>2069</v>
          </cell>
          <cell r="C66">
            <v>37.400106628936697</v>
          </cell>
          <cell r="D66">
            <v>39.881679718639951</v>
          </cell>
          <cell r="E66">
            <v>34.57160780126658</v>
          </cell>
        </row>
        <row r="67">
          <cell r="B67">
            <v>2070</v>
          </cell>
          <cell r="C67">
            <v>37.452141702235508</v>
          </cell>
          <cell r="D67">
            <v>39.989513957819639</v>
          </cell>
          <cell r="E67">
            <v>34.552787363910916</v>
          </cell>
        </row>
        <row r="68">
          <cell r="B68">
            <v>2071</v>
          </cell>
          <cell r="C68">
            <v>37.504249172356076</v>
          </cell>
          <cell r="D68">
            <v>40.097639765038124</v>
          </cell>
          <cell r="E68">
            <v>34.533977172213021</v>
          </cell>
        </row>
        <row r="69">
          <cell r="B69">
            <v>2072</v>
          </cell>
          <cell r="C69">
            <v>37.556429140024683</v>
          </cell>
          <cell r="D69">
            <v>40.206057928652811</v>
          </cell>
          <cell r="E69">
            <v>34.51517722059527</v>
          </cell>
        </row>
        <row r="70">
          <cell r="B70">
            <v>2073</v>
          </cell>
          <cell r="C70">
            <v>37.60868170610776</v>
          </cell>
          <cell r="D70">
            <v>40.31476923915271</v>
          </cell>
          <cell r="E70">
            <v>34.496387503483064</v>
          </cell>
        </row>
        <row r="71">
          <cell r="B71">
            <v>2074</v>
          </cell>
          <cell r="C71">
            <v>37.661006971612075</v>
          </cell>
          <cell r="D71">
            <v>40.423774489164202</v>
          </cell>
          <cell r="E71">
            <v>34.477608015304838</v>
          </cell>
        </row>
        <row r="72">
          <cell r="B72">
            <v>2075</v>
          </cell>
          <cell r="C72">
            <v>37.713405037684929</v>
          </cell>
          <cell r="D72">
            <v>40.533074473456814</v>
          </cell>
          <cell r="E72">
            <v>34.458838750492063</v>
          </cell>
        </row>
        <row r="73">
          <cell r="B73">
            <v>2076</v>
          </cell>
          <cell r="C73">
            <v>37.765876005614345</v>
          </cell>
          <cell r="D73">
            <v>40.642669988949002</v>
          </cell>
          <cell r="E73">
            <v>34.440079703479242</v>
          </cell>
        </row>
        <row r="74">
          <cell r="B74">
            <v>2077</v>
          </cell>
          <cell r="C74">
            <v>37.818419976829269</v>
          </cell>
          <cell r="D74">
            <v>40.752561834713987</v>
          </cell>
          <cell r="E74">
            <v>34.421330868703912</v>
          </cell>
        </row>
        <row r="75">
          <cell r="B75">
            <v>2078</v>
          </cell>
          <cell r="C75">
            <v>37.871037052899766</v>
          </cell>
          <cell r="D75">
            <v>40.862750811985563</v>
          </cell>
          <cell r="E75">
            <v>34.40259224060663</v>
          </cell>
        </row>
        <row r="76">
          <cell r="B76">
            <v>2079</v>
          </cell>
          <cell r="C76">
            <v>37.923727335537222</v>
          </cell>
          <cell r="D76">
            <v>40.973237724163944</v>
          </cell>
          <cell r="E76">
            <v>34.383863813630981</v>
          </cell>
        </row>
        <row r="77">
          <cell r="B77">
            <v>2080</v>
          </cell>
          <cell r="C77">
            <v>37.976490926594529</v>
          </cell>
          <cell r="D77">
            <v>41.084023376821612</v>
          </cell>
          <cell r="E77">
            <v>34.365145582223576</v>
          </cell>
        </row>
      </sheetData>
      <sheetData sheetId="12"/>
      <sheetData sheetId="13">
        <row r="4">
          <cell r="F4">
            <v>26</v>
          </cell>
        </row>
        <row r="30">
          <cell r="G30">
            <v>1</v>
          </cell>
        </row>
      </sheetData>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mulation Inputs"/>
      <sheetName val="Introduction"/>
      <sheetName val="Summary"/>
      <sheetName val="Statistics"/>
      <sheetName val="LCC &amp; Payback"/>
      <sheetName val="Household Sample"/>
      <sheetName val="Adjustment Factors"/>
      <sheetName val="Equipment Price"/>
      <sheetName val="Model Info"/>
      <sheetName val="Base Case Distribution"/>
      <sheetName val="Electricity Prices"/>
      <sheetName val="Electricity Price Trend"/>
      <sheetName val="Discount Rate"/>
      <sheetName val="CB_DATA_"/>
      <sheetName val="Lifetime"/>
      <sheetName val="LCC Box Plots"/>
      <sheetName val="PBP Box Plots"/>
      <sheetName val="Frequency Charts"/>
      <sheetName val="Forecast Cells"/>
      <sheetName val="Forecast Data"/>
      <sheetName val="Engineering Data"/>
      <sheetName val="NIA Data 2"/>
      <sheetName val="NIA Data"/>
    </sheetNames>
    <sheetDataSet>
      <sheetData sheetId="0">
        <row r="2">
          <cell r="C2" t="str">
            <v>AEO 2012 Reference</v>
          </cell>
          <cell r="E2" t="str">
            <v>2018</v>
          </cell>
        </row>
      </sheetData>
      <sheetData sheetId="1" refreshError="1"/>
      <sheetData sheetId="2" refreshError="1"/>
      <sheetData sheetId="3" refreshError="1"/>
      <sheetData sheetId="4">
        <row r="6">
          <cell r="C6">
            <v>9.5595330252597215</v>
          </cell>
        </row>
      </sheetData>
      <sheetData sheetId="5">
        <row r="5">
          <cell r="C5">
            <v>9.5595330252597215</v>
          </cell>
        </row>
      </sheetData>
      <sheetData sheetId="6" refreshError="1"/>
      <sheetData sheetId="7" refreshError="1"/>
      <sheetData sheetId="8" refreshError="1"/>
      <sheetData sheetId="9">
        <row r="5">
          <cell r="C5">
            <v>0</v>
          </cell>
        </row>
      </sheetData>
      <sheetData sheetId="10">
        <row r="4">
          <cell r="G4">
            <v>2011</v>
          </cell>
        </row>
      </sheetData>
      <sheetData sheetId="11">
        <row r="5">
          <cell r="D5">
            <v>3</v>
          </cell>
        </row>
      </sheetData>
      <sheetData sheetId="12">
        <row r="4">
          <cell r="D4">
            <v>7.0485579914747604E-2</v>
          </cell>
        </row>
      </sheetData>
      <sheetData sheetId="13" refreshError="1"/>
      <sheetData sheetId="14">
        <row r="4">
          <cell r="D4">
            <v>7</v>
          </cell>
        </row>
      </sheetData>
      <sheetData sheetId="15" refreshError="1"/>
      <sheetData sheetId="16" refreshError="1"/>
      <sheetData sheetId="17" refreshError="1"/>
      <sheetData sheetId="18">
        <row r="1">
          <cell r="W1" t="str">
            <v>Statistics</v>
          </cell>
        </row>
      </sheetData>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ummary"/>
      <sheetName val="All Scenarios"/>
      <sheetName val="Axial Housed"/>
      <sheetName val="Panel (old. Axial Unhoused)"/>
      <sheetName val="Centrif Housed"/>
      <sheetName val="Centrif Unhous"/>
      <sheetName val="Inline-Mixed"/>
      <sheetName val="Radial"/>
      <sheetName val="Power Roof Vent"/>
      <sheetName val="Shipments"/>
      <sheetName val="Price Index"/>
      <sheetName val="Energy Index"/>
      <sheetName val="Energy Factors"/>
      <sheetName val="Lifetime"/>
      <sheetName val="Energy Prices"/>
      <sheetName val="Tables"/>
      <sheetName val="LCC Inputs"/>
      <sheetName val="Sheet1"/>
    </sheetNames>
    <sheetDataSet>
      <sheetData sheetId="0"/>
      <sheetData sheetId="1">
        <row r="4">
          <cell r="D4" t="str">
            <v>Reference</v>
          </cell>
        </row>
      </sheetData>
      <sheetData sheetId="2"/>
      <sheetData sheetId="3"/>
      <sheetData sheetId="4"/>
      <sheetData sheetId="5"/>
      <sheetData sheetId="6"/>
      <sheetData sheetId="7"/>
      <sheetData sheetId="8"/>
      <sheetData sheetId="9"/>
      <sheetData sheetId="10">
        <row r="5">
          <cell r="E5">
            <v>514.88199999999995</v>
          </cell>
        </row>
      </sheetData>
      <sheetData sheetId="11">
        <row r="5">
          <cell r="D5">
            <v>1</v>
          </cell>
        </row>
      </sheetData>
      <sheetData sheetId="12">
        <row r="6">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row>
      </sheetData>
      <sheetData sheetId="13">
        <row r="7">
          <cell r="E7">
            <v>1.107474120061974E-2</v>
          </cell>
        </row>
      </sheetData>
      <sheetData sheetId="14">
        <row r="5">
          <cell r="D5">
            <v>1</v>
          </cell>
        </row>
      </sheetData>
      <sheetData sheetId="15">
        <row r="6">
          <cell r="E6">
            <v>0.10229685455953308</v>
          </cell>
        </row>
        <row r="9">
          <cell r="E9">
            <v>0.10229685455953308</v>
          </cell>
          <cell r="F9">
            <v>0.10334194142214484</v>
          </cell>
          <cell r="G9">
            <v>0.1037347370003404</v>
          </cell>
          <cell r="H9">
            <v>0.10412927968198865</v>
          </cell>
          <cell r="I9">
            <v>0.10452557859960179</v>
          </cell>
          <cell r="J9">
            <v>0.10492364293966459</v>
          </cell>
          <cell r="K9">
            <v>0.10532348194297766</v>
          </cell>
          <cell r="L9">
            <v>0.10572510490500292</v>
          </cell>
          <cell r="M9">
            <v>0.10612852117621147</v>
          </cell>
          <cell r="N9">
            <v>0.10653374016243368</v>
          </cell>
          <cell r="O9">
            <v>0.10694077132521164</v>
          </cell>
          <cell r="P9">
            <v>0.10734962418215389</v>
          </cell>
          <cell r="Q9">
            <v>0.10776030830729252</v>
          </cell>
          <cell r="R9">
            <v>0.10817283333144267</v>
          </cell>
          <cell r="S9">
            <v>0.10858720894256427</v>
          </cell>
          <cell r="T9">
            <v>0.10900344488612636</v>
          </cell>
          <cell r="U9">
            <v>0.10942155096547369</v>
          </cell>
          <cell r="V9">
            <v>0.10984153704219579</v>
          </cell>
          <cell r="W9">
            <v>0.11026341303649841</v>
          </cell>
          <cell r="X9">
            <v>0.11068718892757756</v>
          </cell>
          <cell r="Y9">
            <v>0.11111287475399592</v>
          </cell>
          <cell r="Z9">
            <v>0.11154048061406166</v>
          </cell>
          <cell r="AA9">
            <v>0.11197001666621</v>
          </cell>
          <cell r="AB9">
            <v>0.11240149312938708</v>
          </cell>
          <cell r="AC9">
            <v>0.11283492028343645</v>
          </cell>
          <cell r="AD9">
            <v>0.11327030846948818</v>
          </cell>
          <cell r="AE9">
            <v>0.11370766809035041</v>
          </cell>
          <cell r="AF9">
            <v>0.11414700961090359</v>
          </cell>
          <cell r="AG9">
            <v>0.11458834355849727</v>
          </cell>
          <cell r="AH9">
            <v>0.11503168052334964</v>
          </cell>
          <cell r="AI9">
            <v>0.11547703115894951</v>
          </cell>
          <cell r="AJ9">
            <v>0.11592440618246115</v>
          </cell>
          <cell r="AK9">
            <v>0.11637381637513168</v>
          </cell>
          <cell r="AL9">
            <v>0.11682527258270126</v>
          </cell>
          <cell r="AM9">
            <v>0.11727878571581588</v>
          </cell>
          <cell r="AN9">
            <v>0.11773436675044298</v>
          </cell>
          <cell r="AO9">
            <v>0.1181920267282898</v>
          </cell>
          <cell r="AP9">
            <v>0.11865177675722448</v>
          </cell>
          <cell r="AQ9">
            <v>0.11911362801169995</v>
          </cell>
          <cell r="AR9">
            <v>0.11957759173318067</v>
          </cell>
          <cell r="AS9">
            <v>0.12004367923057216</v>
          </cell>
          <cell r="AT9">
            <v>0.12051190188065337</v>
          </cell>
          <cell r="AU9">
            <v>0.12098227112851201</v>
          </cell>
          <cell r="AV9">
            <v>0.1214547984879826</v>
          </cell>
          <cell r="AW9">
            <v>0.12192949554208751</v>
          </cell>
          <cell r="AX9">
            <v>0.12240637394348106</v>
          </cell>
          <cell r="AY9">
            <v>0.12288544541489627</v>
          </cell>
          <cell r="AZ9">
            <v>0.1233667217495949</v>
          </cell>
          <cell r="BA9">
            <v>0.12385021481182017</v>
          </cell>
          <cell r="BB9">
            <v>0.12433593653725275</v>
          </cell>
          <cell r="BC9">
            <v>0.12482389893346953</v>
          </cell>
          <cell r="BD9">
            <v>0.12531411408040569</v>
          </cell>
          <cell r="BE9">
            <v>0.12580659413081965</v>
          </cell>
          <cell r="BF9">
            <v>0.12630135131076109</v>
          </cell>
          <cell r="BG9">
            <v>0.12679839792004222</v>
          </cell>
          <cell r="BH9">
            <v>0.12729774633271218</v>
          </cell>
          <cell r="BI9">
            <v>0.12779940899753439</v>
          </cell>
          <cell r="BJ9">
            <v>0.12830339843846716</v>
          </cell>
          <cell r="BK9">
            <v>0.12880972725514775</v>
          </cell>
          <cell r="BL9">
            <v>0.12931840812337914</v>
          </cell>
          <cell r="BM9">
            <v>0.1298294537956205</v>
          </cell>
          <cell r="BN9">
            <v>0.13034287710148071</v>
          </cell>
          <cell r="BO9">
            <v>0.13085869094821509</v>
          </cell>
          <cell r="BP9">
            <v>0.13137690832122562</v>
          </cell>
          <cell r="BQ9">
            <v>0.13189754228456435</v>
          </cell>
          <cell r="BR9">
            <v>0.13242060598144018</v>
          </cell>
          <cell r="BS9">
            <v>0.13294611263472894</v>
          </cell>
          <cell r="BT9">
            <v>0.13347407554748714</v>
          </cell>
          <cell r="BU9">
            <v>0.1340045081034687</v>
          </cell>
          <cell r="BV9">
            <v>0.13453742376764552</v>
          </cell>
          <cell r="BW9">
            <v>0.13507283608673126</v>
          </cell>
          <cell r="BX9">
            <v>0.13561075868970862</v>
          </cell>
          <cell r="BY9">
            <v>0.13615120528836039</v>
          </cell>
          <cell r="BZ9">
            <v>0.1366941896778035</v>
          </cell>
          <cell r="CA9">
            <v>0.13723972573702728</v>
          </cell>
          <cell r="CB9">
            <v>0.13778782742943479</v>
          </cell>
          <cell r="CC9">
            <v>0.13833850880338797</v>
          </cell>
          <cell r="CD9">
            <v>0.13889178399275631</v>
          </cell>
          <cell r="CE9">
            <v>0.13944766721746937</v>
          </cell>
          <cell r="CF9">
            <v>0.14000617278407279</v>
          </cell>
          <cell r="CG9">
            <v>0.14056731508628786</v>
          </cell>
          <cell r="CH9">
            <v>0.14113110860557537</v>
          </cell>
          <cell r="CI9">
            <v>0.14169756791170257</v>
          </cell>
          <cell r="CJ9">
            <v>0.1422667076633142</v>
          </cell>
          <cell r="CK9">
            <v>0.14283854260850748</v>
          </cell>
          <cell r="CL9">
            <v>0.14341308758541058</v>
          </cell>
          <cell r="CM9">
            <v>0.14399035752276515</v>
          </cell>
          <cell r="CN9">
            <v>0.14457036744051274</v>
          </cell>
          <cell r="CO9">
            <v>0.14515313245038503</v>
          </cell>
          <cell r="CP9">
            <v>0.14573866775649805</v>
          </cell>
          <cell r="CQ9">
            <v>0.14632698865595034</v>
          </cell>
          <cell r="CR9">
            <v>0.14691811053942511</v>
          </cell>
        </row>
        <row r="12">
          <cell r="E12">
            <v>0.10096540528113671</v>
          </cell>
          <cell r="F12">
            <v>0.10182774162680469</v>
          </cell>
          <cell r="G12">
            <v>0.10209615649584701</v>
          </cell>
          <cell r="H12">
            <v>0.10236550399912112</v>
          </cell>
          <cell r="I12">
            <v>0.10263578825203068</v>
          </cell>
          <cell r="J12">
            <v>0.10290701339071875</v>
          </cell>
          <cell r="K12">
            <v>0.10317918357217849</v>
          </cell>
          <cell r="L12">
            <v>0.10345230297436406</v>
          </cell>
          <cell r="M12">
            <v>0.10372637579630245</v>
          </cell>
          <cell r="N12">
            <v>0.10400140625820578</v>
          </cell>
          <cell r="O12">
            <v>0.10427739860158419</v>
          </cell>
          <cell r="P12">
            <v>0.10455435708935948</v>
          </cell>
          <cell r="Q12">
            <v>0.1048322860059791</v>
          </cell>
          <cell r="R12">
            <v>0.10511118965753116</v>
          </cell>
          <cell r="S12">
            <v>0.10539107237185964</v>
          </cell>
          <cell r="T12">
            <v>0.10567193849868049</v>
          </cell>
          <cell r="U12">
            <v>0.10595379240969832</v>
          </cell>
          <cell r="V12">
            <v>0.10623663849872368</v>
          </cell>
          <cell r="W12">
            <v>0.10652048118179101</v>
          </cell>
          <cell r="X12">
            <v>0.10680532489727719</v>
          </cell>
          <cell r="Y12">
            <v>0.10709117410602079</v>
          </cell>
          <cell r="Z12">
            <v>0.10737803329144194</v>
          </cell>
          <cell r="AA12">
            <v>0.10766590695966284</v>
          </cell>
          <cell r="AB12">
            <v>0.10795479963962901</v>
          </cell>
          <cell r="AC12">
            <v>0.10824471588323102</v>
          </cell>
          <cell r="AD12">
            <v>0.10853566026542708</v>
          </cell>
          <cell r="AE12">
            <v>0.10882763738436617</v>
          </cell>
          <cell r="AF12">
            <v>0.10912065186151189</v>
          </cell>
          <cell r="AG12">
            <v>0.10941470834176699</v>
          </cell>
          <cell r="AH12">
            <v>0.10970981149359857</v>
          </cell>
          <cell r="AI12">
            <v>0.11000596600916392</v>
          </cell>
          <cell r="AJ12">
            <v>0.11030317660443709</v>
          </cell>
          <cell r="AK12">
            <v>0.11060144801933616</v>
          </cell>
          <cell r="AL12">
            <v>0.11090078501785119</v>
          </cell>
          <cell r="AM12">
            <v>0.11120119238817279</v>
          </cell>
          <cell r="AN12">
            <v>0.11150267494282154</v>
          </cell>
          <cell r="AO12">
            <v>0.11180523751877798</v>
          </cell>
          <cell r="AP12">
            <v>0.1121088849776134</v>
          </cell>
          <cell r="AQ12">
            <v>0.11241362220562125</v>
          </cell>
          <cell r="AR12">
            <v>0.11271945411394936</v>
          </cell>
          <cell r="AS12">
            <v>0.11302638563873284</v>
          </cell>
          <cell r="AT12">
            <v>0.11333442174122771</v>
          </cell>
          <cell r="AU12">
            <v>0.11364356740794518</v>
          </cell>
          <cell r="AV12">
            <v>0.11395382765078677</v>
          </cell>
          <cell r="AW12">
            <v>0.11426520750718018</v>
          </cell>
          <cell r="AX12">
            <v>0.1145777120402158</v>
          </cell>
          <cell r="AY12">
            <v>0.11489134633878396</v>
          </cell>
          <cell r="AZ12">
            <v>0.11520611551771309</v>
          </cell>
          <cell r="BA12">
            <v>0.11552202471790841</v>
          </cell>
          <cell r="BB12">
            <v>0.11583907910649156</v>
          </cell>
          <cell r="BC12">
            <v>0.11615728387694088</v>
          </cell>
          <cell r="BD12">
            <v>0.11647664424923249</v>
          </cell>
          <cell r="BE12">
            <v>0.11679716546998217</v>
          </cell>
          <cell r="BF12">
            <v>0.11711885281258791</v>
          </cell>
          <cell r="BG12">
            <v>0.11744171157737343</v>
          </cell>
          <cell r="BH12">
            <v>0.11776574709173224</v>
          </cell>
          <cell r="BI12">
            <v>0.11809096471027261</v>
          </cell>
          <cell r="BJ12">
            <v>0.11841736981496344</v>
          </cell>
          <cell r="BK12">
            <v>0.1187449678152807</v>
          </cell>
          <cell r="BL12">
            <v>0.1190737641483548</v>
          </cell>
          <cell r="BM12">
            <v>0.11940376427911875</v>
          </cell>
          <cell r="BN12">
            <v>0.11973497370045716</v>
          </cell>
          <cell r="BO12">
            <v>0.12006739793335586</v>
          </cell>
          <cell r="BP12">
            <v>0.12040104252705273</v>
          </cell>
          <cell r="BQ12">
            <v>0.12073591305918886</v>
          </cell>
          <cell r="BR12">
            <v>0.12107201513596093</v>
          </cell>
          <cell r="BS12">
            <v>0.12140935439227424</v>
          </cell>
          <cell r="BT12">
            <v>0.12174793649189651</v>
          </cell>
          <cell r="BU12">
            <v>0.12208776712761281</v>
          </cell>
          <cell r="BV12">
            <v>0.12242885202138093</v>
          </cell>
          <cell r="BW12">
            <v>0.12277119692448793</v>
          </cell>
          <cell r="BX12">
            <v>0.12311480761770738</v>
          </cell>
          <cell r="BY12">
            <v>0.1234596899114575</v>
          </cell>
          <cell r="BZ12">
            <v>0.12380584964596011</v>
          </cell>
          <cell r="CA12">
            <v>0.12415329269140063</v>
          </cell>
          <cell r="CB12">
            <v>0.12450202494808861</v>
          </cell>
          <cell r="CC12">
            <v>0.1248520523466195</v>
          </cell>
          <cell r="CD12">
            <v>0.12520338084803712</v>
          </cell>
          <cell r="CE12">
            <v>0.12555601644399692</v>
          </cell>
          <cell r="CF12">
            <v>0.12590996515693043</v>
          </cell>
          <cell r="CG12">
            <v>0.12626523304021026</v>
          </cell>
          <cell r="CH12">
            <v>0.1266218261783163</v>
          </cell>
          <cell r="CI12">
            <v>0.12697975068700257</v>
          </cell>
          <cell r="CJ12">
            <v>0.12733901271346515</v>
          </cell>
          <cell r="CK12">
            <v>0.12769961843651106</v>
          </cell>
          <cell r="CL12">
            <v>0.1280615740667278</v>
          </cell>
          <cell r="CM12">
            <v>0.1284248858466541</v>
          </cell>
          <cell r="CN12">
            <v>0.12878956005095152</v>
          </cell>
          <cell r="CO12">
            <v>0.12915560298657686</v>
          </cell>
          <cell r="CP12">
            <v>0.12952302099295576</v>
          </cell>
          <cell r="CQ12">
            <v>0.12989182044215691</v>
          </cell>
          <cell r="CR12">
            <v>0.13026200773906751</v>
          </cell>
        </row>
        <row r="15">
          <cell r="E15">
            <v>0.10220445271633355</v>
          </cell>
          <cell r="F15">
            <v>0.10288581477712908</v>
          </cell>
          <cell r="G15">
            <v>0.10349909364574203</v>
          </cell>
          <cell r="H15">
            <v>0.10411628765773362</v>
          </cell>
          <cell r="I15">
            <v>0.10473742381962076</v>
          </cell>
          <cell r="J15">
            <v>0.10536252933878071</v>
          </cell>
          <cell r="K15">
            <v>0.10599163162504248</v>
          </cell>
          <cell r="L15">
            <v>0.10662475829229168</v>
          </cell>
          <cell r="M15">
            <v>0.10726193716008846</v>
          </cell>
          <cell r="N15">
            <v>0.10790319625529915</v>
          </cell>
          <cell r="O15">
            <v>0.10854856381374131</v>
          </cell>
          <cell r="P15">
            <v>0.10919806828184239</v>
          </cell>
          <cell r="Q15">
            <v>0.10985173831831241</v>
          </cell>
          <cell r="R15">
            <v>0.11050960279583032</v>
          </cell>
          <cell r="S15">
            <v>0.11117169080274454</v>
          </cell>
          <cell r="T15">
            <v>0.11183803164478759</v>
          </cell>
          <cell r="U15">
            <v>0.11250865484680499</v>
          </cell>
          <cell r="V15">
            <v>0.11318359015449861</v>
          </cell>
          <cell r="W15">
            <v>0.11386286753618445</v>
          </cell>
          <cell r="X15">
            <v>0.11454651718456516</v>
          </cell>
          <cell r="Y15">
            <v>0.11523456951851727</v>
          </cell>
          <cell r="Z15">
            <v>0.1159270551848933</v>
          </cell>
          <cell r="AA15">
            <v>0.116624005060339</v>
          </cell>
          <cell r="AB15">
            <v>0.1173254502531256</v>
          </cell>
          <cell r="AC15">
            <v>0.11803142210499745</v>
          </cell>
          <cell r="AD15">
            <v>0.11874195219303504</v>
          </cell>
          <cell r="AE15">
            <v>0.11945707233153359</v>
          </cell>
          <cell r="AF15">
            <v>0.12017681457389721</v>
          </cell>
          <cell r="AG15">
            <v>0.12090121121454911</v>
          </cell>
          <cell r="AH15">
            <v>0.12163029479085752</v>
          </cell>
          <cell r="AI15">
            <v>0.12236409808507782</v>
          </cell>
          <cell r="AJ15">
            <v>0.12310265412631093</v>
          </cell>
          <cell r="AK15">
            <v>0.12384599619247792</v>
          </cell>
          <cell r="AL15">
            <v>0.12459415781231134</v>
          </cell>
          <cell r="AM15">
            <v>0.12534717276736301</v>
          </cell>
          <cell r="AN15">
            <v>0.12610507509402877</v>
          </cell>
          <cell r="AO15">
            <v>0.12686789908558996</v>
          </cell>
          <cell r="AP15">
            <v>0.12763567929427219</v>
          </cell>
          <cell r="AQ15">
            <v>0.12840845053332128</v>
          </cell>
          <cell r="AR15">
            <v>0.12918624787909652</v>
          </cell>
          <cell r="AS15">
            <v>0.12996910667318151</v>
          </cell>
          <cell r="AT15">
            <v>0.13075706252451266</v>
          </cell>
          <cell r="AU15">
            <v>0.13155015131152564</v>
          </cell>
          <cell r="AV15">
            <v>0.13234840918431953</v>
          </cell>
          <cell r="AW15">
            <v>0.13315187256683952</v>
          </cell>
          <cell r="AX15">
            <v>0.1339605781590775</v>
          </cell>
          <cell r="AY15">
            <v>0.13477456293929144</v>
          </cell>
          <cell r="AZ15">
            <v>0.13559386416624314</v>
          </cell>
          <cell r="BA15">
            <v>0.13641851938145494</v>
          </cell>
          <cell r="BB15">
            <v>0.13724856641148525</v>
          </cell>
          <cell r="BC15">
            <v>0.13808404337022323</v>
          </cell>
          <cell r="BD15">
            <v>0.13892498866120273</v>
          </cell>
          <cell r="BE15">
            <v>0.13977144097993577</v>
          </cell>
          <cell r="BF15">
            <v>0.14062343931626531</v>
          </cell>
          <cell r="BG15">
            <v>0.14148102295673812</v>
          </cell>
          <cell r="BH15">
            <v>0.14234423148699754</v>
          </cell>
          <cell r="BI15">
            <v>0.14321310479419616</v>
          </cell>
          <cell r="BJ15">
            <v>0.14408768306942901</v>
          </cell>
          <cell r="BK15">
            <v>0.14496800681018707</v>
          </cell>
          <cell r="BL15">
            <v>0.14585411682283142</v>
          </cell>
          <cell r="BM15">
            <v>0.14674605422508835</v>
          </cell>
          <cell r="BN15">
            <v>0.14764386044856537</v>
          </cell>
          <cell r="BO15">
            <v>0.14854757724128834</v>
          </cell>
          <cell r="BP15">
            <v>0.14945724667026003</v>
          </cell>
          <cell r="BQ15">
            <v>0.15037291112404033</v>
          </cell>
          <cell r="BR15">
            <v>0.15129461331534796</v>
          </cell>
          <cell r="BS15">
            <v>0.15222239628368431</v>
          </cell>
          <cell r="BT15">
            <v>0.15315630339797934</v>
          </cell>
          <cell r="BU15">
            <v>0.15409637835925968</v>
          </cell>
          <cell r="BV15">
            <v>0.15504266520333931</v>
          </cell>
          <cell r="BW15">
            <v>0.15599520830353308</v>
          </cell>
          <cell r="BX15">
            <v>0.15695405237339274</v>
          </cell>
          <cell r="BY15">
            <v>0.15791924246946645</v>
          </cell>
          <cell r="BZ15">
            <v>0.15889082399408133</v>
          </cell>
          <cell r="CA15">
            <v>0.1598688426981496</v>
          </cell>
          <cell r="CB15">
            <v>0.16085334468399837</v>
          </cell>
          <cell r="CC15">
            <v>0.16184437640822336</v>
          </cell>
          <cell r="CD15">
            <v>0.1628419846845667</v>
          </cell>
          <cell r="CE15">
            <v>0.16384621668681906</v>
          </cell>
          <cell r="CF15">
            <v>0.16485711995174623</v>
          </cell>
          <cell r="CG15">
            <v>0.16587474238204061</v>
          </cell>
          <cell r="CH15">
            <v>0.16689913224929739</v>
          </cell>
          <cell r="CI15">
            <v>0.16793033819701619</v>
          </cell>
          <cell r="CJ15">
            <v>0.16896840924362785</v>
          </cell>
          <cell r="CK15">
            <v>0.17001339478554689</v>
          </cell>
          <cell r="CL15">
            <v>0.17106534460024991</v>
          </cell>
          <cell r="CM15">
            <v>0.17212430884937988</v>
          </cell>
          <cell r="CN15">
            <v>0.17319033808187673</v>
          </cell>
          <cell r="CO15">
            <v>0.17426348323713464</v>
          </cell>
          <cell r="CP15">
            <v>0.17534379564818575</v>
          </cell>
          <cell r="CQ15">
            <v>0.17643132704491121</v>
          </cell>
          <cell r="CR15">
            <v>0.17752612955727892</v>
          </cell>
        </row>
      </sheetData>
      <sheetData sheetId="16">
        <row r="6">
          <cell r="B6" t="str">
            <v>Axial Housed</v>
          </cell>
        </row>
      </sheetData>
      <sheetData sheetId="17">
        <row r="7">
          <cell r="E7">
            <v>1415.39</v>
          </cell>
        </row>
      </sheetData>
      <sheetData sheetId="1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anaee Iyama" refreshedDate="42661.669520138887" createdVersion="1" refreshedVersion="5" recordCount="756">
  <cacheSource type="worksheet">
    <worksheetSource ref="A4:J760" sheet="All Scenarios"/>
  </cacheSource>
  <cacheFields count="10">
    <cacheField name="TSL" numFmtId="0">
      <sharedItems containsSemiMixedTypes="0" containsString="0" containsNumber="1" containsInteger="1" minValue="1" maxValue="6" count="6">
        <n v="1"/>
        <n v="2"/>
        <n v="3"/>
        <n v="4"/>
        <n v="5"/>
        <n v="6"/>
      </sharedItems>
    </cacheField>
    <cacheField name="Price Trend" numFmtId="0">
      <sharedItems count="3">
        <s v="Constant"/>
        <s v="Decr"/>
        <s v="Incr"/>
      </sharedItems>
    </cacheField>
    <cacheField name="Prod Class" numFmtId="0">
      <sharedItems count="7">
        <s v="Axial Cylindrical Housed"/>
        <s v="Panel"/>
        <s v="Centrif Housed"/>
        <s v="Centrif Unhous"/>
        <s v="Inline-Mixed"/>
        <s v="Radial"/>
        <s v="Power Roof Vent"/>
      </sharedItems>
    </cacheField>
    <cacheField name="AEO Scen" numFmtId="0">
      <sharedItems count="3">
        <s v="Reference"/>
        <s v="Low"/>
        <s v="High"/>
      </sharedItems>
    </cacheField>
    <cacheField name="Disc Rate" numFmtId="9">
      <sharedItems containsSemiMixedTypes="0" containsString="0" containsNumber="1" minValue="0.03" maxValue="7.0000000000000007E-2" count="2">
        <n v="0.03"/>
        <n v="7.0000000000000007E-2"/>
      </sharedItems>
    </cacheField>
    <cacheField name="NPV" numFmtId="165">
      <sharedItems containsSemiMixedTypes="0" containsString="0" containsNumber="1" minValue="36.562841305607634" maxValue="30127.676498116041"/>
    </cacheField>
    <cacheField name="Incr Equipment Costs" numFmtId="165">
      <sharedItems containsSemiMixedTypes="0" containsString="0" containsNumber="1" minValue="41.260317964457002" maxValue="5310.7543227738688"/>
    </cacheField>
    <cacheField name="Operating Cost Savings" numFmtId="165">
      <sharedItems containsSemiMixedTypes="0" containsString="0" containsNumber="1" minValue="201.50971363011345" maxValue="32323.28513450786"/>
    </cacheField>
    <cacheField name="FFC Energy Savings" numFmtId="165">
      <sharedItems containsSemiMixedTypes="0" containsString="0" containsNumber="1" minValue="0.12917213979329051" maxValue="5.6476908766082117"/>
    </cacheField>
    <cacheField name="Electricity" numFmtId="165">
      <sharedItems containsSemiMixedTypes="0" containsString="0" containsNumber="1" minValue="0.12917213979329051" maxValue="5.647690876608211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56">
  <r>
    <x v="0"/>
    <x v="0"/>
    <x v="0"/>
    <x v="0"/>
    <x v="0"/>
    <n v="638.26824424351128"/>
    <n v="195.27972759336649"/>
    <n v="833.54797183687776"/>
    <n v="0.17131690688005555"/>
    <n v="0.17131690688005555"/>
  </r>
  <r>
    <x v="0"/>
    <x v="0"/>
    <x v="1"/>
    <x v="0"/>
    <x v="0"/>
    <n v="1753.7266816799236"/>
    <n v="149.28459977867456"/>
    <n v="1903.0112814585982"/>
    <n v="0.37571160354087185"/>
    <n v="0.37571160354087185"/>
  </r>
  <r>
    <x v="0"/>
    <x v="0"/>
    <x v="2"/>
    <x v="0"/>
    <x v="0"/>
    <n v="2240.2664631358925"/>
    <n v="736.04135212031167"/>
    <n v="2976.3078152562043"/>
    <n v="0.5654174348305987"/>
    <n v="0.5654174348305987"/>
  </r>
  <r>
    <x v="0"/>
    <x v="0"/>
    <x v="3"/>
    <x v="0"/>
    <x v="0"/>
    <n v="753.87999235305927"/>
    <n v="229.26718373364724"/>
    <n v="983.14717608670651"/>
    <n v="0.18308927263304753"/>
    <n v="0.18308927263304753"/>
  </r>
  <r>
    <x v="0"/>
    <x v="0"/>
    <x v="4"/>
    <x v="0"/>
    <x v="0"/>
    <n v="444.26731384565204"/>
    <n v="243.52373098781783"/>
    <n v="687.79104483346987"/>
    <n v="0.14053902461993106"/>
    <n v="0.14053902461993106"/>
  </r>
  <r>
    <x v="0"/>
    <x v="0"/>
    <x v="5"/>
    <x v="0"/>
    <x v="0"/>
    <n v="1338.4450275479912"/>
    <n v="87.253661838750233"/>
    <n v="1425.6986893867415"/>
    <n v="0.29969126210323732"/>
    <n v="0.29969126210323732"/>
  </r>
  <r>
    <x v="0"/>
    <x v="0"/>
    <x v="6"/>
    <x v="0"/>
    <x v="0"/>
    <n v="1390.6713099198155"/>
    <n v="641.76654280935736"/>
    <n v="2032.4378527291728"/>
    <n v="0.43080853441933098"/>
    <n v="0.43080853441933098"/>
  </r>
  <r>
    <x v="0"/>
    <x v="0"/>
    <x v="0"/>
    <x v="0"/>
    <x v="1"/>
    <n v="176.0519261838582"/>
    <n v="100.37711812932456"/>
    <n v="276.42904431318277"/>
    <n v="0.17131690688005555"/>
    <n v="0.17131690688005555"/>
  </r>
  <r>
    <x v="0"/>
    <x v="0"/>
    <x v="1"/>
    <x v="0"/>
    <x v="1"/>
    <n v="582.72283380951455"/>
    <n v="76.734836183691868"/>
    <n v="659.45766999320642"/>
    <n v="0.37571160354087185"/>
    <n v="0.37571160354087185"/>
  </r>
  <r>
    <x v="0"/>
    <x v="0"/>
    <x v="2"/>
    <x v="0"/>
    <x v="1"/>
    <n v="703.90123003701842"/>
    <n v="378.33783701139305"/>
    <n v="1082.2390670484115"/>
    <n v="0.5654174348305987"/>
    <n v="0.5654174348305987"/>
  </r>
  <r>
    <x v="0"/>
    <x v="0"/>
    <x v="3"/>
    <x v="0"/>
    <x v="1"/>
    <n v="247.03679234338415"/>
    <n v="117.84725157303853"/>
    <n v="364.88404391642268"/>
    <n v="0.18308927263304753"/>
    <n v="0.18308927263304753"/>
  </r>
  <r>
    <x v="0"/>
    <x v="0"/>
    <x v="4"/>
    <x v="0"/>
    <x v="1"/>
    <n v="105.3823649714187"/>
    <n v="125.17536056563202"/>
    <n v="230.55772553705071"/>
    <n v="0.14053902461993106"/>
    <n v="0.14053902461993106"/>
  </r>
  <r>
    <x v="0"/>
    <x v="0"/>
    <x v="5"/>
    <x v="0"/>
    <x v="1"/>
    <n v="415.32887669421171"/>
    <n v="44.849873714704451"/>
    <n v="460.17875040891619"/>
    <n v="0.29969126210323732"/>
    <n v="0.29969126210323732"/>
  </r>
  <r>
    <x v="0"/>
    <x v="0"/>
    <x v="6"/>
    <x v="0"/>
    <x v="1"/>
    <n v="329.377097272009"/>
    <n v="329.87897347523415"/>
    <n v="659.25607074724314"/>
    <n v="0.43080853441933098"/>
    <n v="0.43080853441933098"/>
  </r>
  <r>
    <x v="0"/>
    <x v="0"/>
    <x v="0"/>
    <x v="1"/>
    <x v="0"/>
    <n v="538.92358328166506"/>
    <n v="180.28574924659932"/>
    <n v="719.20933252826433"/>
    <n v="0.15746079933192952"/>
    <n v="0.15746079933192952"/>
  </r>
  <r>
    <x v="0"/>
    <x v="0"/>
    <x v="1"/>
    <x v="1"/>
    <x v="0"/>
    <n v="1507.3654512181715"/>
    <n v="137.82222176241558"/>
    <n v="1645.1876729805872"/>
    <n v="0.34532641461828845"/>
    <n v="0.34532641461828845"/>
  </r>
  <r>
    <x v="0"/>
    <x v="0"/>
    <x v="2"/>
    <x v="1"/>
    <x v="0"/>
    <n v="1898.3966033715742"/>
    <n v="679.52658618926796"/>
    <n v="2577.9231895608423"/>
    <n v="0.51969725366024877"/>
    <n v="0.51969725366024877"/>
  </r>
  <r>
    <x v="0"/>
    <x v="0"/>
    <x v="3"/>
    <x v="1"/>
    <x v="0"/>
    <n v="640.583493247457"/>
    <n v="211.66357873638498"/>
    <n v="852.24707198384192"/>
    <n v="0.16828569710939958"/>
    <n v="0.16828569710939958"/>
  </r>
  <r>
    <x v="0"/>
    <x v="0"/>
    <x v="4"/>
    <x v="1"/>
    <x v="0"/>
    <n v="368.98851407538973"/>
    <n v="224.82547902712986"/>
    <n v="593.81399310251959"/>
    <n v="0.12917213979329051"/>
    <n v="0.12917213979329051"/>
  </r>
  <r>
    <x v="0"/>
    <x v="0"/>
    <x v="5"/>
    <x v="1"/>
    <x v="0"/>
    <n v="1148.2573333202561"/>
    <n v="80.554146572062592"/>
    <n v="1228.8114798923186"/>
    <n v="0.27545077581107114"/>
    <n v="0.27545077581107114"/>
  </r>
  <r>
    <x v="0"/>
    <x v="0"/>
    <x v="6"/>
    <x v="1"/>
    <x v="0"/>
    <n v="1159.6379836312055"/>
    <n v="592.49039026063792"/>
    <n v="1752.1283738918435"/>
    <n v="0.39596223341628395"/>
    <n v="0.39596223341628395"/>
  </r>
  <r>
    <x v="0"/>
    <x v="0"/>
    <x v="0"/>
    <x v="1"/>
    <x v="1"/>
    <n v="148.42925602714277"/>
    <n v="93.142672146442578"/>
    <n v="241.57192817358535"/>
    <n v="0.15746079933192952"/>
    <n v="0.15746079933192952"/>
  </r>
  <r>
    <x v="0"/>
    <x v="0"/>
    <x v="1"/>
    <x v="1"/>
    <x v="1"/>
    <n v="505.60904213428455"/>
    <n v="71.204352367041693"/>
    <n v="576.81339450132623"/>
    <n v="0.34532641461828845"/>
    <n v="0.34532641461828845"/>
  </r>
  <r>
    <x v="0"/>
    <x v="0"/>
    <x v="2"/>
    <x v="1"/>
    <x v="1"/>
    <n v="596.65430692754842"/>
    <n v="351.07002243224838"/>
    <n v="947.7243293597968"/>
    <n v="0.51969725366024877"/>
    <n v="0.51969725366024877"/>
  </r>
  <r>
    <x v="0"/>
    <x v="0"/>
    <x v="3"/>
    <x v="1"/>
    <x v="1"/>
    <n v="210.33402888912309"/>
    <n v="109.35368658905635"/>
    <n v="319.68771547817943"/>
    <n v="0.16828569710939958"/>
    <n v="0.16828569710939958"/>
  </r>
  <r>
    <x v="0"/>
    <x v="0"/>
    <x v="4"/>
    <x v="1"/>
    <x v="1"/>
    <n v="85.356074361890137"/>
    <n v="116.15363926822332"/>
    <n v="201.50971363011345"/>
    <n v="0.12917213979329051"/>
    <n v="0.12917213979329051"/>
  </r>
  <r>
    <x v="0"/>
    <x v="0"/>
    <x v="5"/>
    <x v="1"/>
    <x v="1"/>
    <n v="360.27758768494766"/>
    <n v="41.617423981388988"/>
    <n v="401.89501166633664"/>
    <n v="0.27545077581107114"/>
    <n v="0.27545077581107114"/>
  </r>
  <r>
    <x v="0"/>
    <x v="0"/>
    <x v="6"/>
    <x v="1"/>
    <x v="1"/>
    <n v="269.71379332230845"/>
    <n v="306.10371812848859"/>
    <n v="575.81751145079704"/>
    <n v="0.39596223341628395"/>
    <n v="0.39596223341628395"/>
  </r>
  <r>
    <x v="0"/>
    <x v="0"/>
    <x v="0"/>
    <x v="2"/>
    <x v="0"/>
    <n v="766.6732666103843"/>
    <n v="212.92402719048005"/>
    <n v="979.59729380086435"/>
    <n v="0.18734817077716737"/>
    <n v="0.18734817077716737"/>
  </r>
  <r>
    <x v="0"/>
    <x v="0"/>
    <x v="1"/>
    <x v="2"/>
    <x v="0"/>
    <n v="2065.8948617159954"/>
    <n v="162.77305675366048"/>
    <n v="2228.6679184696559"/>
    <n v="0.41086867817896727"/>
    <n v="0.41086867817896727"/>
  </r>
  <r>
    <x v="0"/>
    <x v="0"/>
    <x v="2"/>
    <x v="2"/>
    <x v="0"/>
    <n v="2671.5309789505336"/>
    <n v="802.54561394373172"/>
    <n v="3474.0765928942656"/>
    <n v="0.61832351033367772"/>
    <n v="0.61832351033367772"/>
  </r>
  <r>
    <x v="0"/>
    <x v="0"/>
    <x v="3"/>
    <x v="2"/>
    <x v="0"/>
    <n v="895.93433448928499"/>
    <n v="249.98238508832426"/>
    <n v="1145.9167195776092"/>
    <n v="0.20022047188520711"/>
    <n v="0.20022047188520711"/>
  </r>
  <r>
    <x v="0"/>
    <x v="0"/>
    <x v="4"/>
    <x v="2"/>
    <x v="0"/>
    <n v="541.86362522318825"/>
    <n v="265.5270680546497"/>
    <n v="807.39069327783795"/>
    <n v="0.15369027189799933"/>
    <n v="0.15369027189799933"/>
  </r>
  <r>
    <x v="0"/>
    <x v="0"/>
    <x v="5"/>
    <x v="2"/>
    <x v="0"/>
    <n v="1583.5432263826303"/>
    <n v="95.137377006736997"/>
    <n v="1678.6806033893674"/>
    <n v="0.32773588595551323"/>
    <n v="0.32773588595551323"/>
  </r>
  <r>
    <x v="0"/>
    <x v="0"/>
    <x v="6"/>
    <x v="2"/>
    <x v="0"/>
    <n v="1692.4405746309894"/>
    <n v="699.75270088261743"/>
    <n v="2392.1932755136067"/>
    <n v="0.47112315677188316"/>
    <n v="0.47112315677188316"/>
  </r>
  <r>
    <x v="0"/>
    <x v="0"/>
    <x v="0"/>
    <x v="2"/>
    <x v="1"/>
    <n v="210.43297867253986"/>
    <n v="109.10219173971879"/>
    <n v="319.53517041225865"/>
    <n v="0.18734817077716737"/>
    <n v="0.18734817077716737"/>
  </r>
  <r>
    <x v="0"/>
    <x v="0"/>
    <x v="1"/>
    <x v="2"/>
    <x v="1"/>
    <n v="677.67791291244907"/>
    <n v="83.404853281828252"/>
    <n v="761.08276619427727"/>
    <n v="0.41086867817896727"/>
    <n v="0.41086867817896727"/>
  </r>
  <r>
    <x v="0"/>
    <x v="0"/>
    <x v="2"/>
    <x v="2"/>
    <x v="1"/>
    <n v="835.20881870148003"/>
    <n v="411.22407183304574"/>
    <n v="1246.4328905345258"/>
    <n v="0.61832351033367772"/>
    <n v="0.61832351033367772"/>
  </r>
  <r>
    <x v="0"/>
    <x v="0"/>
    <x v="3"/>
    <x v="2"/>
    <x v="1"/>
    <n v="291.78989943281113"/>
    <n v="128.09088043905828"/>
    <n v="419.88077987186944"/>
    <n v="0.20022047188520711"/>
    <n v="0.20022047188520711"/>
  </r>
  <r>
    <x v="0"/>
    <x v="0"/>
    <x v="4"/>
    <x v="2"/>
    <x v="1"/>
    <n v="130.39250871121362"/>
    <n v="136.05597016567708"/>
    <n v="266.4484788768907"/>
    <n v="0.15369027189799933"/>
    <n v="0.15369027189799933"/>
  </r>
  <r>
    <x v="0"/>
    <x v="0"/>
    <x v="5"/>
    <x v="2"/>
    <x v="1"/>
    <n v="483.79007386041491"/>
    <n v="48.748356325786325"/>
    <n v="532.53843018620125"/>
    <n v="0.32773588595551323"/>
    <n v="0.32773588595551323"/>
  </r>
  <r>
    <x v="0"/>
    <x v="0"/>
    <x v="6"/>
    <x v="2"/>
    <x v="1"/>
    <n v="404.22585560635184"/>
    <n v="358.55302170188747"/>
    <n v="762.77887730823932"/>
    <n v="0.47112315677188316"/>
    <n v="0.47112315677188316"/>
  </r>
  <r>
    <x v="0"/>
    <x v="1"/>
    <x v="0"/>
    <x v="0"/>
    <x v="0"/>
    <n v="639.84774544402694"/>
    <n v="193.70022639285085"/>
    <n v="833.54797183687776"/>
    <n v="0.17131690688005555"/>
    <n v="0.17131690688005555"/>
  </r>
  <r>
    <x v="0"/>
    <x v="1"/>
    <x v="1"/>
    <x v="0"/>
    <x v="0"/>
    <n v="1754.9341557350895"/>
    <n v="148.07712572350877"/>
    <n v="1903.0112814585982"/>
    <n v="0.37571160354087185"/>
    <n v="0.37571160354087185"/>
  </r>
  <r>
    <x v="0"/>
    <x v="1"/>
    <x v="2"/>
    <x v="0"/>
    <x v="0"/>
    <n v="2246.219862465312"/>
    <n v="730.08795279089259"/>
    <n v="2976.3078152562043"/>
    <n v="0.5654174348305987"/>
    <n v="0.5654174348305987"/>
  </r>
  <r>
    <x v="0"/>
    <x v="1"/>
    <x v="3"/>
    <x v="0"/>
    <x v="0"/>
    <n v="755.73439780727267"/>
    <n v="227.41277827943387"/>
    <n v="983.14717608670651"/>
    <n v="0.18308927263304753"/>
    <n v="0.18308927263304753"/>
  </r>
  <r>
    <x v="0"/>
    <x v="1"/>
    <x v="4"/>
    <x v="0"/>
    <x v="0"/>
    <n v="446.23703200426337"/>
    <n v="241.55401282920647"/>
    <n v="687.79104483346987"/>
    <n v="0.14053902461993106"/>
    <n v="0.14053902461993106"/>
  </r>
  <r>
    <x v="0"/>
    <x v="1"/>
    <x v="5"/>
    <x v="0"/>
    <x v="0"/>
    <n v="1339.1507703576629"/>
    <n v="86.547919029078713"/>
    <n v="1425.6986893867415"/>
    <n v="0.29969126210323732"/>
    <n v="0.29969126210323732"/>
  </r>
  <r>
    <x v="0"/>
    <x v="1"/>
    <x v="6"/>
    <x v="0"/>
    <x v="0"/>
    <n v="1395.86217656691"/>
    <n v="636.57567616226277"/>
    <n v="2032.4378527291728"/>
    <n v="0.43080853441933098"/>
    <n v="0.43080853441933098"/>
  </r>
  <r>
    <x v="0"/>
    <x v="1"/>
    <x v="0"/>
    <x v="0"/>
    <x v="1"/>
    <n v="176.91143157692147"/>
    <n v="99.517612736261299"/>
    <n v="276.42904431318277"/>
    <n v="0.17131690688005555"/>
    <n v="0.17131690688005555"/>
  </r>
  <r>
    <x v="0"/>
    <x v="1"/>
    <x v="1"/>
    <x v="0"/>
    <x v="1"/>
    <n v="583.37989596436455"/>
    <n v="76.077774028841901"/>
    <n v="659.45766999320642"/>
    <n v="0.37571160354087185"/>
    <n v="0.37571160354087185"/>
  </r>
  <r>
    <x v="0"/>
    <x v="1"/>
    <x v="2"/>
    <x v="0"/>
    <x v="1"/>
    <n v="707.14084696736609"/>
    <n v="375.09822008104533"/>
    <n v="1082.2390670484115"/>
    <n v="0.5654174348305987"/>
    <n v="0.5654174348305987"/>
  </r>
  <r>
    <x v="0"/>
    <x v="1"/>
    <x v="3"/>
    <x v="0"/>
    <x v="1"/>
    <n v="248.04589033476412"/>
    <n v="116.83815358165856"/>
    <n v="364.88404391642268"/>
    <n v="0.18308927263304753"/>
    <n v="0.18308927263304753"/>
  </r>
  <r>
    <x v="0"/>
    <x v="1"/>
    <x v="4"/>
    <x v="0"/>
    <x v="1"/>
    <n v="106.45421181749168"/>
    <n v="124.10351371955903"/>
    <n v="230.55772553705071"/>
    <n v="0.14053902461993106"/>
    <n v="0.14053902461993106"/>
  </r>
  <r>
    <x v="0"/>
    <x v="1"/>
    <x v="5"/>
    <x v="0"/>
    <x v="1"/>
    <n v="415.71291549762026"/>
    <n v="44.465834911295921"/>
    <n v="460.17875040891619"/>
    <n v="0.29969126210323732"/>
    <n v="0.29969126210323732"/>
  </r>
  <r>
    <x v="0"/>
    <x v="1"/>
    <x v="6"/>
    <x v="0"/>
    <x v="1"/>
    <n v="332.20177247731658"/>
    <n v="327.05429826992656"/>
    <n v="659.25607074724314"/>
    <n v="0.43080853441933098"/>
    <n v="0.43080853441933098"/>
  </r>
  <r>
    <x v="0"/>
    <x v="1"/>
    <x v="0"/>
    <x v="1"/>
    <x v="0"/>
    <n v="540.38447797670494"/>
    <n v="178.82485455155938"/>
    <n v="719.20933252826433"/>
    <n v="0.15746079933192952"/>
    <n v="0.15746079933192952"/>
  </r>
  <r>
    <x v="0"/>
    <x v="1"/>
    <x v="1"/>
    <x v="1"/>
    <x v="0"/>
    <n v="1508.4822547008243"/>
    <n v="136.70541827976274"/>
    <n v="1645.1876729805872"/>
    <n v="0.34532641461828845"/>
    <n v="0.34532641461828845"/>
  </r>
  <r>
    <x v="0"/>
    <x v="1"/>
    <x v="2"/>
    <x v="1"/>
    <x v="0"/>
    <n v="1903.9029553103787"/>
    <n v="674.02023425046366"/>
    <n v="2577.9231895608423"/>
    <n v="0.51969725366024877"/>
    <n v="0.51969725366024877"/>
  </r>
  <r>
    <x v="0"/>
    <x v="1"/>
    <x v="3"/>
    <x v="1"/>
    <x v="0"/>
    <n v="642.29864932940791"/>
    <n v="209.94842265443401"/>
    <n v="852.24707198384192"/>
    <n v="0.16828569710939958"/>
    <n v="0.16828569710939958"/>
  </r>
  <r>
    <x v="0"/>
    <x v="1"/>
    <x v="4"/>
    <x v="1"/>
    <x v="0"/>
    <n v="370.81032390225153"/>
    <n v="223.00366920026809"/>
    <n v="593.81399310251959"/>
    <n v="0.12917213979329051"/>
    <n v="0.12917213979329051"/>
  </r>
  <r>
    <x v="0"/>
    <x v="1"/>
    <x v="5"/>
    <x v="1"/>
    <x v="0"/>
    <n v="1148.9100811158103"/>
    <n v="79.901398776508415"/>
    <n v="1228.8114798923186"/>
    <n v="0.27545077581107114"/>
    <n v="0.27545077581107114"/>
  </r>
  <r>
    <x v="0"/>
    <x v="1"/>
    <x v="6"/>
    <x v="1"/>
    <x v="0"/>
    <n v="1164.4390623166316"/>
    <n v="587.68931157521183"/>
    <n v="1752.1283738918435"/>
    <n v="0.39596223341628395"/>
    <n v="0.39596223341628395"/>
  </r>
  <r>
    <x v="0"/>
    <x v="1"/>
    <x v="0"/>
    <x v="1"/>
    <x v="1"/>
    <n v="149.22848398203746"/>
    <n v="92.343444191547889"/>
    <n v="241.57192817358535"/>
    <n v="0.15746079933192952"/>
    <n v="0.15746079933192952"/>
  </r>
  <r>
    <x v="0"/>
    <x v="1"/>
    <x v="1"/>
    <x v="1"/>
    <x v="1"/>
    <n v="506.22002427179956"/>
    <n v="70.59337022952667"/>
    <n v="576.81339450132623"/>
    <n v="0.34532641461828845"/>
    <n v="0.34532641461828845"/>
  </r>
  <r>
    <x v="0"/>
    <x v="1"/>
    <x v="2"/>
    <x v="1"/>
    <x v="1"/>
    <n v="599.66672829776962"/>
    <n v="348.05760106202723"/>
    <n v="947.7243293597968"/>
    <n v="0.51969725366024877"/>
    <n v="0.51969725366024877"/>
  </r>
  <r>
    <x v="0"/>
    <x v="1"/>
    <x v="3"/>
    <x v="1"/>
    <x v="1"/>
    <n v="211.27235845685777"/>
    <n v="108.41535702132165"/>
    <n v="319.68771547817943"/>
    <n v="0.16828569710939958"/>
    <n v="0.16828569710939958"/>
  </r>
  <r>
    <x v="0"/>
    <x v="1"/>
    <x v="4"/>
    <x v="1"/>
    <x v="1"/>
    <n v="86.352752183415063"/>
    <n v="115.15696144669839"/>
    <n v="201.50971363011345"/>
    <n v="0.12917213979329051"/>
    <n v="0.12917213979329051"/>
  </r>
  <r>
    <x v="0"/>
    <x v="1"/>
    <x v="5"/>
    <x v="1"/>
    <x v="1"/>
    <n v="360.63469370187966"/>
    <n v="41.260317964457002"/>
    <n v="401.89501166633664"/>
    <n v="0.27545077581107114"/>
    <n v="0.27545077581107114"/>
  </r>
  <r>
    <x v="0"/>
    <x v="1"/>
    <x v="6"/>
    <x v="1"/>
    <x v="1"/>
    <n v="272.3403729875435"/>
    <n v="303.47713846325354"/>
    <n v="575.81751145079704"/>
    <n v="0.39596223341628395"/>
    <n v="0.39596223341628395"/>
  </r>
  <r>
    <x v="0"/>
    <x v="1"/>
    <x v="0"/>
    <x v="2"/>
    <x v="0"/>
    <n v="768.39434407906856"/>
    <n v="211.20294972179576"/>
    <n v="979.59729380086435"/>
    <n v="0.18734817077716737"/>
    <n v="0.18734817077716737"/>
  </r>
  <r>
    <x v="0"/>
    <x v="1"/>
    <x v="1"/>
    <x v="2"/>
    <x v="0"/>
    <n v="2067.2105659330532"/>
    <n v="161.45735253660249"/>
    <n v="2228.6679184696559"/>
    <n v="0.41086867817896727"/>
    <n v="0.41086867817896727"/>
  </r>
  <r>
    <x v="0"/>
    <x v="1"/>
    <x v="2"/>
    <x v="2"/>
    <x v="0"/>
    <n v="2678.0180024770739"/>
    <n v="796.05859041719168"/>
    <n v="3474.0765928942656"/>
    <n v="0.61832351033367772"/>
    <n v="0.61832351033367772"/>
  </r>
  <r>
    <x v="0"/>
    <x v="1"/>
    <x v="3"/>
    <x v="2"/>
    <x v="0"/>
    <n v="897.95495685032597"/>
    <n v="247.9617627272832"/>
    <n v="1145.9167195776092"/>
    <n v="0.20022047188520711"/>
    <n v="0.20022047188520711"/>
  </r>
  <r>
    <x v="0"/>
    <x v="1"/>
    <x v="4"/>
    <x v="2"/>
    <x v="0"/>
    <n v="544.00989617337029"/>
    <n v="263.38079710446766"/>
    <n v="807.39069327783795"/>
    <n v="0.15369027189799933"/>
    <n v="0.15369027189799933"/>
  </r>
  <r>
    <x v="0"/>
    <x v="1"/>
    <x v="5"/>
    <x v="2"/>
    <x v="0"/>
    <n v="1584.3122274115724"/>
    <n v="94.368375977795012"/>
    <n v="1678.6806033893674"/>
    <n v="0.32773588595551323"/>
    <n v="0.32773588595551323"/>
  </r>
  <r>
    <x v="0"/>
    <x v="1"/>
    <x v="6"/>
    <x v="2"/>
    <x v="0"/>
    <n v="1698.0967169791829"/>
    <n v="694.09655853442393"/>
    <n v="2392.1932755136067"/>
    <n v="0.47112315677188316"/>
    <n v="0.47112315677188316"/>
  </r>
  <r>
    <x v="0"/>
    <x v="1"/>
    <x v="0"/>
    <x v="2"/>
    <x v="1"/>
    <n v="211.36677820403884"/>
    <n v="108.16839220821983"/>
    <n v="319.53517041225865"/>
    <n v="0.18734817077716737"/>
    <n v="0.18734817077716737"/>
  </r>
  <r>
    <x v="0"/>
    <x v="1"/>
    <x v="1"/>
    <x v="2"/>
    <x v="1"/>
    <n v="678.3917703673485"/>
    <n v="82.690995826928713"/>
    <n v="761.08276619427727"/>
    <n v="0.41086867817896727"/>
    <n v="0.41086867817896727"/>
  </r>
  <r>
    <x v="0"/>
    <x v="1"/>
    <x v="2"/>
    <x v="2"/>
    <x v="1"/>
    <n v="838.72846243636468"/>
    <n v="407.70442809816103"/>
    <n v="1246.4328905345258"/>
    <n v="0.61832351033367772"/>
    <n v="0.61832351033367772"/>
  </r>
  <r>
    <x v="0"/>
    <x v="1"/>
    <x v="3"/>
    <x v="2"/>
    <x v="1"/>
    <n v="292.88622208441069"/>
    <n v="126.99455778745876"/>
    <n v="419.88077987186944"/>
    <n v="0.20022047188520711"/>
    <n v="0.20022047188520711"/>
  </r>
  <r>
    <x v="0"/>
    <x v="1"/>
    <x v="4"/>
    <x v="2"/>
    <x v="1"/>
    <n v="131.55700411843191"/>
    <n v="134.8914747584588"/>
    <n v="266.4484788768907"/>
    <n v="0.15369027189799933"/>
    <n v="0.15369027189799933"/>
  </r>
  <r>
    <x v="0"/>
    <x v="1"/>
    <x v="5"/>
    <x v="2"/>
    <x v="1"/>
    <n v="484.2073083043108"/>
    <n v="48.331121881890425"/>
    <n v="532.53843018620125"/>
    <n v="0.32773588595551323"/>
    <n v="0.32773588595551323"/>
  </r>
  <r>
    <x v="0"/>
    <x v="1"/>
    <x v="6"/>
    <x v="2"/>
    <x v="1"/>
    <n v="407.29469078137311"/>
    <n v="355.48418652686621"/>
    <n v="762.77887730823932"/>
    <n v="0.47112315677188316"/>
    <n v="0.47112315677188316"/>
  </r>
  <r>
    <x v="0"/>
    <x v="2"/>
    <x v="0"/>
    <x v="0"/>
    <x v="0"/>
    <n v="541.00399781031319"/>
    <n v="292.54397402656457"/>
    <n v="833.54797183687776"/>
    <n v="0.17131690688005555"/>
    <n v="0.17131690688005555"/>
  </r>
  <r>
    <x v="0"/>
    <x v="2"/>
    <x v="1"/>
    <x v="0"/>
    <x v="0"/>
    <n v="1679.3715282776739"/>
    <n v="223.63975318092446"/>
    <n v="1903.0112814585982"/>
    <n v="0.37571160354087185"/>
    <n v="0.37571160354087185"/>
  </r>
  <r>
    <x v="0"/>
    <x v="2"/>
    <x v="2"/>
    <x v="0"/>
    <x v="0"/>
    <n v="1873.6615505833352"/>
    <n v="1102.6462646728692"/>
    <n v="2976.3078152562043"/>
    <n v="0.5654174348305987"/>
    <n v="0.5654174348305987"/>
  </r>
  <r>
    <x v="0"/>
    <x v="2"/>
    <x v="3"/>
    <x v="0"/>
    <x v="0"/>
    <n v="639.68739216596475"/>
    <n v="343.45978392074176"/>
    <n v="983.14717608670651"/>
    <n v="0.18308927263304753"/>
    <n v="0.18308927263304753"/>
  </r>
  <r>
    <x v="0"/>
    <x v="2"/>
    <x v="4"/>
    <x v="0"/>
    <x v="0"/>
    <n v="322.97386226703878"/>
    <n v="364.81718256643109"/>
    <n v="687.79104483346987"/>
    <n v="0.14053902461993106"/>
    <n v="0.14053902461993106"/>
  </r>
  <r>
    <x v="0"/>
    <x v="2"/>
    <x v="5"/>
    <x v="0"/>
    <x v="0"/>
    <n v="1294.9860276206919"/>
    <n v="130.71266176604968"/>
    <n v="1425.6986893867415"/>
    <n v="0.29969126210323732"/>
    <n v="0.29969126210323732"/>
  </r>
  <r>
    <x v="0"/>
    <x v="2"/>
    <x v="6"/>
    <x v="0"/>
    <x v="0"/>
    <n v="1071.0224659682788"/>
    <n v="961.41538676089408"/>
    <n v="2032.4378527291728"/>
    <n v="0.43080853441933098"/>
    <n v="0.43080853441933098"/>
  </r>
  <r>
    <x v="0"/>
    <x v="2"/>
    <x v="0"/>
    <x v="0"/>
    <x v="1"/>
    <n v="133.54660422277433"/>
    <n v="142.88244009040844"/>
    <n v="276.42904431318277"/>
    <n v="0.17131690688005555"/>
    <n v="0.17131690688005555"/>
  </r>
  <r>
    <x v="0"/>
    <x v="2"/>
    <x v="1"/>
    <x v="0"/>
    <x v="1"/>
    <n v="550.2289848287478"/>
    <n v="109.22868516445864"/>
    <n v="659.45766999320642"/>
    <n v="0.37571160354087185"/>
    <n v="0.37571160354087185"/>
  </r>
  <r>
    <x v="0"/>
    <x v="2"/>
    <x v="2"/>
    <x v="0"/>
    <x v="1"/>
    <n v="543.69169352183314"/>
    <n v="538.54737352657833"/>
    <n v="1082.2390670484115"/>
    <n v="0.5654174348305987"/>
    <n v="0.5654174348305987"/>
  </r>
  <r>
    <x v="0"/>
    <x v="2"/>
    <x v="3"/>
    <x v="0"/>
    <x v="1"/>
    <n v="197.13363250284209"/>
    <n v="167.75041141358059"/>
    <n v="364.88404391642268"/>
    <n v="0.18308927263304753"/>
    <n v="0.18308927263304753"/>
  </r>
  <r>
    <x v="0"/>
    <x v="2"/>
    <x v="4"/>
    <x v="0"/>
    <x v="1"/>
    <n v="52.376071290204436"/>
    <n v="178.18165424684628"/>
    <n v="230.55772553705071"/>
    <n v="0.14053902461993106"/>
    <n v="0.14053902461993106"/>
  </r>
  <r>
    <x v="0"/>
    <x v="2"/>
    <x v="5"/>
    <x v="0"/>
    <x v="1"/>
    <n v="396.33691560103364"/>
    <n v="63.841834807882535"/>
    <n v="460.17875040891619"/>
    <n v="0.29969126210323732"/>
    <n v="0.29969126210323732"/>
  </r>
  <r>
    <x v="0"/>
    <x v="2"/>
    <x v="6"/>
    <x v="0"/>
    <x v="1"/>
    <n v="189.68777128746171"/>
    <n v="469.56829945978143"/>
    <n v="659.25607074724314"/>
    <n v="0.43080853441933098"/>
    <n v="0.43080853441933098"/>
  </r>
  <r>
    <x v="0"/>
    <x v="2"/>
    <x v="0"/>
    <x v="1"/>
    <x v="0"/>
    <n v="449.89113268475415"/>
    <n v="269.31819984351017"/>
    <n v="719.20933252826433"/>
    <n v="0.15746079933192952"/>
    <n v="0.15746079933192952"/>
  </r>
  <r>
    <x v="0"/>
    <x v="2"/>
    <x v="1"/>
    <x v="1"/>
    <x v="0"/>
    <n v="1439.3032211112611"/>
    <n v="205.88445186932606"/>
    <n v="1645.1876729805872"/>
    <n v="0.34532641461828845"/>
    <n v="0.34532641461828845"/>
  </r>
  <r>
    <x v="0"/>
    <x v="2"/>
    <x v="2"/>
    <x v="1"/>
    <x v="0"/>
    <n v="1562.8186807292836"/>
    <n v="1015.1045088315585"/>
    <n v="2577.9231895608423"/>
    <n v="0.51969725366024877"/>
    <n v="0.51969725366024877"/>
  </r>
  <r>
    <x v="0"/>
    <x v="2"/>
    <x v="3"/>
    <x v="1"/>
    <x v="0"/>
    <n v="536.05539163230628"/>
    <n v="316.19168035153564"/>
    <n v="852.24707198384192"/>
    <n v="0.16828569710939958"/>
    <n v="0.16828569710939958"/>
  </r>
  <r>
    <x v="0"/>
    <x v="2"/>
    <x v="4"/>
    <x v="1"/>
    <x v="0"/>
    <n v="257.96052967807481"/>
    <n v="335.85346342444478"/>
    <n v="593.81399310251959"/>
    <n v="0.12917213979329051"/>
    <n v="0.12917213979329051"/>
  </r>
  <r>
    <x v="0"/>
    <x v="2"/>
    <x v="5"/>
    <x v="1"/>
    <x v="0"/>
    <n v="1108.4764127260078"/>
    <n v="120.33506716631084"/>
    <n v="1228.8114798923186"/>
    <n v="0.27545077581107114"/>
    <n v="0.27545077581107114"/>
  </r>
  <r>
    <x v="0"/>
    <x v="2"/>
    <x v="6"/>
    <x v="1"/>
    <x v="0"/>
    <n v="867.04208173398695"/>
    <n v="885.08629215785652"/>
    <n v="1752.1283738918435"/>
    <n v="0.39596223341628395"/>
    <n v="0.39596223341628395"/>
  </r>
  <r>
    <x v="0"/>
    <x v="2"/>
    <x v="0"/>
    <x v="1"/>
    <x v="1"/>
    <n v="109.30235360584564"/>
    <n v="132.26957456773971"/>
    <n v="241.57192817358535"/>
    <n v="0.15746079933192952"/>
    <n v="0.15746079933192952"/>
  </r>
  <r>
    <x v="0"/>
    <x v="2"/>
    <x v="1"/>
    <x v="1"/>
    <x v="1"/>
    <n v="475.69787807989019"/>
    <n v="101.11551642143603"/>
    <n v="576.81339450132623"/>
    <n v="0.34532641461828845"/>
    <n v="0.34532641461828845"/>
  </r>
  <r>
    <x v="0"/>
    <x v="2"/>
    <x v="2"/>
    <x v="1"/>
    <x v="1"/>
    <n v="449.17858828859596"/>
    <n v="498.54574107120084"/>
    <n v="947.7243293597968"/>
    <n v="0.51969725366024877"/>
    <n v="0.51969725366024877"/>
  </r>
  <r>
    <x v="0"/>
    <x v="2"/>
    <x v="3"/>
    <x v="1"/>
    <x v="1"/>
    <n v="164.39728554712499"/>
    <n v="155.29042993105443"/>
    <n v="319.68771547817943"/>
    <n v="0.16828569710939958"/>
    <n v="0.16828569710939958"/>
  </r>
  <r>
    <x v="0"/>
    <x v="2"/>
    <x v="4"/>
    <x v="1"/>
    <x v="1"/>
    <n v="36.562841305607634"/>
    <n v="164.94687232450582"/>
    <n v="201.50971363011345"/>
    <n v="0.12917213979329051"/>
    <n v="0.12917213979329051"/>
  </r>
  <r>
    <x v="0"/>
    <x v="2"/>
    <x v="5"/>
    <x v="1"/>
    <x v="1"/>
    <n v="342.79515079946304"/>
    <n v="59.099860866873591"/>
    <n v="401.89501166633664"/>
    <n v="0.27545077581107114"/>
    <n v="0.27545077581107114"/>
  </r>
  <r>
    <x v="0"/>
    <x v="2"/>
    <x v="6"/>
    <x v="1"/>
    <x v="1"/>
    <n v="141.12729226961113"/>
    <n v="434.69021918118591"/>
    <n v="575.81751145079704"/>
    <n v="0.39596223341628395"/>
    <n v="0.39596223341628395"/>
  </r>
  <r>
    <x v="0"/>
    <x v="2"/>
    <x v="0"/>
    <x v="2"/>
    <x v="0"/>
    <n v="660.02927841271571"/>
    <n v="319.56801538814864"/>
    <n v="979.59729380086435"/>
    <n v="0.18734817077716737"/>
    <n v="0.18734817077716737"/>
  </r>
  <r>
    <x v="0"/>
    <x v="2"/>
    <x v="1"/>
    <x v="2"/>
    <x v="0"/>
    <n v="1984.3692200475382"/>
    <n v="244.29869842211764"/>
    <n v="2228.6679184696559"/>
    <n v="0.41086867817896727"/>
    <n v="0.41086867817896727"/>
  </r>
  <r>
    <x v="0"/>
    <x v="2"/>
    <x v="2"/>
    <x v="2"/>
    <x v="0"/>
    <n v="2269.5722798275851"/>
    <n v="1204.5043130666804"/>
    <n v="3474.0765928942656"/>
    <n v="0.61832351033367772"/>
    <n v="0.61832351033367772"/>
  </r>
  <r>
    <x v="0"/>
    <x v="2"/>
    <x v="3"/>
    <x v="2"/>
    <x v="0"/>
    <n v="770.72949557679203"/>
    <n v="375.1872240008172"/>
    <n v="1145.9167195776092"/>
    <n v="0.20022047188520711"/>
    <n v="0.20022047188520711"/>
  </r>
  <r>
    <x v="0"/>
    <x v="2"/>
    <x v="4"/>
    <x v="2"/>
    <x v="0"/>
    <n v="408.87315963120784"/>
    <n v="398.51753364663011"/>
    <n v="807.39069327783795"/>
    <n v="0.15369027189799933"/>
    <n v="0.15369027189799933"/>
  </r>
  <r>
    <x v="0"/>
    <x v="2"/>
    <x v="5"/>
    <x v="2"/>
    <x v="0"/>
    <n v="1535.8932291299141"/>
    <n v="142.78737425945332"/>
    <n v="1678.6806033893674"/>
    <n v="0.32773588595551323"/>
    <n v="0.32773588595551323"/>
  </r>
  <r>
    <x v="0"/>
    <x v="2"/>
    <x v="6"/>
    <x v="2"/>
    <x v="0"/>
    <n v="1341.9661835588447"/>
    <n v="1050.227091954762"/>
    <n v="2392.1932755136067"/>
    <n v="0.47112315677188316"/>
    <n v="0.47112315677188316"/>
  </r>
  <r>
    <x v="0"/>
    <x v="2"/>
    <x v="0"/>
    <x v="2"/>
    <x v="1"/>
    <n v="164.00998077207791"/>
    <n v="155.52518964018074"/>
    <n v="319.53517041225865"/>
    <n v="0.18734817077716737"/>
    <n v="0.18734817077716737"/>
  </r>
  <r>
    <x v="0"/>
    <x v="2"/>
    <x v="1"/>
    <x v="2"/>
    <x v="1"/>
    <n v="642.18913613308109"/>
    <n v="118.89363006119619"/>
    <n v="761.08276619427727"/>
    <n v="0.41086867817896727"/>
    <n v="0.41086867817896727"/>
  </r>
  <r>
    <x v="0"/>
    <x v="2"/>
    <x v="2"/>
    <x v="2"/>
    <x v="1"/>
    <n v="660.23291841097534"/>
    <n v="586.19997212355042"/>
    <n v="1246.4328905345258"/>
    <n v="0.61832351033367772"/>
    <n v="0.61832351033367772"/>
  </r>
  <r>
    <x v="0"/>
    <x v="2"/>
    <x v="3"/>
    <x v="2"/>
    <x v="1"/>
    <n v="237.28721182524694"/>
    <n v="182.59356804662249"/>
    <n v="419.88077987186944"/>
    <n v="0.20022047188520711"/>
    <n v="0.20022047188520711"/>
  </r>
  <r>
    <x v="0"/>
    <x v="2"/>
    <x v="4"/>
    <x v="2"/>
    <x v="1"/>
    <n v="72.500674306872497"/>
    <n v="193.94780457001821"/>
    <n v="266.4484788768907"/>
    <n v="0.15369027189799933"/>
    <n v="0.15369027189799933"/>
  </r>
  <r>
    <x v="0"/>
    <x v="2"/>
    <x v="5"/>
    <x v="2"/>
    <x v="1"/>
    <n v="463.0476414007461"/>
    <n v="69.490788785455138"/>
    <n v="532.53843018620125"/>
    <n v="0.32773588595551323"/>
    <n v="0.32773588595551323"/>
  </r>
  <r>
    <x v="0"/>
    <x v="2"/>
    <x v="6"/>
    <x v="2"/>
    <x v="1"/>
    <n v="251.66149454034763"/>
    <n v="511.11738276789168"/>
    <n v="762.77887730823932"/>
    <n v="0.47112315677188316"/>
    <n v="0.47112315677188316"/>
  </r>
  <r>
    <x v="1"/>
    <x v="0"/>
    <x v="0"/>
    <x v="0"/>
    <x v="0"/>
    <n v="887.66430389222569"/>
    <n v="234.07285958575699"/>
    <n v="1121.7371634779827"/>
    <n v="0.23054766812756738"/>
    <n v="0.23054766812756738"/>
  </r>
  <r>
    <x v="1"/>
    <x v="0"/>
    <x v="1"/>
    <x v="0"/>
    <x v="0"/>
    <n v="2467.9639489297365"/>
    <n v="225.10875283711346"/>
    <n v="2693.0727017668501"/>
    <n v="0.53169346555709607"/>
    <n v="0.53169346555709607"/>
  </r>
  <r>
    <x v="1"/>
    <x v="0"/>
    <x v="2"/>
    <x v="0"/>
    <x v="0"/>
    <n v="2624.0521521645096"/>
    <n v="897.86351314345131"/>
    <n v="3521.9156653079608"/>
    <n v="0.66906806848427369"/>
    <n v="0.66906806848427369"/>
  </r>
  <r>
    <x v="1"/>
    <x v="0"/>
    <x v="3"/>
    <x v="0"/>
    <x v="0"/>
    <n v="968.05520895161158"/>
    <n v="311.3669874742618"/>
    <n v="1279.4221964258734"/>
    <n v="0.2382638988666837"/>
    <n v="0.2382638988666837"/>
  </r>
  <r>
    <x v="1"/>
    <x v="0"/>
    <x v="4"/>
    <x v="0"/>
    <x v="0"/>
    <n v="614.04897234804901"/>
    <n v="287.84288651364022"/>
    <n v="901.89185886168923"/>
    <n v="0.18428707833462393"/>
    <n v="0.18428707833462393"/>
  </r>
  <r>
    <x v="1"/>
    <x v="0"/>
    <x v="5"/>
    <x v="0"/>
    <x v="0"/>
    <n v="2215.6697545846182"/>
    <n v="109.12838679657573"/>
    <n v="2324.798141381194"/>
    <n v="0.48868789339035373"/>
    <n v="0.48868789339035373"/>
  </r>
  <r>
    <x v="1"/>
    <x v="0"/>
    <x v="6"/>
    <x v="0"/>
    <x v="0"/>
    <n v="1891.9623122298572"/>
    <n v="766.29108311444509"/>
    <n v="2658.2533953443021"/>
    <n v="0.56346040191374502"/>
    <n v="0.56346040191374502"/>
  </r>
  <r>
    <x v="1"/>
    <x v="0"/>
    <x v="0"/>
    <x v="0"/>
    <x v="1"/>
    <n v="251.68361247293456"/>
    <n v="120.31745111009911"/>
    <n v="372.00106358303367"/>
    <n v="0.23054766812756738"/>
    <n v="0.23054766812756738"/>
  </r>
  <r>
    <x v="1"/>
    <x v="0"/>
    <x v="1"/>
    <x v="0"/>
    <x v="1"/>
    <n v="817.53088395118868"/>
    <n v="115.70974700726394"/>
    <n v="933.24063095845258"/>
    <n v="0.53169346555709607"/>
    <n v="0.53169346555709607"/>
  </r>
  <r>
    <x v="1"/>
    <x v="0"/>
    <x v="2"/>
    <x v="0"/>
    <x v="1"/>
    <n v="819.11470311972221"/>
    <n v="461.51719399403777"/>
    <n v="1280.63189711376"/>
    <n v="0.66906806848427369"/>
    <n v="0.66906806848427369"/>
  </r>
  <r>
    <x v="1"/>
    <x v="0"/>
    <x v="3"/>
    <x v="0"/>
    <x v="1"/>
    <n v="314.79523951275337"/>
    <n v="160.04795412433583"/>
    <n v="474.8431936370892"/>
    <n v="0.2382638988666837"/>
    <n v="0.2382638988666837"/>
  </r>
  <r>
    <x v="1"/>
    <x v="0"/>
    <x v="4"/>
    <x v="0"/>
    <x v="1"/>
    <n v="154.37131925092709"/>
    <n v="147.95616410541797"/>
    <n v="302.32748335634506"/>
    <n v="0.18428707833462393"/>
    <n v="0.18428707833462393"/>
  </r>
  <r>
    <x v="1"/>
    <x v="0"/>
    <x v="5"/>
    <x v="0"/>
    <x v="1"/>
    <n v="694.29099826684217"/>
    <n v="56.093856273458911"/>
    <n v="750.38485454030103"/>
    <n v="0.48868789339035373"/>
    <n v="0.48868789339035373"/>
  </r>
  <r>
    <x v="1"/>
    <x v="0"/>
    <x v="6"/>
    <x v="0"/>
    <x v="1"/>
    <n v="468.36335794148482"/>
    <n v="393.88671583664978"/>
    <n v="862.25007377813461"/>
    <n v="0.56346040191374502"/>
    <n v="0.56346040191374502"/>
  </r>
  <r>
    <x v="1"/>
    <x v="0"/>
    <x v="0"/>
    <x v="1"/>
    <x v="0"/>
    <n v="751.76704909860757"/>
    <n v="216.10026493167729"/>
    <n v="967.86731403028489"/>
    <n v="0.21190097795132057"/>
    <n v="0.21190097795132057"/>
  </r>
  <r>
    <x v="1"/>
    <x v="0"/>
    <x v="1"/>
    <x v="1"/>
    <x v="0"/>
    <n v="2120.3856201414528"/>
    <n v="207.82444070034234"/>
    <n v="2328.210060841795"/>
    <n v="0.48869344573445073"/>
    <n v="0.48869344573445073"/>
  </r>
  <r>
    <x v="1"/>
    <x v="0"/>
    <x v="2"/>
    <x v="1"/>
    <x v="0"/>
    <n v="2221.5766516234407"/>
    <n v="828.92370950721102"/>
    <n v="3050.500361130652"/>
    <n v="0.6149666003971398"/>
    <n v="0.6149666003971398"/>
  </r>
  <r>
    <x v="1"/>
    <x v="0"/>
    <x v="3"/>
    <x v="1"/>
    <x v="0"/>
    <n v="821.61527311216355"/>
    <n v="287.45959101471431"/>
    <n v="1109.0748641268779"/>
    <n v="0.21899921136912237"/>
    <n v="0.21899921136912237"/>
  </r>
  <r>
    <x v="1"/>
    <x v="0"/>
    <x v="4"/>
    <x v="1"/>
    <x v="0"/>
    <n v="512.91919874155565"/>
    <n v="265.74171881515025"/>
    <n v="778.66091755670584"/>
    <n v="0.16938182336979987"/>
    <n v="0.16938182336979987"/>
  </r>
  <r>
    <x v="1"/>
    <x v="0"/>
    <x v="5"/>
    <x v="1"/>
    <x v="0"/>
    <n v="1902.9971345484055"/>
    <n v="100.74928524409556"/>
    <n v="2003.746419792501"/>
    <n v="0.44916044071208566"/>
    <n v="0.44916044071208566"/>
  </r>
  <r>
    <x v="1"/>
    <x v="0"/>
    <x v="6"/>
    <x v="1"/>
    <x v="0"/>
    <n v="1584.1790954938208"/>
    <n v="707.45368074227486"/>
    <n v="2291.6327762360957"/>
    <n v="0.51788444600830175"/>
    <n v="0.51788444600830175"/>
  </r>
  <r>
    <x v="1"/>
    <x v="0"/>
    <x v="0"/>
    <x v="1"/>
    <x v="1"/>
    <n v="213.44666626350823"/>
    <n v="111.64585227287601"/>
    <n v="325.09251853638426"/>
    <n v="0.21190097795132057"/>
    <n v="0.21190097795132057"/>
  </r>
  <r>
    <x v="1"/>
    <x v="0"/>
    <x v="1"/>
    <x v="1"/>
    <x v="1"/>
    <n v="708.91520524361658"/>
    <n v="107.37023766472161"/>
    <n v="816.28544290833815"/>
    <n v="0.48869344573445073"/>
    <n v="0.48869344573445073"/>
  </r>
  <r>
    <x v="1"/>
    <x v="0"/>
    <x v="2"/>
    <x v="1"/>
    <x v="1"/>
    <n v="693.20389805071625"/>
    <n v="428.25442183694656"/>
    <n v="1121.4583198876628"/>
    <n v="0.6149666003971398"/>
    <n v="0.6149666003971398"/>
  </r>
  <r>
    <x v="1"/>
    <x v="0"/>
    <x v="3"/>
    <x v="1"/>
    <x v="1"/>
    <n v="267.51391304111428"/>
    <n v="148.51287222159107"/>
    <n v="416.02678526270535"/>
    <n v="0.21899921136912237"/>
    <n v="0.21899921136912237"/>
  </r>
  <r>
    <x v="1"/>
    <x v="0"/>
    <x v="4"/>
    <x v="1"/>
    <x v="1"/>
    <n v="126.94461626172006"/>
    <n v="137.29256968267305"/>
    <n v="264.2371859443931"/>
    <n v="0.16938182336979987"/>
    <n v="0.16938182336979987"/>
  </r>
  <r>
    <x v="1"/>
    <x v="0"/>
    <x v="5"/>
    <x v="1"/>
    <x v="1"/>
    <n v="603.2941655684682"/>
    <n v="52.051022799608354"/>
    <n v="655.34518836807661"/>
    <n v="0.44916044071208566"/>
    <n v="0.44916044071208566"/>
  </r>
  <r>
    <x v="1"/>
    <x v="0"/>
    <x v="6"/>
    <x v="1"/>
    <x v="1"/>
    <n v="387.62138335503283"/>
    <n v="365.49825218875236"/>
    <n v="753.11963554378519"/>
    <n v="0.51788444600830175"/>
    <n v="0.51788444600830175"/>
  </r>
  <r>
    <x v="1"/>
    <x v="0"/>
    <x v="0"/>
    <x v="2"/>
    <x v="0"/>
    <n v="1063.0590100769414"/>
    <n v="255.22227285554729"/>
    <n v="1318.2812829324887"/>
    <n v="0.25212154881410359"/>
    <n v="0.25212154881410359"/>
  </r>
  <r>
    <x v="1"/>
    <x v="0"/>
    <x v="1"/>
    <x v="2"/>
    <x v="0"/>
    <n v="2908.4819665853383"/>
    <n v="245.44822343111881"/>
    <n v="3153.9301900164573"/>
    <n v="0.58144648536539945"/>
    <n v="0.58144648536539945"/>
  </r>
  <r>
    <x v="1"/>
    <x v="0"/>
    <x v="2"/>
    <x v="2"/>
    <x v="0"/>
    <n v="3131.9448765855318"/>
    <n v="978.98905043531101"/>
    <n v="4110.9339270208429"/>
    <n v="0.73167272756864332"/>
    <n v="0.73167272756864332"/>
  </r>
  <r>
    <x v="1"/>
    <x v="0"/>
    <x v="3"/>
    <x v="2"/>
    <x v="0"/>
    <n v="1151.7427085474719"/>
    <n v="339.50023243190776"/>
    <n v="1491.2429409793797"/>
    <n v="0.26055764807099963"/>
    <n v="0.26055764807099963"/>
  </r>
  <r>
    <x v="1"/>
    <x v="0"/>
    <x v="4"/>
    <x v="2"/>
    <x v="0"/>
    <n v="744.8707577138714"/>
    <n v="313.8506354445496"/>
    <n v="1058.7213931584211"/>
    <n v="0.20153214563095453"/>
    <n v="0.20153214563095453"/>
  </r>
  <r>
    <x v="1"/>
    <x v="0"/>
    <x v="5"/>
    <x v="2"/>
    <x v="0"/>
    <n v="2618.3314369112236"/>
    <n v="118.98857031341244"/>
    <n v="2737.3200072246359"/>
    <n v="0.53441851648263716"/>
    <n v="0.53441851648263716"/>
  </r>
  <r>
    <x v="1"/>
    <x v="0"/>
    <x v="6"/>
    <x v="2"/>
    <x v="0"/>
    <n v="2293.2539278373147"/>
    <n v="835.52852837154899"/>
    <n v="3128.7824562088636"/>
    <n v="0.61618845045249437"/>
    <n v="0.61618845045249437"/>
  </r>
  <r>
    <x v="1"/>
    <x v="0"/>
    <x v="0"/>
    <x v="2"/>
    <x v="1"/>
    <n v="299.23481765849544"/>
    <n v="130.77579696735009"/>
    <n v="430.01061462584556"/>
    <n v="0.25212154881410359"/>
    <n v="0.25212154881410359"/>
  </r>
  <r>
    <x v="1"/>
    <x v="0"/>
    <x v="1"/>
    <x v="2"/>
    <x v="1"/>
    <n v="951.28921191733059"/>
    <n v="125.76757770507051"/>
    <n v="1077.0567896224011"/>
    <n v="0.58144648536539945"/>
    <n v="0.58144648536539945"/>
  </r>
  <r>
    <x v="1"/>
    <x v="0"/>
    <x v="2"/>
    <x v="2"/>
    <x v="1"/>
    <n v="973.29161884082441"/>
    <n v="501.63362256964734"/>
    <n v="1474.9252414104717"/>
    <n v="0.73167272756864332"/>
    <n v="0.73167272756864332"/>
  </r>
  <r>
    <x v="1"/>
    <x v="0"/>
    <x v="3"/>
    <x v="2"/>
    <x v="1"/>
    <n v="372.45360653655507"/>
    <n v="173.95979187134765"/>
    <n v="546.41339840790272"/>
    <n v="0.26055764807099963"/>
    <n v="0.26055764807099963"/>
  </r>
  <r>
    <x v="1"/>
    <x v="0"/>
    <x v="4"/>
    <x v="2"/>
    <x v="1"/>
    <n v="188.57363467642534"/>
    <n v="160.81694798714017"/>
    <n v="349.39058266356551"/>
    <n v="0.20153214563095453"/>
    <n v="0.20153214563095453"/>
  </r>
  <r>
    <x v="1"/>
    <x v="0"/>
    <x v="5"/>
    <x v="2"/>
    <x v="1"/>
    <n v="807.40758307108274"/>
    <n v="60.969698837958923"/>
    <n v="868.3772819090417"/>
    <n v="0.53441851648263716"/>
    <n v="0.53441851648263716"/>
  </r>
  <r>
    <x v="1"/>
    <x v="0"/>
    <x v="6"/>
    <x v="2"/>
    <x v="1"/>
    <n v="569.52447016213421"/>
    <n v="428.12450482560462"/>
    <n v="997.64897498773882"/>
    <n v="0.61618845045249437"/>
    <n v="0.61618845045249437"/>
  </r>
  <r>
    <x v="1"/>
    <x v="1"/>
    <x v="0"/>
    <x v="0"/>
    <x v="0"/>
    <n v="889.5575795910413"/>
    <n v="232.17958388694137"/>
    <n v="1121.7371634779827"/>
    <n v="0.23054766812756738"/>
    <n v="0.23054766812756738"/>
  </r>
  <r>
    <x v="1"/>
    <x v="1"/>
    <x v="1"/>
    <x v="0"/>
    <x v="0"/>
    <n v="2469.7847193176044"/>
    <n v="223.28798244924562"/>
    <n v="2693.0727017668501"/>
    <n v="0.53169346555709607"/>
    <n v="0.53169346555709607"/>
  </r>
  <r>
    <x v="1"/>
    <x v="1"/>
    <x v="2"/>
    <x v="0"/>
    <x v="0"/>
    <n v="2631.3144344013126"/>
    <n v="890.60123090664842"/>
    <n v="3521.9156653079608"/>
    <n v="0.66906806848427369"/>
    <n v="0.66906806848427369"/>
  </r>
  <r>
    <x v="1"/>
    <x v="1"/>
    <x v="3"/>
    <x v="0"/>
    <x v="0"/>
    <n v="970.57367073245575"/>
    <n v="308.84852569341763"/>
    <n v="1279.4221964258734"/>
    <n v="0.2382638988666837"/>
    <n v="0.2382638988666837"/>
  </r>
  <r>
    <x v="1"/>
    <x v="1"/>
    <x v="4"/>
    <x v="0"/>
    <x v="0"/>
    <n v="616.37716171215402"/>
    <n v="285.51469714953527"/>
    <n v="901.89185886168923"/>
    <n v="0.18428707833462393"/>
    <n v="0.18428707833462393"/>
  </r>
  <r>
    <x v="1"/>
    <x v="1"/>
    <x v="5"/>
    <x v="0"/>
    <x v="0"/>
    <n v="2216.552428992657"/>
    <n v="108.24571238853673"/>
    <n v="2324.798141381194"/>
    <n v="0.48868789339035373"/>
    <n v="0.48868789339035373"/>
  </r>
  <r>
    <x v="1"/>
    <x v="1"/>
    <x v="6"/>
    <x v="0"/>
    <x v="0"/>
    <n v="1898.1603835844226"/>
    <n v="760.09301175987957"/>
    <n v="2658.2533953443021"/>
    <n v="0.56346040191374502"/>
    <n v="0.56346040191374502"/>
  </r>
  <r>
    <x v="1"/>
    <x v="1"/>
    <x v="0"/>
    <x v="0"/>
    <x v="1"/>
    <n v="252.71386219554097"/>
    <n v="119.28720138749269"/>
    <n v="372.00106358303367"/>
    <n v="0.23054766812756738"/>
    <n v="0.23054766812756738"/>
  </r>
  <r>
    <x v="1"/>
    <x v="1"/>
    <x v="1"/>
    <x v="0"/>
    <x v="1"/>
    <n v="818.52167899926542"/>
    <n v="114.71895195918718"/>
    <n v="933.24063095845258"/>
    <n v="0.53169346555709607"/>
    <n v="0.53169346555709607"/>
  </r>
  <r>
    <x v="1"/>
    <x v="1"/>
    <x v="2"/>
    <x v="0"/>
    <x v="1"/>
    <n v="823.06656510402581"/>
    <n v="457.56533200973422"/>
    <n v="1280.63189711376"/>
    <n v="0.66906806848427369"/>
    <n v="0.66906806848427369"/>
  </r>
  <r>
    <x v="1"/>
    <x v="1"/>
    <x v="3"/>
    <x v="0"/>
    <x v="1"/>
    <n v="316.16569208483918"/>
    <n v="158.67750155224999"/>
    <n v="474.8431936370892"/>
    <n v="0.2382638988666837"/>
    <n v="0.2382638988666837"/>
  </r>
  <r>
    <x v="1"/>
    <x v="1"/>
    <x v="4"/>
    <x v="0"/>
    <x v="1"/>
    <n v="155.63823270048172"/>
    <n v="146.68925065586333"/>
    <n v="302.32748335634506"/>
    <n v="0.18428707833462393"/>
    <n v="0.18428707833462393"/>
  </r>
  <r>
    <x v="1"/>
    <x v="1"/>
    <x v="5"/>
    <x v="0"/>
    <x v="1"/>
    <n v="694.77131661910471"/>
    <n v="55.613537921196269"/>
    <n v="750.38485454030103"/>
    <n v="0.48868789339035373"/>
    <n v="0.48868789339035373"/>
  </r>
  <r>
    <x v="1"/>
    <x v="1"/>
    <x v="6"/>
    <x v="0"/>
    <x v="1"/>
    <n v="471.73611622372056"/>
    <n v="390.51395755441405"/>
    <n v="862.25007377813461"/>
    <n v="0.56346040191374502"/>
    <n v="0.56346040191374502"/>
  </r>
  <r>
    <x v="1"/>
    <x v="1"/>
    <x v="0"/>
    <x v="1"/>
    <x v="0"/>
    <n v="753.51815661517367"/>
    <n v="214.34915741511116"/>
    <n v="967.86731403028489"/>
    <n v="0.21190097795132057"/>
    <n v="0.21190097795132057"/>
  </r>
  <r>
    <x v="1"/>
    <x v="1"/>
    <x v="1"/>
    <x v="1"/>
    <x v="0"/>
    <n v="2122.0696668516762"/>
    <n v="206.14039399011898"/>
    <n v="2328.210060841795"/>
    <n v="0.48869344573445073"/>
    <n v="0.48869344573445073"/>
  </r>
  <r>
    <x v="1"/>
    <x v="1"/>
    <x v="2"/>
    <x v="1"/>
    <x v="0"/>
    <n v="2228.2936009933837"/>
    <n v="822.20676013726825"/>
    <n v="3050.500361130652"/>
    <n v="0.6149666003971398"/>
    <n v="0.6149666003971398"/>
  </r>
  <r>
    <x v="1"/>
    <x v="1"/>
    <x v="3"/>
    <x v="1"/>
    <x v="0"/>
    <n v="823.94462079109917"/>
    <n v="285.13024333577869"/>
    <n v="1109.0748641268779"/>
    <n v="0.21899921136912237"/>
    <n v="0.21899921136912237"/>
  </r>
  <r>
    <x v="1"/>
    <x v="1"/>
    <x v="4"/>
    <x v="1"/>
    <x v="0"/>
    <n v="515.07256177158024"/>
    <n v="263.58835578512566"/>
    <n v="778.66091755670584"/>
    <n v="0.16938182336979987"/>
    <n v="0.16938182336979987"/>
  </r>
  <r>
    <x v="1"/>
    <x v="1"/>
    <x v="5"/>
    <x v="1"/>
    <x v="0"/>
    <n v="1903.8135279514181"/>
    <n v="99.932891841082807"/>
    <n v="2003.746419792501"/>
    <n v="0.44916044071208566"/>
    <n v="0.44916044071208566"/>
  </r>
  <r>
    <x v="1"/>
    <x v="1"/>
    <x v="6"/>
    <x v="1"/>
    <x v="0"/>
    <n v="1589.9117467627202"/>
    <n v="701.72102947337532"/>
    <n v="2291.6327762360957"/>
    <n v="0.51788444600830175"/>
    <n v="0.51788444600830175"/>
  </r>
  <r>
    <x v="1"/>
    <x v="1"/>
    <x v="0"/>
    <x v="1"/>
    <x v="1"/>
    <n v="214.40466418356198"/>
    <n v="110.68785435282227"/>
    <n v="325.09251853638426"/>
    <n v="0.21190097795132057"/>
    <n v="0.21190097795132057"/>
  </r>
  <r>
    <x v="1"/>
    <x v="1"/>
    <x v="1"/>
    <x v="1"/>
    <x v="1"/>
    <n v="709.83651546038209"/>
    <n v="106.44892744795612"/>
    <n v="816.28544290833815"/>
    <n v="0.48869344573445073"/>
    <n v="0.48869344573445073"/>
  </r>
  <r>
    <x v="1"/>
    <x v="1"/>
    <x v="2"/>
    <x v="1"/>
    <x v="1"/>
    <n v="696.87861445998055"/>
    <n v="424.5797054276822"/>
    <n v="1121.4583198876628"/>
    <n v="0.6149666003971398"/>
    <n v="0.6149666003971398"/>
  </r>
  <r>
    <x v="1"/>
    <x v="1"/>
    <x v="3"/>
    <x v="1"/>
    <x v="1"/>
    <n v="268.78825525619322"/>
    <n v="147.23853000651215"/>
    <n v="416.02678526270535"/>
    <n v="0.21899921136912237"/>
    <n v="0.21899921136912237"/>
  </r>
  <r>
    <x v="1"/>
    <x v="1"/>
    <x v="4"/>
    <x v="1"/>
    <x v="1"/>
    <n v="128.12268059207568"/>
    <n v="136.11450535231742"/>
    <n v="264.2371859443931"/>
    <n v="0.16938182336979987"/>
    <n v="0.16938182336979987"/>
  </r>
  <r>
    <x v="1"/>
    <x v="1"/>
    <x v="5"/>
    <x v="1"/>
    <x v="1"/>
    <n v="603.74079901309278"/>
    <n v="51.60438935498378"/>
    <n v="655.34518836807661"/>
    <n v="0.44916044071208566"/>
    <n v="0.44916044071208566"/>
  </r>
  <r>
    <x v="1"/>
    <x v="1"/>
    <x v="6"/>
    <x v="1"/>
    <x v="1"/>
    <n v="390.75760882379706"/>
    <n v="362.36202671998814"/>
    <n v="753.11963554378519"/>
    <n v="0.51788444600830175"/>
    <n v="0.51788444600830175"/>
  </r>
  <r>
    <x v="1"/>
    <x v="1"/>
    <x v="0"/>
    <x v="2"/>
    <x v="0"/>
    <n v="1065.1219867598177"/>
    <n v="253.15929617267099"/>
    <n v="1318.2812829324887"/>
    <n v="0.25212154881410359"/>
    <n v="0.25212154881410359"/>
  </r>
  <r>
    <x v="1"/>
    <x v="1"/>
    <x v="1"/>
    <x v="2"/>
    <x v="0"/>
    <n v="2910.4659390503066"/>
    <n v="243.46425096615093"/>
    <n v="3153.9301900164573"/>
    <n v="0.58144648536539945"/>
    <n v="0.58144648536539945"/>
  </r>
  <r>
    <x v="1"/>
    <x v="1"/>
    <x v="2"/>
    <x v="2"/>
    <x v="0"/>
    <n v="3139.8581028147401"/>
    <n v="971.07582420610311"/>
    <n v="4110.9339270208429"/>
    <n v="0.73167272756864332"/>
    <n v="0.73167272756864332"/>
  </r>
  <r>
    <x v="1"/>
    <x v="1"/>
    <x v="3"/>
    <x v="2"/>
    <x v="0"/>
    <n v="1154.4869089477866"/>
    <n v="336.75603203159307"/>
    <n v="1491.2429409793797"/>
    <n v="0.26055764807099963"/>
    <n v="0.26055764807099963"/>
  </r>
  <r>
    <x v="1"/>
    <x v="1"/>
    <x v="4"/>
    <x v="2"/>
    <x v="0"/>
    <n v="747.4076309090824"/>
    <n v="311.31376224933865"/>
    <n v="1058.7213931584211"/>
    <n v="0.20153214563095453"/>
    <n v="0.20153214563095453"/>
  </r>
  <r>
    <x v="1"/>
    <x v="1"/>
    <x v="5"/>
    <x v="2"/>
    <x v="0"/>
    <n v="2619.2932285422548"/>
    <n v="118.02677868238095"/>
    <n v="2737.3200072246359"/>
    <n v="0.53441851648263716"/>
    <n v="0.53441851648263716"/>
  </r>
  <r>
    <x v="1"/>
    <x v="1"/>
    <x v="6"/>
    <x v="2"/>
    <x v="0"/>
    <n v="2300.0075542062959"/>
    <n v="828.7749020025675"/>
    <n v="3128.7824562088636"/>
    <n v="0.61618845045249437"/>
    <n v="0.61618845045249437"/>
  </r>
  <r>
    <x v="1"/>
    <x v="1"/>
    <x v="0"/>
    <x v="2"/>
    <x v="1"/>
    <n v="300.35412035986417"/>
    <n v="129.65649426598139"/>
    <n v="430.01061462584556"/>
    <n v="0.25212154881410359"/>
    <n v="0.25212154881410359"/>
  </r>
  <r>
    <x v="1"/>
    <x v="1"/>
    <x v="1"/>
    <x v="2"/>
    <x v="1"/>
    <n v="952.3656495513145"/>
    <n v="124.69114007108655"/>
    <n v="1077.0567896224011"/>
    <n v="0.58144648536539945"/>
    <n v="0.58144648536539945"/>
  </r>
  <r>
    <x v="1"/>
    <x v="1"/>
    <x v="2"/>
    <x v="2"/>
    <x v="1"/>
    <n v="977.58507284271127"/>
    <n v="497.34016856776043"/>
    <n v="1474.9252414104717"/>
    <n v="0.73167272756864332"/>
    <n v="0.73167272756864332"/>
  </r>
  <r>
    <x v="1"/>
    <x v="1"/>
    <x v="3"/>
    <x v="2"/>
    <x v="1"/>
    <n v="373.94251862492933"/>
    <n v="172.47087978297341"/>
    <n v="546.41339840790272"/>
    <n v="0.26055764807099963"/>
    <n v="0.26055764807099963"/>
  </r>
  <r>
    <x v="1"/>
    <x v="1"/>
    <x v="4"/>
    <x v="2"/>
    <x v="1"/>
    <n v="189.95005790214526"/>
    <n v="159.44052476142025"/>
    <n v="349.39058266356551"/>
    <n v="0.20153214563095453"/>
    <n v="0.20153214563095453"/>
  </r>
  <r>
    <x v="1"/>
    <x v="1"/>
    <x v="5"/>
    <x v="2"/>
    <x v="1"/>
    <n v="807.92941929914252"/>
    <n v="60.447862609899161"/>
    <n v="868.3772819090417"/>
    <n v="0.53441851648263716"/>
    <n v="0.53441851648263716"/>
  </r>
  <r>
    <x v="1"/>
    <x v="1"/>
    <x v="6"/>
    <x v="2"/>
    <x v="1"/>
    <n v="573.18876375380773"/>
    <n v="424.46021123393103"/>
    <n v="997.64897498773882"/>
    <n v="0.61618845045249437"/>
    <n v="0.61618845045249437"/>
  </r>
  <r>
    <x v="1"/>
    <x v="2"/>
    <x v="0"/>
    <x v="0"/>
    <x v="0"/>
    <n v="771.07810941800881"/>
    <n v="350.65905405997381"/>
    <n v="1121.7371634779827"/>
    <n v="0.23054766812756738"/>
    <n v="0.23054766812756738"/>
  </r>
  <r>
    <x v="1"/>
    <x v="2"/>
    <x v="1"/>
    <x v="0"/>
    <x v="0"/>
    <n v="2355.8425655170613"/>
    <n v="337.23013624978864"/>
    <n v="2693.0727017668501"/>
    <n v="0.53169346555709607"/>
    <n v="0.53169346555709607"/>
  </r>
  <r>
    <x v="1"/>
    <x v="2"/>
    <x v="2"/>
    <x v="0"/>
    <x v="0"/>
    <n v="2176.8474213815471"/>
    <n v="1345.0682439264137"/>
    <n v="3521.9156653079608"/>
    <n v="0.66906806848427369"/>
    <n v="0.66906806848427369"/>
  </r>
  <r>
    <x v="1"/>
    <x v="2"/>
    <x v="3"/>
    <x v="0"/>
    <x v="0"/>
    <n v="812.97062452449563"/>
    <n v="466.45157190137775"/>
    <n v="1279.4221964258734"/>
    <n v="0.2382638988666837"/>
    <n v="0.2382638988666837"/>
  </r>
  <r>
    <x v="1"/>
    <x v="2"/>
    <x v="4"/>
    <x v="0"/>
    <x v="0"/>
    <n v="470.68119017762456"/>
    <n v="431.21066868406467"/>
    <n v="901.89185886168923"/>
    <n v="0.18428707833462393"/>
    <n v="0.18428707833462393"/>
  </r>
  <r>
    <x v="1"/>
    <x v="2"/>
    <x v="5"/>
    <x v="0"/>
    <x v="0"/>
    <n v="2161.3154678542423"/>
    <n v="163.48267352695143"/>
    <n v="2324.798141381194"/>
    <n v="0.48868789339035373"/>
    <n v="0.48868789339035373"/>
  </r>
  <r>
    <x v="1"/>
    <x v="2"/>
    <x v="6"/>
    <x v="0"/>
    <x v="0"/>
    <n v="1510.2907190432584"/>
    <n v="1147.9626763010438"/>
    <n v="2658.2533953443021"/>
    <n v="0.56346040191374502"/>
    <n v="0.56346040191374502"/>
  </r>
  <r>
    <x v="1"/>
    <x v="2"/>
    <x v="0"/>
    <x v="0"/>
    <x v="1"/>
    <n v="200.73443110290651"/>
    <n v="171.26663248012716"/>
    <n v="372.00106358303367"/>
    <n v="0.23054766812756738"/>
    <n v="0.23054766812756738"/>
  </r>
  <r>
    <x v="1"/>
    <x v="2"/>
    <x v="1"/>
    <x v="0"/>
    <x v="1"/>
    <n v="768.53286386216178"/>
    <n v="164.70776709629075"/>
    <n v="933.24063095845258"/>
    <n v="0.53169346555709607"/>
    <n v="0.53169346555709607"/>
  </r>
  <r>
    <x v="1"/>
    <x v="2"/>
    <x v="2"/>
    <x v="0"/>
    <x v="1"/>
    <n v="623.68234476073451"/>
    <n v="656.94955235302552"/>
    <n v="1280.63189711376"/>
    <n v="0.66906806848427369"/>
    <n v="0.66906806848427369"/>
  </r>
  <r>
    <x v="1"/>
    <x v="2"/>
    <x v="3"/>
    <x v="0"/>
    <x v="1"/>
    <n v="247.02192676927964"/>
    <n v="227.82126686780956"/>
    <n v="474.8431936370892"/>
    <n v="0.2382638988666837"/>
    <n v="0.2382638988666837"/>
  </r>
  <r>
    <x v="1"/>
    <x v="2"/>
    <x v="4"/>
    <x v="0"/>
    <x v="1"/>
    <n v="91.718351038339733"/>
    <n v="210.60913231800532"/>
    <n v="302.32748335634506"/>
    <n v="0.18428707833462393"/>
    <n v="0.18428707833462393"/>
  </r>
  <r>
    <x v="1"/>
    <x v="2"/>
    <x v="5"/>
    <x v="0"/>
    <x v="1"/>
    <n v="670.53770204379009"/>
    <n v="79.847152496510944"/>
    <n v="750.38485454030103"/>
    <n v="0.48868789339035373"/>
    <n v="0.48868789339035373"/>
  </r>
  <r>
    <x v="1"/>
    <x v="2"/>
    <x v="6"/>
    <x v="0"/>
    <x v="1"/>
    <n v="301.56955089812925"/>
    <n v="560.68052288000536"/>
    <n v="862.25007377813461"/>
    <n v="0.56346040191374502"/>
    <n v="0.56346040191374502"/>
  </r>
  <r>
    <x v="1"/>
    <x v="2"/>
    <x v="0"/>
    <x v="1"/>
    <x v="0"/>
    <n v="645.04793102127201"/>
    <n v="322.81938300901288"/>
    <n v="967.86731403028489"/>
    <n v="0.21190097795132057"/>
    <n v="0.21190097795132057"/>
  </r>
  <r>
    <x v="1"/>
    <x v="2"/>
    <x v="1"/>
    <x v="1"/>
    <x v="0"/>
    <n v="2017.7534413541289"/>
    <n v="310.45661948766605"/>
    <n v="2328.210060841795"/>
    <n v="0.48869344573445073"/>
    <n v="0.48869344573445073"/>
  </r>
  <r>
    <x v="1"/>
    <x v="2"/>
    <x v="2"/>
    <x v="1"/>
    <x v="0"/>
    <n v="1812.2203407463007"/>
    <n v="1238.2800203843512"/>
    <n v="3050.500361130652"/>
    <n v="0.6149666003971398"/>
    <n v="0.6149666003971398"/>
  </r>
  <r>
    <x v="1"/>
    <x v="2"/>
    <x v="3"/>
    <x v="1"/>
    <x v="0"/>
    <n v="679.65601153671025"/>
    <n v="429.4188525901676"/>
    <n v="1109.0748641268779"/>
    <n v="0.21899921136912237"/>
    <n v="0.21899921136912237"/>
  </r>
  <r>
    <x v="1"/>
    <x v="2"/>
    <x v="4"/>
    <x v="1"/>
    <x v="0"/>
    <n v="381.6851075789445"/>
    <n v="396.97580997776134"/>
    <n v="778.66091755670584"/>
    <n v="0.16938182336979987"/>
    <n v="0.16938182336979987"/>
  </r>
  <r>
    <x v="1"/>
    <x v="2"/>
    <x v="5"/>
    <x v="1"/>
    <x v="0"/>
    <n v="1853.243031416828"/>
    <n v="150.5033883756731"/>
    <n v="2003.746419792501"/>
    <n v="0.44916044071208566"/>
    <n v="0.44916044071208566"/>
  </r>
  <r>
    <x v="1"/>
    <x v="2"/>
    <x v="6"/>
    <x v="1"/>
    <x v="0"/>
    <n v="1234.8096353811716"/>
    <n v="1056.8231408549241"/>
    <n v="2291.6327762360957"/>
    <n v="0.51788444600830175"/>
    <n v="0.51788444600830175"/>
  </r>
  <r>
    <x v="1"/>
    <x v="2"/>
    <x v="0"/>
    <x v="1"/>
    <x v="1"/>
    <n v="166.54704155921343"/>
    <n v="158.54547697717084"/>
    <n v="325.09251853638426"/>
    <n v="0.21190097795132057"/>
    <n v="0.21190097795132057"/>
  </r>
  <r>
    <x v="1"/>
    <x v="2"/>
    <x v="1"/>
    <x v="1"/>
    <x v="1"/>
    <n v="663.81165908967"/>
    <n v="152.47378381866812"/>
    <n v="816.28544290833815"/>
    <n v="0.48869344573445073"/>
    <n v="0.48869344573445073"/>
  </r>
  <r>
    <x v="1"/>
    <x v="2"/>
    <x v="2"/>
    <x v="1"/>
    <x v="1"/>
    <n v="513.30494745631631"/>
    <n v="608.1533724313465"/>
    <n v="1121.4583198876628"/>
    <n v="0.6149666003971398"/>
    <n v="0.6149666003971398"/>
  </r>
  <r>
    <x v="1"/>
    <x v="2"/>
    <x v="3"/>
    <x v="1"/>
    <x v="1"/>
    <n v="205.1273771407439"/>
    <n v="210.89940812196144"/>
    <n v="416.02678526270535"/>
    <n v="0.21899921136912237"/>
    <n v="0.21899921136912237"/>
  </r>
  <r>
    <x v="1"/>
    <x v="2"/>
    <x v="4"/>
    <x v="1"/>
    <x v="1"/>
    <n v="69.271448278121284"/>
    <n v="194.96573766627182"/>
    <n v="264.2371859443931"/>
    <n v="0.16938182336979987"/>
    <n v="0.16938182336979987"/>
  </r>
  <r>
    <x v="1"/>
    <x v="2"/>
    <x v="5"/>
    <x v="1"/>
    <x v="1"/>
    <n v="581.42883528454672"/>
    <n v="73.916353083529913"/>
    <n v="655.34518836807661"/>
    <n v="0.44916044071208566"/>
    <n v="0.44916044071208566"/>
  </r>
  <r>
    <x v="1"/>
    <x v="2"/>
    <x v="6"/>
    <x v="1"/>
    <x v="1"/>
    <n v="234.08472696557942"/>
    <n v="519.03490857820577"/>
    <n v="753.11963554378519"/>
    <n v="0.51788444600830175"/>
    <n v="0.51788444600830175"/>
  </r>
  <r>
    <x v="1"/>
    <x v="2"/>
    <x v="0"/>
    <x v="2"/>
    <x v="0"/>
    <n v="935.22974903332943"/>
    <n v="383.05153389915927"/>
    <n v="1318.2812829324887"/>
    <n v="0.25212154881410359"/>
    <n v="0.25212154881410359"/>
  </r>
  <r>
    <x v="1"/>
    <x v="2"/>
    <x v="1"/>
    <x v="2"/>
    <x v="0"/>
    <n v="2785.5480836031702"/>
    <n v="368.38210641328737"/>
    <n v="3153.9301900164573"/>
    <n v="0.58144648536539945"/>
    <n v="0.58144648536539945"/>
  </r>
  <r>
    <x v="1"/>
    <x v="2"/>
    <x v="2"/>
    <x v="2"/>
    <x v="0"/>
    <n v="2641.6136625940176"/>
    <n v="1469.3202644268254"/>
    <n v="4110.9339270208429"/>
    <n v="0.73167272756864332"/>
    <n v="0.73167272756864332"/>
  </r>
  <r>
    <x v="1"/>
    <x v="2"/>
    <x v="3"/>
    <x v="2"/>
    <x v="0"/>
    <n v="981.70243992065912"/>
    <n v="509.54050105872051"/>
    <n v="1491.2429409793797"/>
    <n v="0.26055764807099963"/>
    <n v="0.26055764807099963"/>
  </r>
  <r>
    <x v="1"/>
    <x v="2"/>
    <x v="4"/>
    <x v="2"/>
    <x v="0"/>
    <n v="587.67720889827979"/>
    <n v="471.04418426014126"/>
    <n v="1058.7213931584211"/>
    <n v="0.20153214563095453"/>
    <n v="0.20153214563095453"/>
  </r>
  <r>
    <x v="1"/>
    <x v="2"/>
    <x v="5"/>
    <x v="2"/>
    <x v="0"/>
    <n v="2558.7354586855758"/>
    <n v="178.58454853905988"/>
    <n v="2737.3200072246359"/>
    <n v="0.53441851648263716"/>
    <n v="0.53441851648263716"/>
  </r>
  <r>
    <x v="1"/>
    <x v="2"/>
    <x v="6"/>
    <x v="2"/>
    <x v="0"/>
    <n v="1874.7755827947483"/>
    <n v="1254.0068734141153"/>
    <n v="3128.7824562088636"/>
    <n v="0.61618845045249437"/>
    <n v="0.61618845045249437"/>
  </r>
  <r>
    <x v="1"/>
    <x v="2"/>
    <x v="0"/>
    <x v="2"/>
    <x v="1"/>
    <n v="243.58969769124619"/>
    <n v="186.42091693459938"/>
    <n v="430.01061462584556"/>
    <n v="0.25212154881410359"/>
    <n v="0.25212154881410359"/>
  </r>
  <r>
    <x v="1"/>
    <x v="2"/>
    <x v="1"/>
    <x v="2"/>
    <x v="1"/>
    <n v="897.77508994921004"/>
    <n v="179.28169967319101"/>
    <n v="1077.0567896224011"/>
    <n v="0.58144648536539945"/>
    <n v="0.58144648536539945"/>
  </r>
  <r>
    <x v="1"/>
    <x v="2"/>
    <x v="2"/>
    <x v="2"/>
    <x v="1"/>
    <n v="759.84644202065931"/>
    <n v="715.07879938981239"/>
    <n v="1474.9252414104717"/>
    <n v="0.73167272756864332"/>
    <n v="0.73167272756864332"/>
  </r>
  <r>
    <x v="1"/>
    <x v="2"/>
    <x v="3"/>
    <x v="2"/>
    <x v="1"/>
    <n v="298.43369067570904"/>
    <n v="247.97970773219367"/>
    <n v="546.41339840790272"/>
    <n v="0.26055764807099963"/>
    <n v="0.26055764807099963"/>
  </r>
  <r>
    <x v="1"/>
    <x v="2"/>
    <x v="4"/>
    <x v="2"/>
    <x v="1"/>
    <n v="120.14600073323152"/>
    <n v="229.24458193033399"/>
    <n v="349.39058266356551"/>
    <n v="0.20153214563095453"/>
    <n v="0.20153214563095453"/>
  </r>
  <r>
    <x v="1"/>
    <x v="2"/>
    <x v="5"/>
    <x v="2"/>
    <x v="1"/>
    <n v="781.46496765691472"/>
    <n v="86.912314252127032"/>
    <n v="868.3772819090417"/>
    <n v="0.53441851648263716"/>
    <n v="0.53441851648263716"/>
  </r>
  <r>
    <x v="1"/>
    <x v="2"/>
    <x v="6"/>
    <x v="2"/>
    <x v="1"/>
    <n v="387.35743326089766"/>
    <n v="610.29154172684116"/>
    <n v="997.64897498773882"/>
    <n v="0.61618845045249437"/>
    <n v="0.61618845045249437"/>
  </r>
  <r>
    <x v="2"/>
    <x v="0"/>
    <x v="0"/>
    <x v="0"/>
    <x v="0"/>
    <n v="1195.997892751479"/>
    <n v="293.31491204786948"/>
    <n v="1489.3128047993484"/>
    <n v="0.30609451611144473"/>
    <n v="0.30609451611144473"/>
  </r>
  <r>
    <x v="2"/>
    <x v="0"/>
    <x v="1"/>
    <x v="0"/>
    <x v="0"/>
    <n v="3294.6543550282831"/>
    <n v="327.28413406939285"/>
    <n v="3621.9384890976758"/>
    <n v="0.71507948004505717"/>
    <n v="0.71507948004505717"/>
  </r>
  <r>
    <x v="2"/>
    <x v="0"/>
    <x v="2"/>
    <x v="0"/>
    <x v="0"/>
    <n v="4160.624117882031"/>
    <n v="1069.2955307709744"/>
    <n v="5229.9196486530054"/>
    <n v="0.99354231338365995"/>
    <n v="0.99354231338365995"/>
  </r>
  <r>
    <x v="2"/>
    <x v="0"/>
    <x v="3"/>
    <x v="0"/>
    <x v="0"/>
    <n v="1461.7684896073217"/>
    <n v="393.66060996339161"/>
    <n v="1855.4290995707133"/>
    <n v="0.34553236028685302"/>
    <n v="0.34553236028685302"/>
  </r>
  <r>
    <x v="2"/>
    <x v="0"/>
    <x v="4"/>
    <x v="0"/>
    <x v="0"/>
    <n v="905.12309932931635"/>
    <n v="361.32730707586893"/>
    <n v="1266.4504064051853"/>
    <n v="0.25877874709577608"/>
    <n v="0.25877874709577608"/>
  </r>
  <r>
    <x v="2"/>
    <x v="0"/>
    <x v="5"/>
    <x v="0"/>
    <x v="0"/>
    <n v="3144.6816718081432"/>
    <n v="173.91848683528997"/>
    <n v="3318.6001586434331"/>
    <n v="0.69759162813543685"/>
    <n v="0.69759162813543685"/>
  </r>
  <r>
    <x v="2"/>
    <x v="0"/>
    <x v="6"/>
    <x v="0"/>
    <x v="0"/>
    <n v="2346.1926326886828"/>
    <n v="936.5522996930066"/>
    <n v="3282.7449323816895"/>
    <n v="0.69583162471255633"/>
    <n v="0.69583162471255633"/>
  </r>
  <r>
    <x v="2"/>
    <x v="0"/>
    <x v="0"/>
    <x v="0"/>
    <x v="1"/>
    <n v="343.13108766746006"/>
    <n v="150.76887876978779"/>
    <n v="493.89996643724783"/>
    <n v="0.30609451611144473"/>
    <n v="0.30609451611144473"/>
  </r>
  <r>
    <x v="2"/>
    <x v="0"/>
    <x v="1"/>
    <x v="0"/>
    <x v="1"/>
    <n v="1086.8943526841663"/>
    <n v="168.22963956476295"/>
    <n v="1255.1239922489292"/>
    <n v="0.71507948004505717"/>
    <n v="0.71507948004505717"/>
  </r>
  <r>
    <x v="2"/>
    <x v="0"/>
    <x v="2"/>
    <x v="0"/>
    <x v="1"/>
    <n v="1352.0566918489883"/>
    <n v="549.63618154393089"/>
    <n v="1901.6928733929192"/>
    <n v="0.99354231338365995"/>
    <n v="0.99354231338365995"/>
  </r>
  <r>
    <x v="2"/>
    <x v="0"/>
    <x v="3"/>
    <x v="0"/>
    <x v="1"/>
    <n v="486.27341036422342"/>
    <n v="202.34828282554204"/>
    <n v="688.62169318976544"/>
    <n v="0.34553236028685302"/>
    <n v="0.34553236028685302"/>
  </r>
  <r>
    <x v="2"/>
    <x v="0"/>
    <x v="4"/>
    <x v="0"/>
    <x v="1"/>
    <n v="238.80448516952774"/>
    <n v="185.72841243013531"/>
    <n v="424.53289759966304"/>
    <n v="0.25877874709577608"/>
    <n v="0.25877874709577608"/>
  </r>
  <r>
    <x v="2"/>
    <x v="0"/>
    <x v="5"/>
    <x v="0"/>
    <x v="1"/>
    <n v="981.76142795469195"/>
    <n v="89.397075226831205"/>
    <n v="1071.1585031815232"/>
    <n v="0.69759162813543685"/>
    <n v="0.69759162813543685"/>
  </r>
  <r>
    <x v="2"/>
    <x v="0"/>
    <x v="6"/>
    <x v="0"/>
    <x v="1"/>
    <n v="583.41072126171071"/>
    <n v="481.40389163349528"/>
    <n v="1064.814612895206"/>
    <n v="0.69583162471255633"/>
    <n v="0.69583162471255633"/>
  </r>
  <r>
    <x v="2"/>
    <x v="0"/>
    <x v="0"/>
    <x v="1"/>
    <x v="0"/>
    <n v="1014.2286326260121"/>
    <n v="270.79359099611355"/>
    <n v="1285.0222236221257"/>
    <n v="0.28133759858140028"/>
    <n v="0.28133759858140028"/>
  </r>
  <r>
    <x v="2"/>
    <x v="0"/>
    <x v="1"/>
    <x v="1"/>
    <x v="0"/>
    <n v="2829.076748157172"/>
    <n v="302.15458642021031"/>
    <n v="3131.2313345773823"/>
    <n v="0.65724835401365655"/>
    <n v="0.65724835401365655"/>
  </r>
  <r>
    <x v="2"/>
    <x v="0"/>
    <x v="2"/>
    <x v="1"/>
    <x v="0"/>
    <n v="3542.6918438347911"/>
    <n v="987.19282491273691"/>
    <n v="4529.8846687475279"/>
    <n v="0.9132035552024268"/>
    <n v="0.9132035552024268"/>
  </r>
  <r>
    <x v="2"/>
    <x v="0"/>
    <x v="3"/>
    <x v="1"/>
    <x v="0"/>
    <n v="1244.9553894108999"/>
    <n v="363.43454024018331"/>
    <n v="1608.3899296510831"/>
    <n v="0.31759454439076523"/>
    <n v="0.31759454439076523"/>
  </r>
  <r>
    <x v="2"/>
    <x v="0"/>
    <x v="4"/>
    <x v="1"/>
    <x v="0"/>
    <n v="759.82377037533035"/>
    <n v="333.58385472083171"/>
    <n v="1093.4076250961621"/>
    <n v="0.23784855904462843"/>
    <n v="0.23784855904462843"/>
  </r>
  <r>
    <x v="2"/>
    <x v="0"/>
    <x v="5"/>
    <x v="1"/>
    <x v="0"/>
    <n v="2699.7409504981824"/>
    <n v="160.56466840339962"/>
    <n v="2860.305618901582"/>
    <n v="0.64116702576073803"/>
    <n v="0.64116702576073803"/>
  </r>
  <r>
    <x v="2"/>
    <x v="0"/>
    <x v="6"/>
    <x v="1"/>
    <x v="0"/>
    <n v="1965.3538854115091"/>
    <n v="864.64189160675062"/>
    <n v="2829.9957770182596"/>
    <n v="0.63954871408067993"/>
    <n v="0.63954871408067993"/>
  </r>
  <r>
    <x v="2"/>
    <x v="0"/>
    <x v="0"/>
    <x v="1"/>
    <x v="1"/>
    <n v="291.71766378967897"/>
    <n v="139.90256451722638"/>
    <n v="431.62022830690535"/>
    <n v="0.28133759858140028"/>
    <n v="0.28133759858140028"/>
  </r>
  <r>
    <x v="2"/>
    <x v="0"/>
    <x v="1"/>
    <x v="1"/>
    <x v="1"/>
    <n v="941.72499177105396"/>
    <n v="156.10488182283467"/>
    <n v="1097.8298735938886"/>
    <n v="0.65724835401365655"/>
    <n v="0.65724835401365655"/>
  </r>
  <r>
    <x v="2"/>
    <x v="0"/>
    <x v="2"/>
    <x v="1"/>
    <x v="1"/>
    <n v="1155.3033262848039"/>
    <n v="510.02243949074608"/>
    <n v="1665.3257657755501"/>
    <n v="0.9132035552024268"/>
    <n v="0.9132035552024268"/>
  </r>
  <r>
    <x v="2"/>
    <x v="0"/>
    <x v="3"/>
    <x v="1"/>
    <x v="1"/>
    <n v="415.5611270075625"/>
    <n v="187.76450368232861"/>
    <n v="603.32563068989111"/>
    <n v="0.31759454439076523"/>
    <n v="0.31759454439076523"/>
  </r>
  <r>
    <x v="2"/>
    <x v="0"/>
    <x v="4"/>
    <x v="1"/>
    <x v="1"/>
    <n v="198.70344512227553"/>
    <n v="172.34247156778548"/>
    <n v="371.04591669006101"/>
    <n v="0.23784855904462843"/>
    <n v="0.23784855904462843"/>
  </r>
  <r>
    <x v="2"/>
    <x v="0"/>
    <x v="5"/>
    <x v="1"/>
    <x v="1"/>
    <n v="852.53740042280663"/>
    <n v="82.953990151177806"/>
    <n v="935.4913905739844"/>
    <n v="0.64116702576073803"/>
    <n v="0.64116702576073803"/>
  </r>
  <r>
    <x v="2"/>
    <x v="0"/>
    <x v="6"/>
    <x v="1"/>
    <x v="1"/>
    <n v="483.33881843867317"/>
    <n v="446.70783226382258"/>
    <n v="930.04665070249575"/>
    <n v="0.63954871408067993"/>
    <n v="0.63954871408067993"/>
  </r>
  <r>
    <x v="2"/>
    <x v="0"/>
    <x v="0"/>
    <x v="2"/>
    <x v="0"/>
    <n v="1430.4442634382485"/>
    <n v="319.81708023631711"/>
    <n v="1750.2613436745655"/>
    <n v="0.33473781848367856"/>
    <n v="0.33473781848367856"/>
  </r>
  <r>
    <x v="2"/>
    <x v="0"/>
    <x v="1"/>
    <x v="2"/>
    <x v="0"/>
    <n v="3884.8944488672319"/>
    <n v="356.85555649029578"/>
    <n v="4241.7500053575277"/>
    <n v="0.78199277847710724"/>
    <n v="0.78199277847710724"/>
  </r>
  <r>
    <x v="2"/>
    <x v="0"/>
    <x v="2"/>
    <x v="2"/>
    <x v="0"/>
    <n v="4938.6802104380267"/>
    <n v="1165.9106322732903"/>
    <n v="6104.5908427113172"/>
    <n v="1.0865080081240939"/>
    <n v="1.0865080081240939"/>
  </r>
  <r>
    <x v="2"/>
    <x v="0"/>
    <x v="3"/>
    <x v="2"/>
    <x v="0"/>
    <n v="1733.3839586792494"/>
    <n v="429.22941081833716"/>
    <n v="2162.6133694975865"/>
    <n v="0.37786294758459577"/>
    <n v="0.37786294758459577"/>
  </r>
  <r>
    <x v="2"/>
    <x v="0"/>
    <x v="4"/>
    <x v="2"/>
    <x v="0"/>
    <n v="1092.6981827641521"/>
    <n v="393.97466549466191"/>
    <n v="1486.6728482588139"/>
    <n v="0.28299453557565851"/>
    <n v="0.28299453557565851"/>
  </r>
  <r>
    <x v="2"/>
    <x v="0"/>
    <x v="5"/>
    <x v="2"/>
    <x v="0"/>
    <n v="3717.8336805576828"/>
    <n v="189.63271342202742"/>
    <n v="3907.4663939797101"/>
    <n v="0.76287112502919741"/>
    <n v="0.76287112502919741"/>
  </r>
  <r>
    <x v="2"/>
    <x v="0"/>
    <x v="6"/>
    <x v="2"/>
    <x v="0"/>
    <n v="2842.6397506372323"/>
    <n v="1021.1735226320253"/>
    <n v="3863.8132732692575"/>
    <n v="0.76094683699371513"/>
    <n v="0.76094683699371513"/>
  </r>
  <r>
    <x v="2"/>
    <x v="0"/>
    <x v="0"/>
    <x v="2"/>
    <x v="1"/>
    <n v="407.04418372324631"/>
    <n v="163.87415206253334"/>
    <n v="570.91833578577962"/>
    <n v="0.33473781848367856"/>
    <n v="0.33473781848367856"/>
  </r>
  <r>
    <x v="2"/>
    <x v="0"/>
    <x v="1"/>
    <x v="2"/>
    <x v="1"/>
    <n v="1265.6910263445457"/>
    <n v="182.8526534150067"/>
    <n v="1448.5436797595523"/>
    <n v="0.78199277847710724"/>
    <n v="0.78199277847710724"/>
  </r>
  <r>
    <x v="2"/>
    <x v="0"/>
    <x v="2"/>
    <x v="2"/>
    <x v="1"/>
    <n v="1592.7994164425359"/>
    <n v="597.41217105508815"/>
    <n v="2190.2115874976239"/>
    <n v="1.0865080081240939"/>
    <n v="1.0865080081240939"/>
  </r>
  <r>
    <x v="2"/>
    <x v="0"/>
    <x v="3"/>
    <x v="2"/>
    <x v="1"/>
    <n v="572.47643192756334"/>
    <n v="219.93698925079573"/>
    <n v="792.41342117835904"/>
    <n v="0.37786294758459577"/>
    <n v="0.37786294758459577"/>
  </r>
  <r>
    <x v="2"/>
    <x v="0"/>
    <x v="4"/>
    <x v="2"/>
    <x v="1"/>
    <n v="288.74715384534124"/>
    <n v="201.87247095856176"/>
    <n v="490.61962480390304"/>
    <n v="0.28299453557565851"/>
    <n v="0.28299453557565851"/>
  </r>
  <r>
    <x v="2"/>
    <x v="0"/>
    <x v="5"/>
    <x v="2"/>
    <x v="1"/>
    <n v="1142.4224654684713"/>
    <n v="97.167731293118351"/>
    <n v="1239.5901967615896"/>
    <n v="0.76287112502919741"/>
    <n v="0.76287112502919741"/>
  </r>
  <r>
    <x v="2"/>
    <x v="0"/>
    <x v="6"/>
    <x v="2"/>
    <x v="1"/>
    <n v="708.77323983379961"/>
    <n v="523.24893031473061"/>
    <n v="1232.0221701485302"/>
    <n v="0.76094683699371513"/>
    <n v="0.76094683699371513"/>
  </r>
  <r>
    <x v="2"/>
    <x v="1"/>
    <x v="0"/>
    <x v="0"/>
    <x v="0"/>
    <n v="1198.3703420651805"/>
    <n v="290.94246273416792"/>
    <n v="1489.3128047993484"/>
    <n v="0.30609451611144473"/>
    <n v="0.30609451611144473"/>
  </r>
  <r>
    <x v="2"/>
    <x v="1"/>
    <x v="1"/>
    <x v="0"/>
    <x v="0"/>
    <n v="3297.3015611107739"/>
    <n v="324.63692798690187"/>
    <n v="3621.9384890976758"/>
    <n v="0.71507948004505717"/>
    <n v="0.71507948004505717"/>
  </r>
  <r>
    <x v="2"/>
    <x v="1"/>
    <x v="2"/>
    <x v="0"/>
    <x v="0"/>
    <n v="4169.2730114224587"/>
    <n v="1060.6466372305467"/>
    <n v="5229.9196486530054"/>
    <n v="0.99354231338365995"/>
    <n v="0.99354231338365995"/>
  </r>
  <r>
    <x v="2"/>
    <x v="1"/>
    <x v="3"/>
    <x v="0"/>
    <x v="0"/>
    <n v="1464.9525753990058"/>
    <n v="390.47652417170747"/>
    <n v="1855.4290995707133"/>
    <n v="0.34553236028685302"/>
    <n v="0.34553236028685302"/>
  </r>
  <r>
    <x v="2"/>
    <x v="1"/>
    <x v="4"/>
    <x v="0"/>
    <x v="0"/>
    <n v="908.04566032599018"/>
    <n v="358.40474607919504"/>
    <n v="1266.4504064051853"/>
    <n v="0.25877874709577608"/>
    <n v="0.25877874709577608"/>
  </r>
  <r>
    <x v="2"/>
    <x v="1"/>
    <x v="5"/>
    <x v="0"/>
    <x v="0"/>
    <n v="3146.0883946776066"/>
    <n v="172.51176396582645"/>
    <n v="3318.6001586434331"/>
    <n v="0.69759162813543685"/>
    <n v="0.69759162813543685"/>
  </r>
  <r>
    <x v="2"/>
    <x v="1"/>
    <x v="6"/>
    <x v="0"/>
    <x v="0"/>
    <n v="2353.7678454357601"/>
    <n v="928.97708694592939"/>
    <n v="3282.7449323816895"/>
    <n v="0.69583162471255633"/>
    <n v="0.69583162471255633"/>
  </r>
  <r>
    <x v="2"/>
    <x v="1"/>
    <x v="0"/>
    <x v="0"/>
    <x v="1"/>
    <n v="344.42208572382765"/>
    <n v="149.47788071342015"/>
    <n v="493.89996643724783"/>
    <n v="0.30609451611144473"/>
    <n v="0.30609451611144473"/>
  </r>
  <r>
    <x v="2"/>
    <x v="1"/>
    <x v="1"/>
    <x v="0"/>
    <x v="1"/>
    <n v="1088.3348630830872"/>
    <n v="166.78912916584198"/>
    <n v="1255.1239922489292"/>
    <n v="0.71507948004505717"/>
    <n v="0.71507948004505717"/>
  </r>
  <r>
    <x v="2"/>
    <x v="1"/>
    <x v="2"/>
    <x v="0"/>
    <x v="1"/>
    <n v="1356.7630957691636"/>
    <n v="544.92977762375574"/>
    <n v="1901.6928733929192"/>
    <n v="0.99354231338365995"/>
    <n v="0.99354231338365995"/>
  </r>
  <r>
    <x v="2"/>
    <x v="1"/>
    <x v="3"/>
    <x v="0"/>
    <x v="1"/>
    <n v="488.00607059204413"/>
    <n v="200.61562259772131"/>
    <n v="688.62169318976544"/>
    <n v="0.34553236028685302"/>
    <n v="0.34553236028685302"/>
  </r>
  <r>
    <x v="2"/>
    <x v="1"/>
    <x v="4"/>
    <x v="0"/>
    <x v="1"/>
    <n v="240.3948333993219"/>
    <n v="184.13806420034115"/>
    <n v="424.53289759966304"/>
    <n v="0.25877874709577608"/>
    <n v="0.25877874709577608"/>
  </r>
  <r>
    <x v="2"/>
    <x v="1"/>
    <x v="5"/>
    <x v="0"/>
    <x v="1"/>
    <n v="982.5269138514135"/>
    <n v="88.631589330109662"/>
    <n v="1071.1585031815232"/>
    <n v="0.69759162813543685"/>
    <n v="0.69759162813543685"/>
  </r>
  <r>
    <x v="2"/>
    <x v="1"/>
    <x v="6"/>
    <x v="0"/>
    <x v="1"/>
    <n v="587.53286830888521"/>
    <n v="477.28174458632077"/>
    <n v="1064.814612895206"/>
    <n v="0.69583162471255633"/>
    <n v="0.69583162471255633"/>
  </r>
  <r>
    <x v="2"/>
    <x v="1"/>
    <x v="0"/>
    <x v="1"/>
    <x v="0"/>
    <n v="1016.4229320766908"/>
    <n v="268.59929154543482"/>
    <n v="1285.0222236221257"/>
    <n v="0.28133759858140028"/>
    <n v="0.28133759858140028"/>
  </r>
  <r>
    <x v="2"/>
    <x v="1"/>
    <x v="1"/>
    <x v="1"/>
    <x v="0"/>
    <n v="2831.5251725846597"/>
    <n v="299.70616199272251"/>
    <n v="3131.2313345773823"/>
    <n v="0.65724835401365655"/>
    <n v="0.65724835401365655"/>
  </r>
  <r>
    <x v="2"/>
    <x v="1"/>
    <x v="2"/>
    <x v="1"/>
    <x v="0"/>
    <n v="3550.6912823202133"/>
    <n v="979.19338642731464"/>
    <n v="4529.8846687475279"/>
    <n v="0.9132035552024268"/>
    <n v="0.9132035552024268"/>
  </r>
  <r>
    <x v="2"/>
    <x v="1"/>
    <x v="3"/>
    <x v="1"/>
    <x v="0"/>
    <n v="1247.9003786518736"/>
    <n v="360.48955099920948"/>
    <n v="1608.3899296510831"/>
    <n v="0.31759454439076523"/>
    <n v="0.31759454439076523"/>
  </r>
  <r>
    <x v="2"/>
    <x v="1"/>
    <x v="4"/>
    <x v="1"/>
    <x v="0"/>
    <n v="762.52687300961657"/>
    <n v="330.88075208654556"/>
    <n v="1093.4076250961621"/>
    <n v="0.23784855904462843"/>
    <n v="0.23784855904462843"/>
  </r>
  <r>
    <x v="2"/>
    <x v="1"/>
    <x v="5"/>
    <x v="1"/>
    <x v="0"/>
    <n v="2701.0420409796075"/>
    <n v="159.2635779219743"/>
    <n v="2860.305618901582"/>
    <n v="0.64116702576073803"/>
    <n v="0.64116702576073803"/>
  </r>
  <r>
    <x v="2"/>
    <x v="1"/>
    <x v="6"/>
    <x v="1"/>
    <x v="0"/>
    <n v="1972.3602669909542"/>
    <n v="857.63551002730549"/>
    <n v="2829.9957770182596"/>
    <n v="0.63954871408067993"/>
    <n v="0.63954871408067993"/>
  </r>
  <r>
    <x v="2"/>
    <x v="1"/>
    <x v="0"/>
    <x v="1"/>
    <x v="1"/>
    <n v="292.91812366426598"/>
    <n v="138.70210464263937"/>
    <n v="431.62022830690535"/>
    <n v="0.28133759858140028"/>
    <n v="0.28133759858140028"/>
  </r>
  <r>
    <x v="2"/>
    <x v="1"/>
    <x v="1"/>
    <x v="1"/>
    <x v="1"/>
    <n v="943.06447863108497"/>
    <n v="154.76539496280355"/>
    <n v="1097.8298735938886"/>
    <n v="0.65724835401365655"/>
    <n v="0.65724835401365655"/>
  </r>
  <r>
    <x v="2"/>
    <x v="1"/>
    <x v="2"/>
    <x v="1"/>
    <x v="1"/>
    <n v="1159.6796683187074"/>
    <n v="505.6460974568426"/>
    <n v="1665.3257657755501"/>
    <n v="0.9132035552024268"/>
    <n v="0.9132035552024268"/>
  </r>
  <r>
    <x v="2"/>
    <x v="1"/>
    <x v="3"/>
    <x v="1"/>
    <x v="1"/>
    <n v="417.17227511853957"/>
    <n v="186.15335557135154"/>
    <n v="603.32563068989111"/>
    <n v="0.31759454439076523"/>
    <n v="0.31759454439076523"/>
  </r>
  <r>
    <x v="2"/>
    <x v="1"/>
    <x v="4"/>
    <x v="1"/>
    <x v="1"/>
    <n v="200.18226162945155"/>
    <n v="170.86365506060946"/>
    <n v="371.04591669006101"/>
    <n v="0.23784855904462843"/>
    <n v="0.23784855904462843"/>
  </r>
  <r>
    <x v="2"/>
    <x v="1"/>
    <x v="5"/>
    <x v="1"/>
    <x v="1"/>
    <n v="853.24920250418393"/>
    <n v="82.242188069800491"/>
    <n v="935.4913905739844"/>
    <n v="0.64116702576073803"/>
    <n v="0.64116702576073803"/>
  </r>
  <r>
    <x v="2"/>
    <x v="1"/>
    <x v="6"/>
    <x v="1"/>
    <x v="1"/>
    <n v="487.17187775497001"/>
    <n v="442.87477294752574"/>
    <n v="930.04665070249575"/>
    <n v="0.63954871408067993"/>
    <n v="0.63954871408067993"/>
  </r>
  <r>
    <x v="2"/>
    <x v="1"/>
    <x v="0"/>
    <x v="2"/>
    <x v="0"/>
    <n v="1433.0293637585739"/>
    <n v="317.23197991599159"/>
    <n v="1750.2613436745655"/>
    <n v="0.33473781848367856"/>
    <n v="0.33473781848367856"/>
  </r>
  <r>
    <x v="2"/>
    <x v="1"/>
    <x v="1"/>
    <x v="2"/>
    <x v="0"/>
    <n v="3887.7789333754126"/>
    <n v="353.97107198211529"/>
    <n v="4241.7500053575277"/>
    <n v="0.78199277847710724"/>
    <n v="0.78199277847710724"/>
  </r>
  <r>
    <x v="2"/>
    <x v="1"/>
    <x v="2"/>
    <x v="2"/>
    <x v="0"/>
    <n v="4948.1043348366793"/>
    <n v="1156.4865078746382"/>
    <n v="6104.5908427113172"/>
    <n v="1.0865080081240939"/>
    <n v="1.0865080081240939"/>
  </r>
  <r>
    <x v="2"/>
    <x v="1"/>
    <x v="3"/>
    <x v="2"/>
    <x v="0"/>
    <n v="1736.8534453201185"/>
    <n v="425.75992417746812"/>
    <n v="2162.6133694975865"/>
    <n v="0.37786294758459577"/>
    <n v="0.37786294758459577"/>
  </r>
  <r>
    <x v="2"/>
    <x v="1"/>
    <x v="4"/>
    <x v="2"/>
    <x v="0"/>
    <n v="1095.8827032194633"/>
    <n v="390.79014503935053"/>
    <n v="1486.6728482588139"/>
    <n v="0.28299453557565851"/>
    <n v="0.28299453557565851"/>
  </r>
  <r>
    <x v="2"/>
    <x v="1"/>
    <x v="5"/>
    <x v="2"/>
    <x v="0"/>
    <n v="3719.3664929636034"/>
    <n v="188.09990101610688"/>
    <n v="3907.4663939797101"/>
    <n v="0.76287112502919741"/>
    <n v="0.76287112502919741"/>
  </r>
  <r>
    <x v="2"/>
    <x v="1"/>
    <x v="6"/>
    <x v="2"/>
    <x v="0"/>
    <n v="2850.8939564429816"/>
    <n v="1012.9193168262759"/>
    <n v="3863.8132732692575"/>
    <n v="0.76094683699371513"/>
    <n v="0.76094683699371513"/>
  </r>
  <r>
    <x v="2"/>
    <x v="1"/>
    <x v="0"/>
    <x v="2"/>
    <x v="1"/>
    <n v="408.44677338694294"/>
    <n v="162.47156239883671"/>
    <n v="570.91833578577962"/>
    <n v="0.33473781848367856"/>
    <n v="0.33473781848367856"/>
  </r>
  <r>
    <x v="2"/>
    <x v="1"/>
    <x v="1"/>
    <x v="2"/>
    <x v="1"/>
    <n v="1267.2560519354122"/>
    <n v="181.28762782414015"/>
    <n v="1448.5436797595523"/>
    <n v="0.78199277847710724"/>
    <n v="0.78199277847710724"/>
  </r>
  <r>
    <x v="2"/>
    <x v="1"/>
    <x v="2"/>
    <x v="2"/>
    <x v="1"/>
    <n v="1597.9126336616164"/>
    <n v="592.2989538360074"/>
    <n v="2190.2115874976239"/>
    <n v="1.0865080081240939"/>
    <n v="1.0865080081240939"/>
  </r>
  <r>
    <x v="2"/>
    <x v="1"/>
    <x v="3"/>
    <x v="2"/>
    <x v="1"/>
    <n v="574.35886026605169"/>
    <n v="218.05456091230732"/>
    <n v="792.41342117835904"/>
    <n v="0.37786294758459577"/>
    <n v="0.37786294758459577"/>
  </r>
  <r>
    <x v="2"/>
    <x v="1"/>
    <x v="4"/>
    <x v="2"/>
    <x v="1"/>
    <n v="290.47496898633665"/>
    <n v="200.14465581756642"/>
    <n v="490.61962480390304"/>
    <n v="0.28299453557565851"/>
    <n v="0.28299453557565851"/>
  </r>
  <r>
    <x v="2"/>
    <x v="1"/>
    <x v="5"/>
    <x v="2"/>
    <x v="1"/>
    <n v="1143.2541186232934"/>
    <n v="96.336078138296287"/>
    <n v="1239.5901967615896"/>
    <n v="0.76287112502919741"/>
    <n v="0.76287112502919741"/>
  </r>
  <r>
    <x v="2"/>
    <x v="1"/>
    <x v="6"/>
    <x v="2"/>
    <x v="1"/>
    <n v="713.251698040679"/>
    <n v="518.77047210785122"/>
    <n v="1232.0221701485302"/>
    <n v="0.76094683699371513"/>
    <n v="0.76094683699371513"/>
  </r>
  <r>
    <x v="2"/>
    <x v="2"/>
    <x v="0"/>
    <x v="0"/>
    <x v="0"/>
    <n v="1049.9046231655946"/>
    <n v="439.40818163375388"/>
    <n v="1489.3128047993484"/>
    <n v="0.30609451611144473"/>
    <n v="0.30609451611144473"/>
  </r>
  <r>
    <x v="2"/>
    <x v="2"/>
    <x v="1"/>
    <x v="0"/>
    <x v="0"/>
    <n v="3131.641813674848"/>
    <n v="490.2966754228276"/>
    <n v="3621.9384890976758"/>
    <n v="0.71507948004505717"/>
    <n v="0.71507948004505717"/>
  </r>
  <r>
    <x v="2"/>
    <x v="2"/>
    <x v="2"/>
    <x v="0"/>
    <x v="0"/>
    <n v="3628.0331249685505"/>
    <n v="1601.8865236844551"/>
    <n v="5229.9196486530054"/>
    <n v="0.99354231338365995"/>
    <n v="0.99354231338365995"/>
  </r>
  <r>
    <x v="2"/>
    <x v="2"/>
    <x v="3"/>
    <x v="0"/>
    <x v="0"/>
    <n v="1265.6953843731187"/>
    <n v="589.73371519759462"/>
    <n v="1855.4290995707133"/>
    <n v="0.34553236028685302"/>
    <n v="0.34553236028685302"/>
  </r>
  <r>
    <x v="2"/>
    <x v="2"/>
    <x v="4"/>
    <x v="0"/>
    <x v="0"/>
    <n v="725.15445295936547"/>
    <n v="541.2959534458198"/>
    <n v="1266.4504064051853"/>
    <n v="0.25877874709577608"/>
    <n v="0.25877874709577608"/>
  </r>
  <r>
    <x v="2"/>
    <x v="2"/>
    <x v="5"/>
    <x v="0"/>
    <x v="0"/>
    <n v="3058.0569577566107"/>
    <n v="260.54320088682226"/>
    <n v="3318.6001586434331"/>
    <n v="0.69759162813543685"/>
    <n v="0.69759162813543685"/>
  </r>
  <r>
    <x v="2"/>
    <x v="2"/>
    <x v="6"/>
    <x v="0"/>
    <x v="0"/>
    <n v="1879.7179258793697"/>
    <n v="1403.0270065023199"/>
    <n v="3282.7449323816895"/>
    <n v="0.69583162471255633"/>
    <n v="0.69583162471255633"/>
  </r>
  <r>
    <x v="2"/>
    <x v="2"/>
    <x v="0"/>
    <x v="0"/>
    <x v="1"/>
    <n v="279.28705774059131"/>
    <n v="214.61290869665652"/>
    <n v="493.89996643724783"/>
    <n v="0.30609451611144473"/>
    <n v="0.30609451611144473"/>
  </r>
  <r>
    <x v="2"/>
    <x v="2"/>
    <x v="1"/>
    <x v="0"/>
    <x v="1"/>
    <n v="1015.6564537848921"/>
    <n v="239.46753846403712"/>
    <n v="1255.1239922489292"/>
    <n v="0.71507948004505717"/>
    <n v="0.71507948004505717"/>
  </r>
  <r>
    <x v="2"/>
    <x v="2"/>
    <x v="2"/>
    <x v="0"/>
    <x v="1"/>
    <n v="1119.3097940163016"/>
    <n v="782.38307937661773"/>
    <n v="1901.6928733929192"/>
    <n v="0.99354231338365995"/>
    <n v="0.99354231338365995"/>
  </r>
  <r>
    <x v="2"/>
    <x v="2"/>
    <x v="3"/>
    <x v="0"/>
    <x v="1"/>
    <n v="400.58775739807197"/>
    <n v="288.03393579169347"/>
    <n v="688.62169318976544"/>
    <n v="0.34553236028685302"/>
    <n v="0.34553236028685302"/>
  </r>
  <r>
    <x v="2"/>
    <x v="2"/>
    <x v="4"/>
    <x v="0"/>
    <x v="1"/>
    <n v="160.15662084757423"/>
    <n v="264.37627675208881"/>
    <n v="424.53289759966304"/>
    <n v="0.25877874709577608"/>
    <n v="0.25877874709577608"/>
  </r>
  <r>
    <x v="2"/>
    <x v="2"/>
    <x v="5"/>
    <x v="0"/>
    <x v="1"/>
    <n v="943.90567421607602"/>
    <n v="127.25282896544712"/>
    <n v="1071.1585031815232"/>
    <n v="0.69759162813543685"/>
    <n v="0.69759162813543685"/>
  </r>
  <r>
    <x v="2"/>
    <x v="2"/>
    <x v="6"/>
    <x v="0"/>
    <x v="1"/>
    <n v="379.55721571638298"/>
    <n v="685.257397178823"/>
    <n v="1064.814612895206"/>
    <n v="0.69583162471255633"/>
    <n v="0.69583162471255633"/>
  </r>
  <r>
    <x v="2"/>
    <x v="2"/>
    <x v="0"/>
    <x v="1"/>
    <x v="0"/>
    <n v="880.49972108933798"/>
    <n v="404.52250253278777"/>
    <n v="1285.0222236221257"/>
    <n v="0.28133759858140028"/>
    <n v="0.28133759858140028"/>
  </r>
  <r>
    <x v="2"/>
    <x v="2"/>
    <x v="1"/>
    <x v="1"/>
    <x v="0"/>
    <n v="2679.8604989499722"/>
    <n v="451.37083562741026"/>
    <n v="3131.2313345773823"/>
    <n v="0.65724835401365655"/>
    <n v="0.65724835401365655"/>
  </r>
  <r>
    <x v="2"/>
    <x v="2"/>
    <x v="2"/>
    <x v="1"/>
    <x v="0"/>
    <n v="3055.1757934483185"/>
    <n v="1474.7088752992095"/>
    <n v="4529.8846687475279"/>
    <n v="0.9132035552024268"/>
    <n v="0.9132035552024268"/>
  </r>
  <r>
    <x v="2"/>
    <x v="2"/>
    <x v="3"/>
    <x v="1"/>
    <x v="0"/>
    <n v="1065.4766015179941"/>
    <n v="542.91332813308895"/>
    <n v="1608.3899296510831"/>
    <n v="0.31759454439076523"/>
    <n v="0.31759454439076523"/>
  </r>
  <r>
    <x v="2"/>
    <x v="2"/>
    <x v="4"/>
    <x v="1"/>
    <x v="0"/>
    <n v="595.0864675686887"/>
    <n v="498.32115752747336"/>
    <n v="1093.4076250961621"/>
    <n v="0.23784855904462843"/>
    <n v="0.23784855904462843"/>
  </r>
  <r>
    <x v="2"/>
    <x v="2"/>
    <x v="5"/>
    <x v="1"/>
    <x v="0"/>
    <n v="2620.447573362304"/>
    <n v="239.85804553927781"/>
    <n v="2860.305618901582"/>
    <n v="0.64116702576073803"/>
    <n v="0.64116702576073803"/>
  </r>
  <r>
    <x v="2"/>
    <x v="2"/>
    <x v="6"/>
    <x v="1"/>
    <x v="0"/>
    <n v="1538.3584805046009"/>
    <n v="1291.6372965136586"/>
    <n v="2829.9957770182596"/>
    <n v="0.63954871408067993"/>
    <n v="0.63954871408067993"/>
  </r>
  <r>
    <x v="2"/>
    <x v="2"/>
    <x v="0"/>
    <x v="1"/>
    <x v="1"/>
    <n v="232.94810238233211"/>
    <n v="198.67212592457324"/>
    <n v="431.62022830690535"/>
    <n v="0.28133759858140028"/>
    <n v="0.28133759858140028"/>
  </r>
  <r>
    <x v="2"/>
    <x v="2"/>
    <x v="1"/>
    <x v="1"/>
    <x v="1"/>
    <n v="876.14924289231146"/>
    <n v="221.68063070157714"/>
    <n v="1097.8298735938886"/>
    <n v="0.65724835401365655"/>
    <n v="0.65724835401365655"/>
  </r>
  <r>
    <x v="2"/>
    <x v="2"/>
    <x v="2"/>
    <x v="1"/>
    <x v="1"/>
    <n v="941.05568057359471"/>
    <n v="724.27008520195534"/>
    <n v="1665.3257657755501"/>
    <n v="0.9132035552024268"/>
    <n v="0.9132035552024268"/>
  </r>
  <r>
    <x v="2"/>
    <x v="2"/>
    <x v="3"/>
    <x v="1"/>
    <x v="1"/>
    <n v="336.68596437307428"/>
    <n v="266.63966631681683"/>
    <n v="603.32563068989111"/>
    <n v="0.31759454439076523"/>
    <n v="0.31759454439076523"/>
  </r>
  <r>
    <x v="2"/>
    <x v="2"/>
    <x v="4"/>
    <x v="1"/>
    <x v="1"/>
    <n v="126.30669170429437"/>
    <n v="244.73922498576664"/>
    <n v="371.04591669006101"/>
    <n v="0.23784855904462843"/>
    <n v="0.23784855904462843"/>
  </r>
  <r>
    <x v="2"/>
    <x v="2"/>
    <x v="5"/>
    <x v="1"/>
    <x v="1"/>
    <n v="817.69050798021817"/>
    <n v="117.80088259376618"/>
    <n v="935.4913905739844"/>
    <n v="0.64116702576073803"/>
    <n v="0.64116702576073803"/>
  </r>
  <r>
    <x v="2"/>
    <x v="2"/>
    <x v="6"/>
    <x v="1"/>
    <x v="1"/>
    <n v="295.68805256483654"/>
    <n v="634.35859813765921"/>
    <n v="930.04665070249575"/>
    <n v="0.63954871408067993"/>
    <n v="0.63954871408067993"/>
  </r>
  <r>
    <x v="2"/>
    <x v="2"/>
    <x v="0"/>
    <x v="2"/>
    <x v="0"/>
    <n v="1270.262393030438"/>
    <n v="479.99895064412749"/>
    <n v="1750.2613436745655"/>
    <n v="0.33473781848367856"/>
    <n v="0.33473781848367856"/>
  </r>
  <r>
    <x v="2"/>
    <x v="2"/>
    <x v="1"/>
    <x v="2"/>
    <x v="0"/>
    <n v="3706.1616855582874"/>
    <n v="535.58831979924025"/>
    <n v="4241.7500053575277"/>
    <n v="0.78199277847710724"/>
    <n v="0.78199277847710724"/>
  </r>
  <r>
    <x v="2"/>
    <x v="2"/>
    <x v="2"/>
    <x v="2"/>
    <x v="0"/>
    <n v="4354.7284538029835"/>
    <n v="1749.8623889083342"/>
    <n v="6104.5908427113172"/>
    <n v="1.0865080081240939"/>
    <n v="1.0865080081240939"/>
  </r>
  <r>
    <x v="2"/>
    <x v="2"/>
    <x v="3"/>
    <x v="2"/>
    <x v="0"/>
    <n v="1518.4024142035237"/>
    <n v="644.21095529406273"/>
    <n v="2162.6133694975865"/>
    <n v="0.37786294758459577"/>
    <n v="0.37786294758459577"/>
  </r>
  <r>
    <x v="2"/>
    <x v="2"/>
    <x v="4"/>
    <x v="2"/>
    <x v="0"/>
    <n v="895.37414126644637"/>
    <n v="591.29870699236756"/>
    <n v="1486.6728482588139"/>
    <n v="0.28299453557565851"/>
    <n v="0.28299453557565851"/>
  </r>
  <r>
    <x v="2"/>
    <x v="2"/>
    <x v="5"/>
    <x v="2"/>
    <x v="0"/>
    <n v="3622.8552550651998"/>
    <n v="284.61113891451043"/>
    <n v="3907.4663939797101"/>
    <n v="0.76287112502919741"/>
    <n v="0.76287112502919741"/>
  </r>
  <r>
    <x v="2"/>
    <x v="2"/>
    <x v="6"/>
    <x v="2"/>
    <x v="0"/>
    <n v="2331.1802477699603"/>
    <n v="1532.6330254992972"/>
    <n v="3863.8132732692575"/>
    <n v="0.76094683699371513"/>
    <n v="0.76094683699371513"/>
  </r>
  <r>
    <x v="2"/>
    <x v="2"/>
    <x v="0"/>
    <x v="2"/>
    <x v="1"/>
    <n v="337.31570901681749"/>
    <n v="233.60262676896212"/>
    <n v="570.91833578577962"/>
    <n v="0.33473781848367856"/>
    <n v="0.33473781848367856"/>
  </r>
  <r>
    <x v="2"/>
    <x v="2"/>
    <x v="1"/>
    <x v="2"/>
    <x v="1"/>
    <n v="1187.887196648534"/>
    <n v="260.65648311101825"/>
    <n v="1448.5436797595523"/>
    <n v="0.78199277847710724"/>
    <n v="0.78199277847710724"/>
  </r>
  <r>
    <x v="2"/>
    <x v="2"/>
    <x v="2"/>
    <x v="2"/>
    <x v="1"/>
    <n v="1338.6004537969106"/>
    <n v="851.61113370071325"/>
    <n v="2190.2115874976239"/>
    <n v="1.0865080081240939"/>
    <n v="1.0865080081240939"/>
  </r>
  <r>
    <x v="2"/>
    <x v="2"/>
    <x v="3"/>
    <x v="2"/>
    <x v="1"/>
    <n v="478.89321212771722"/>
    <n v="313.52020905064182"/>
    <n v="792.41342117835904"/>
    <n v="0.37786294758459577"/>
    <n v="0.37786294758459577"/>
  </r>
  <r>
    <x v="2"/>
    <x v="2"/>
    <x v="4"/>
    <x v="2"/>
    <x v="1"/>
    <n v="202.85038911464181"/>
    <n v="287.76923568926122"/>
    <n v="490.61962480390304"/>
    <n v="0.28299453557565851"/>
    <n v="0.28299453557565851"/>
  </r>
  <r>
    <x v="2"/>
    <x v="2"/>
    <x v="5"/>
    <x v="2"/>
    <x v="1"/>
    <n v="1101.0775821633372"/>
    <n v="138.51261459825247"/>
    <n v="1239.5901967615896"/>
    <n v="0.76287112502919741"/>
    <n v="0.76287112502919741"/>
  </r>
  <r>
    <x v="2"/>
    <x v="2"/>
    <x v="6"/>
    <x v="2"/>
    <x v="1"/>
    <n v="486.13074653385661"/>
    <n v="745.89142361467361"/>
    <n v="1232.0221701485302"/>
    <n v="0.76094683699371513"/>
    <n v="0.76094683699371513"/>
  </r>
  <r>
    <x v="3"/>
    <x v="0"/>
    <x v="0"/>
    <x v="0"/>
    <x v="0"/>
    <n v="1607.929666428771"/>
    <n v="351.35605891338361"/>
    <n v="1959.2857253421546"/>
    <n v="0.40268680567979614"/>
    <n v="0.40268680567979614"/>
  </r>
  <r>
    <x v="3"/>
    <x v="0"/>
    <x v="1"/>
    <x v="0"/>
    <x v="0"/>
    <n v="4695.1424697084822"/>
    <n v="449.93391007573808"/>
    <n v="5145.0763797842201"/>
    <n v="1.0157926628303318"/>
    <n v="1.0157926628303318"/>
  </r>
  <r>
    <x v="3"/>
    <x v="0"/>
    <x v="2"/>
    <x v="0"/>
    <x v="0"/>
    <n v="5729.0826192359"/>
    <n v="1308.3640569498943"/>
    <n v="7037.4466761857939"/>
    <n v="1.3369232264921225"/>
    <n v="1.3369232264921225"/>
  </r>
  <r>
    <x v="3"/>
    <x v="0"/>
    <x v="3"/>
    <x v="0"/>
    <x v="0"/>
    <n v="2364.669278122753"/>
    <n v="542.95958484368305"/>
    <n v="2907.6288629664359"/>
    <n v="0.5414811399106676"/>
    <n v="0.5414811399106676"/>
  </r>
  <r>
    <x v="3"/>
    <x v="0"/>
    <x v="4"/>
    <x v="0"/>
    <x v="0"/>
    <n v="1212.5615081311269"/>
    <n v="440.55699858220106"/>
    <n v="1653.1185067133279"/>
    <n v="0.33778814693770925"/>
    <n v="0.33778814693770925"/>
  </r>
  <r>
    <x v="3"/>
    <x v="0"/>
    <x v="5"/>
    <x v="0"/>
    <x v="0"/>
    <n v="4805.5719813916739"/>
    <n v="239.15553791068052"/>
    <n v="5044.7275193023543"/>
    <n v="1.0604349772370085"/>
    <n v="1.0604349772370085"/>
  </r>
  <r>
    <x v="3"/>
    <x v="0"/>
    <x v="6"/>
    <x v="0"/>
    <x v="0"/>
    <n v="2777.842159484635"/>
    <n v="1171.592993115424"/>
    <n v="3949.4351526000587"/>
    <n v="0.83714755046069111"/>
    <n v="0.83714755046069111"/>
  </r>
  <r>
    <x v="3"/>
    <x v="0"/>
    <x v="0"/>
    <x v="0"/>
    <x v="1"/>
    <n v="469.15380088886752"/>
    <n v="180.60302042433139"/>
    <n v="649.75682131319888"/>
    <n v="0.40268680567979614"/>
    <n v="0.40268680567979614"/>
  </r>
  <r>
    <x v="3"/>
    <x v="0"/>
    <x v="1"/>
    <x v="0"/>
    <x v="1"/>
    <n v="1551.6689837293495"/>
    <n v="231.27372102907125"/>
    <n v="1782.9427047584209"/>
    <n v="1.0157926628303318"/>
    <n v="1.0157926628303318"/>
  </r>
  <r>
    <x v="3"/>
    <x v="0"/>
    <x v="2"/>
    <x v="0"/>
    <x v="1"/>
    <n v="1886.4207283335352"/>
    <n v="672.52149067972755"/>
    <n v="2558.9422190132627"/>
    <n v="1.3369232264921225"/>
    <n v="1.3369232264921225"/>
  </r>
  <r>
    <x v="3"/>
    <x v="0"/>
    <x v="3"/>
    <x v="0"/>
    <x v="1"/>
    <n v="800.04332208841299"/>
    <n v="279.09050805719551"/>
    <n v="1079.1338301456085"/>
    <n v="0.5414811399106676"/>
    <n v="0.5414811399106676"/>
  </r>
  <r>
    <x v="3"/>
    <x v="0"/>
    <x v="4"/>
    <x v="0"/>
    <x v="1"/>
    <n v="327.69593253456554"/>
    <n v="226.45382823080337"/>
    <n v="554.14976076536891"/>
    <n v="0.33778814693770925"/>
    <n v="0.33778814693770925"/>
  </r>
  <r>
    <x v="3"/>
    <x v="0"/>
    <x v="5"/>
    <x v="0"/>
    <x v="1"/>
    <n v="1505.3778422267587"/>
    <n v="122.93003465331539"/>
    <n v="1628.3078768800742"/>
    <n v="1.0604349772370085"/>
    <n v="1.0604349772370085"/>
  </r>
  <r>
    <x v="3"/>
    <x v="0"/>
    <x v="6"/>
    <x v="0"/>
    <x v="1"/>
    <n v="678.8481926652297"/>
    <n v="602.2188258799614"/>
    <n v="1281.0670185451911"/>
    <n v="0.83714755046069111"/>
    <n v="0.83714755046069111"/>
  </r>
  <r>
    <x v="3"/>
    <x v="0"/>
    <x v="0"/>
    <x v="1"/>
    <x v="0"/>
    <n v="1366.1502520441736"/>
    <n v="324.37821946082784"/>
    <n v="1690.5284715050013"/>
    <n v="0.3701175059572816"/>
    <n v="0.3701175059572816"/>
  </r>
  <r>
    <x v="3"/>
    <x v="0"/>
    <x v="1"/>
    <x v="1"/>
    <x v="0"/>
    <n v="4032.6245295323392"/>
    <n v="415.38706085440083"/>
    <n v="4448.01159038674"/>
    <n v="0.93364174793872945"/>
    <n v="0.93364174793872945"/>
  </r>
  <r>
    <x v="3"/>
    <x v="0"/>
    <x v="2"/>
    <x v="1"/>
    <x v="0"/>
    <n v="4887.5654874197289"/>
    <n v="1207.9051789016564"/>
    <n v="6095.4706663213856"/>
    <n v="1.2288183673903148"/>
    <n v="1.2288183673903148"/>
  </r>
  <r>
    <x v="3"/>
    <x v="0"/>
    <x v="3"/>
    <x v="1"/>
    <x v="0"/>
    <n v="2019.2256209608333"/>
    <n v="501.2700333544056"/>
    <n v="2520.4956543152389"/>
    <n v="0.49770000061167752"/>
    <n v="0.49770000061167752"/>
  </r>
  <r>
    <x v="3"/>
    <x v="0"/>
    <x v="4"/>
    <x v="1"/>
    <x v="0"/>
    <n v="1020.5127955648805"/>
    <n v="406.73012787387358"/>
    <n v="1427.2429234387541"/>
    <n v="0.31046762886503187"/>
    <n v="0.31046762886503187"/>
  </r>
  <r>
    <x v="3"/>
    <x v="0"/>
    <x v="5"/>
    <x v="1"/>
    <x v="0"/>
    <n v="4127.2642607672169"/>
    <n v="220.79268478130129"/>
    <n v="4348.0569455485183"/>
    <n v="0.97466184074632278"/>
    <n v="0.97466184074632278"/>
  </r>
  <r>
    <x v="3"/>
    <x v="0"/>
    <x v="6"/>
    <x v="1"/>
    <x v="0"/>
    <n v="2323.101830804067"/>
    <n v="1081.6356781063801"/>
    <n v="3404.7375089104471"/>
    <n v="0.7694341854814305"/>
    <n v="0.7694341854814305"/>
  </r>
  <r>
    <x v="3"/>
    <x v="0"/>
    <x v="0"/>
    <x v="1"/>
    <x v="1"/>
    <n v="400.2373841779617"/>
    <n v="167.58648020127185"/>
    <n v="567.82386437923356"/>
    <n v="0.3701175059572816"/>
    <n v="0.3701175059572816"/>
  </r>
  <r>
    <x v="3"/>
    <x v="0"/>
    <x v="1"/>
    <x v="1"/>
    <x v="1"/>
    <n v="1344.8963038316726"/>
    <n v="214.605208590915"/>
    <n v="1559.5015124225877"/>
    <n v="0.93364174793872945"/>
    <n v="0.93364174793872945"/>
  </r>
  <r>
    <x v="3"/>
    <x v="0"/>
    <x v="2"/>
    <x v="1"/>
    <x v="1"/>
    <n v="1616.8325426744889"/>
    <n v="624.05107742895666"/>
    <n v="2240.8836201034455"/>
    <n v="1.2288183673903148"/>
    <n v="1.2288183673903148"/>
  </r>
  <r>
    <x v="3"/>
    <x v="0"/>
    <x v="3"/>
    <x v="1"/>
    <x v="1"/>
    <n v="686.49130527844"/>
    <n v="258.9757125489852"/>
    <n v="945.46701782742514"/>
    <n v="0.49770000061167752"/>
    <n v="0.49770000061167752"/>
  </r>
  <r>
    <x v="3"/>
    <x v="0"/>
    <x v="4"/>
    <x v="1"/>
    <x v="1"/>
    <n v="274.19962820064359"/>
    <n v="210.13269829119039"/>
    <n v="484.33232649183395"/>
    <n v="0.31046762886503187"/>
    <n v="0.31046762886503187"/>
  </r>
  <r>
    <x v="3"/>
    <x v="0"/>
    <x v="5"/>
    <x v="1"/>
    <x v="1"/>
    <n v="1308.0051136009322"/>
    <n v="114.07013996867803"/>
    <n v="1422.0752535696101"/>
    <n v="0.97466184074632278"/>
    <n v="0.97466184074632278"/>
  </r>
  <r>
    <x v="3"/>
    <x v="0"/>
    <x v="6"/>
    <x v="1"/>
    <x v="1"/>
    <n v="560.11381867389798"/>
    <n v="558.81531273974508"/>
    <n v="1118.9291314136431"/>
    <n v="0.7694341854814305"/>
    <n v="0.7694341854814305"/>
  </r>
  <r>
    <x v="3"/>
    <x v="0"/>
    <x v="0"/>
    <x v="2"/>
    <x v="0"/>
    <n v="1919.4776509438655"/>
    <n v="383.10247542640741"/>
    <n v="2302.5801263702729"/>
    <n v="0.44036889186325451"/>
    <n v="0.44036889186325451"/>
  </r>
  <r>
    <x v="3"/>
    <x v="0"/>
    <x v="1"/>
    <x v="2"/>
    <x v="0"/>
    <n v="5534.9507069582742"/>
    <n v="490.5872272741733"/>
    <n v="6025.5379342324477"/>
    <n v="1.1108450863578114"/>
    <n v="1.1108450863578114"/>
  </r>
  <r>
    <x v="3"/>
    <x v="0"/>
    <x v="2"/>
    <x v="2"/>
    <x v="0"/>
    <n v="6787.8354562263876"/>
    <n v="1426.5799500557541"/>
    <n v="8214.4154062821417"/>
    <n v="1.4620190527002497"/>
    <n v="1.4620190527002497"/>
  </r>
  <r>
    <x v="3"/>
    <x v="0"/>
    <x v="3"/>
    <x v="2"/>
    <x v="0"/>
    <n v="2796.9968599375834"/>
    <n v="592.01814152118561"/>
    <n v="3389.0150014587689"/>
    <n v="0.59214615794090575"/>
    <n v="0.59214615794090575"/>
  </r>
  <r>
    <x v="3"/>
    <x v="0"/>
    <x v="4"/>
    <x v="2"/>
    <x v="0"/>
    <n v="1460.2154008868365"/>
    <n v="480.36307455530971"/>
    <n v="1940.5784754421463"/>
    <n v="0.36939741318949915"/>
    <n v="0.36939741318949915"/>
  </r>
  <r>
    <x v="3"/>
    <x v="0"/>
    <x v="5"/>
    <x v="2"/>
    <x v="0"/>
    <n v="5679.1207920973347"/>
    <n v="260.76419137004882"/>
    <n v="5939.8849834673838"/>
    <n v="1.1596687681980691"/>
    <n v="1.1596687681980691"/>
  </r>
  <r>
    <x v="3"/>
    <x v="0"/>
    <x v="6"/>
    <x v="2"/>
    <x v="0"/>
    <n v="3371.0611525498034"/>
    <n v="1277.4510769583767"/>
    <n v="4648.5122295081801"/>
    <n v="0.91548696264451945"/>
    <n v="0.91548696264451945"/>
  </r>
  <r>
    <x v="3"/>
    <x v="0"/>
    <x v="0"/>
    <x v="2"/>
    <x v="1"/>
    <n v="554.77782025199531"/>
    <n v="196.30156484191096"/>
    <n v="751.07938509390624"/>
    <n v="0.44036889186325451"/>
    <n v="0.44036889186325451"/>
  </r>
  <r>
    <x v="3"/>
    <x v="0"/>
    <x v="1"/>
    <x v="2"/>
    <x v="1"/>
    <n v="1806.3246808840947"/>
    <n v="251.3767114090962"/>
    <n v="2057.701392293191"/>
    <n v="1.1108450863578114"/>
    <n v="1.1108450863578114"/>
  </r>
  <r>
    <x v="3"/>
    <x v="0"/>
    <x v="2"/>
    <x v="2"/>
    <x v="1"/>
    <n v="2216.1976538952722"/>
    <n v="730.97903180172557"/>
    <n v="2947.176685696998"/>
    <n v="1.4620190527002497"/>
    <n v="1.4620190527002497"/>
  </r>
  <r>
    <x v="3"/>
    <x v="0"/>
    <x v="3"/>
    <x v="2"/>
    <x v="1"/>
    <n v="938.4351856480032"/>
    <n v="303.34987385831431"/>
    <n v="1241.7850595063176"/>
    <n v="0.59214615794090575"/>
    <n v="0.59214615794090575"/>
  </r>
  <r>
    <x v="3"/>
    <x v="0"/>
    <x v="4"/>
    <x v="2"/>
    <x v="1"/>
    <n v="394.2759913390737"/>
    <n v="246.13785938742322"/>
    <n v="640.41385072649689"/>
    <n v="0.36939741318949915"/>
    <n v="0.36939741318949915"/>
  </r>
  <r>
    <x v="3"/>
    <x v="0"/>
    <x v="5"/>
    <x v="2"/>
    <x v="1"/>
    <n v="1750.731684298438"/>
    <n v="133.61547393736228"/>
    <n v="1884.3471582358004"/>
    <n v="1.1596687681980691"/>
    <n v="1.1596687681980691"/>
  </r>
  <r>
    <x v="3"/>
    <x v="0"/>
    <x v="6"/>
    <x v="2"/>
    <x v="1"/>
    <n v="827.66718079420866"/>
    <n v="654.56545311225682"/>
    <n v="1482.2326339064655"/>
    <n v="0.91548696264451945"/>
    <n v="0.91548696264451945"/>
  </r>
  <r>
    <x v="3"/>
    <x v="1"/>
    <x v="0"/>
    <x v="0"/>
    <x v="0"/>
    <n v="1610.7715759485232"/>
    <n v="348.51414939363139"/>
    <n v="1959.2857253421546"/>
    <n v="0.40268680567979614"/>
    <n v="0.40268680567979614"/>
  </r>
  <r>
    <x v="3"/>
    <x v="1"/>
    <x v="1"/>
    <x v="0"/>
    <x v="0"/>
    <n v="4698.7817166486311"/>
    <n v="446.29466313558908"/>
    <n v="5145.0763797842201"/>
    <n v="1.0157926628303318"/>
    <n v="1.0157926628303318"/>
  </r>
  <r>
    <x v="3"/>
    <x v="1"/>
    <x v="2"/>
    <x v="0"/>
    <x v="0"/>
    <n v="5739.6651954414938"/>
    <n v="1297.7814807443003"/>
    <n v="7037.4466761857939"/>
    <n v="1.3369232264921225"/>
    <n v="1.3369232264921225"/>
  </r>
  <r>
    <x v="3"/>
    <x v="1"/>
    <x v="3"/>
    <x v="0"/>
    <x v="0"/>
    <n v="2369.0609542412176"/>
    <n v="538.56790872521856"/>
    <n v="2907.6288629664359"/>
    <n v="0.5414811399106676"/>
    <n v="0.5414811399106676"/>
  </r>
  <r>
    <x v="3"/>
    <x v="1"/>
    <x v="4"/>
    <x v="0"/>
    <x v="0"/>
    <n v="1216.1249108290515"/>
    <n v="436.99359588427643"/>
    <n v="1653.1185067133279"/>
    <n v="0.33778814693770925"/>
    <n v="0.33778814693770925"/>
  </r>
  <r>
    <x v="3"/>
    <x v="1"/>
    <x v="5"/>
    <x v="0"/>
    <x v="0"/>
    <n v="4807.5063678428187"/>
    <n v="237.22115145953555"/>
    <n v="5044.7275193023543"/>
    <n v="1.0604349772370085"/>
    <n v="1.0604349772370085"/>
  </r>
  <r>
    <x v="3"/>
    <x v="1"/>
    <x v="6"/>
    <x v="0"/>
    <x v="0"/>
    <n v="2787.3184761609618"/>
    <n v="1162.1166764390966"/>
    <n v="3949.4351526000587"/>
    <n v="0.83714755046069111"/>
    <n v="0.83714755046069111"/>
  </r>
  <r>
    <x v="3"/>
    <x v="1"/>
    <x v="0"/>
    <x v="0"/>
    <x v="1"/>
    <n v="470.70026160572388"/>
    <n v="179.056559707475"/>
    <n v="649.75682131319888"/>
    <n v="0.40268680567979614"/>
    <n v="0.40268680567979614"/>
  </r>
  <r>
    <x v="3"/>
    <x v="1"/>
    <x v="1"/>
    <x v="0"/>
    <x v="1"/>
    <n v="1553.6493256060928"/>
    <n v="229.29337915232813"/>
    <n v="1782.9427047584209"/>
    <n v="1.0157926628303318"/>
    <n v="1.0157926628303318"/>
  </r>
  <r>
    <x v="3"/>
    <x v="1"/>
    <x v="2"/>
    <x v="0"/>
    <x v="1"/>
    <n v="1892.1793699339612"/>
    <n v="666.76284907930153"/>
    <n v="2558.9422190132627"/>
    <n v="1.3369232264921225"/>
    <n v="1.3369232264921225"/>
  </r>
  <r>
    <x v="3"/>
    <x v="1"/>
    <x v="3"/>
    <x v="0"/>
    <x v="1"/>
    <n v="802.43310774174142"/>
    <n v="276.70072240386708"/>
    <n v="1079.1338301456085"/>
    <n v="0.5414811399106676"/>
    <n v="0.5414811399106676"/>
  </r>
  <r>
    <x v="3"/>
    <x v="1"/>
    <x v="4"/>
    <x v="0"/>
    <x v="1"/>
    <n v="329.63500281543827"/>
    <n v="224.51475794993064"/>
    <n v="554.14976076536891"/>
    <n v="0.33778814693770925"/>
    <n v="0.33778814693770925"/>
  </r>
  <r>
    <x v="3"/>
    <x v="1"/>
    <x v="5"/>
    <x v="0"/>
    <x v="1"/>
    <n v="1506.4304628809787"/>
    <n v="121.87741399909565"/>
    <n v="1628.3078768800742"/>
    <n v="1.0604349772370085"/>
    <n v="1.0604349772370085"/>
  </r>
  <r>
    <x v="3"/>
    <x v="1"/>
    <x v="6"/>
    <x v="0"/>
    <x v="1"/>
    <n v="684.00484926480704"/>
    <n v="597.06216928038407"/>
    <n v="1281.0670185451911"/>
    <n v="0.83714755046069111"/>
    <n v="0.83714755046069111"/>
  </r>
  <r>
    <x v="3"/>
    <x v="1"/>
    <x v="0"/>
    <x v="1"/>
    <x v="0"/>
    <n v="1368.7787594108252"/>
    <n v="321.74971209417623"/>
    <n v="1690.5284715050013"/>
    <n v="0.3701175059572816"/>
    <n v="0.3701175059572816"/>
  </r>
  <r>
    <x v="3"/>
    <x v="1"/>
    <x v="1"/>
    <x v="1"/>
    <x v="0"/>
    <n v="4035.9905013638695"/>
    <n v="412.0210890228704"/>
    <n v="4448.01159038674"/>
    <n v="0.93364174793872945"/>
    <n v="0.93364174793872945"/>
  </r>
  <r>
    <x v="3"/>
    <x v="1"/>
    <x v="2"/>
    <x v="1"/>
    <x v="0"/>
    <n v="4897.3534061839318"/>
    <n v="1198.1172601374535"/>
    <n v="6095.4706663213856"/>
    <n v="1.2288183673903148"/>
    <n v="1.2288183673903148"/>
  </r>
  <r>
    <x v="3"/>
    <x v="1"/>
    <x v="3"/>
    <x v="1"/>
    <x v="0"/>
    <n v="2023.2875212251101"/>
    <n v="497.20813309012874"/>
    <n v="2520.4956543152389"/>
    <n v="0.49770000061167752"/>
    <n v="0.49770000061167752"/>
  </r>
  <r>
    <x v="3"/>
    <x v="1"/>
    <x v="4"/>
    <x v="1"/>
    <x v="0"/>
    <n v="1023.8086183828624"/>
    <n v="403.43430505589174"/>
    <n v="1427.2429234387541"/>
    <n v="0.31046762886503187"/>
    <n v="0.31046762886503187"/>
  </r>
  <r>
    <x v="3"/>
    <x v="1"/>
    <x v="5"/>
    <x v="1"/>
    <x v="0"/>
    <n v="4129.0533919839027"/>
    <n v="219.00355356461569"/>
    <n v="4348.0569455485183"/>
    <n v="0.97466184074632278"/>
    <n v="0.97466184074632278"/>
  </r>
  <r>
    <x v="3"/>
    <x v="1"/>
    <x v="6"/>
    <x v="1"/>
    <x v="0"/>
    <n v="2331.8665602999645"/>
    <n v="1072.8709486104824"/>
    <n v="3404.7375089104471"/>
    <n v="0.7694341854814305"/>
    <n v="0.7694341854814305"/>
  </r>
  <r>
    <x v="3"/>
    <x v="1"/>
    <x v="0"/>
    <x v="1"/>
    <x v="1"/>
    <n v="401.67539102007504"/>
    <n v="166.14847335915854"/>
    <n v="567.82386437923356"/>
    <n v="0.3701175059572816"/>
    <n v="0.3701175059572816"/>
  </r>
  <r>
    <x v="3"/>
    <x v="1"/>
    <x v="1"/>
    <x v="1"/>
    <x v="1"/>
    <n v="1346.7377635838923"/>
    <n v="212.76374883869542"/>
    <n v="1559.5015124225877"/>
    <n v="0.93364174793872945"/>
    <n v="0.93364174793872945"/>
  </r>
  <r>
    <x v="3"/>
    <x v="1"/>
    <x v="2"/>
    <x v="1"/>
    <x v="1"/>
    <n v="1622.1873285623078"/>
    <n v="618.69629154113773"/>
    <n v="2240.8836201034455"/>
    <n v="1.2288183673903148"/>
    <n v="1.2288183673903148"/>
  </r>
  <r>
    <x v="3"/>
    <x v="1"/>
    <x v="3"/>
    <x v="1"/>
    <x v="1"/>
    <n v="688.71349436039509"/>
    <n v="256.75352346703005"/>
    <n v="945.46701782742514"/>
    <n v="0.49770000061167752"/>
    <n v="0.49770000061167752"/>
  </r>
  <r>
    <x v="3"/>
    <x v="1"/>
    <x v="4"/>
    <x v="1"/>
    <x v="1"/>
    <n v="276.00271074961461"/>
    <n v="208.32961574221935"/>
    <n v="484.33232649183395"/>
    <n v="0.31046762886503187"/>
    <n v="0.31046762886503187"/>
  </r>
  <r>
    <x v="3"/>
    <x v="1"/>
    <x v="5"/>
    <x v="1"/>
    <x v="1"/>
    <n v="1308.9839135707073"/>
    <n v="113.09133999890284"/>
    <n v="1422.0752535696101"/>
    <n v="0.97466184074632278"/>
    <n v="0.97466184074632278"/>
  </r>
  <r>
    <x v="3"/>
    <x v="1"/>
    <x v="6"/>
    <x v="1"/>
    <x v="1"/>
    <n v="564.90883699657059"/>
    <n v="554.02029441707248"/>
    <n v="1118.9291314136431"/>
    <n v="0.7694341854814305"/>
    <n v="0.7694341854814305"/>
  </r>
  <r>
    <x v="3"/>
    <x v="1"/>
    <x v="0"/>
    <x v="2"/>
    <x v="0"/>
    <n v="1922.5742908456828"/>
    <n v="380.00583552459017"/>
    <n v="2302.5801263702729"/>
    <n v="0.44036889186325451"/>
    <n v="0.44036889186325451"/>
  </r>
  <r>
    <x v="3"/>
    <x v="1"/>
    <x v="1"/>
    <x v="2"/>
    <x v="0"/>
    <n v="5538.9161524480432"/>
    <n v="486.62178178440462"/>
    <n v="6025.5379342324477"/>
    <n v="1.1108450863578114"/>
    <n v="1.1108450863578114"/>
  </r>
  <r>
    <x v="3"/>
    <x v="1"/>
    <x v="2"/>
    <x v="2"/>
    <x v="0"/>
    <n v="6799.3665860932952"/>
    <n v="1415.0488201888468"/>
    <n v="8214.4154062821417"/>
    <n v="1.4620190527002497"/>
    <n v="1.4620190527002497"/>
  </r>
  <r>
    <x v="3"/>
    <x v="1"/>
    <x v="3"/>
    <x v="2"/>
    <x v="0"/>
    <n v="2801.7821774889608"/>
    <n v="587.23282396980824"/>
    <n v="3389.0150014587689"/>
    <n v="0.59214615794090575"/>
    <n v="0.59214615794090575"/>
  </r>
  <r>
    <x v="3"/>
    <x v="1"/>
    <x v="4"/>
    <x v="2"/>
    <x v="0"/>
    <n v="1464.0982039472237"/>
    <n v="476.4802714949227"/>
    <n v="1940.5784754421463"/>
    <n v="0.36939741318949915"/>
    <n v="0.36939741318949915"/>
  </r>
  <r>
    <x v="3"/>
    <x v="1"/>
    <x v="5"/>
    <x v="2"/>
    <x v="0"/>
    <n v="5681.228564434391"/>
    <n v="258.6564190329928"/>
    <n v="5939.8849834673838"/>
    <n v="1.1596687681980691"/>
    <n v="1.1596687681980691"/>
  </r>
  <r>
    <x v="3"/>
    <x v="1"/>
    <x v="6"/>
    <x v="2"/>
    <x v="0"/>
    <n v="3381.3868649407905"/>
    <n v="1267.1253645673894"/>
    <n v="4648.5122295081801"/>
    <n v="0.91548696264451945"/>
    <n v="0.91548696264451945"/>
  </r>
  <r>
    <x v="3"/>
    <x v="1"/>
    <x v="0"/>
    <x v="2"/>
    <x v="1"/>
    <n v="556.45795432042189"/>
    <n v="194.62143077348435"/>
    <n v="751.07938509390624"/>
    <n v="0.44036889186325451"/>
    <n v="0.44036889186325451"/>
  </r>
  <r>
    <x v="3"/>
    <x v="1"/>
    <x v="1"/>
    <x v="2"/>
    <x v="1"/>
    <n v="1808.4762000387561"/>
    <n v="249.2251922544348"/>
    <n v="2057.701392293191"/>
    <n v="1.1108450863578114"/>
    <n v="1.1108450863578114"/>
  </r>
  <r>
    <x v="3"/>
    <x v="1"/>
    <x v="2"/>
    <x v="2"/>
    <x v="1"/>
    <n v="2222.454062373854"/>
    <n v="724.72262332314415"/>
    <n v="2947.176685696998"/>
    <n v="1.4620190527002497"/>
    <n v="1.4620190527002497"/>
  </r>
  <r>
    <x v="3"/>
    <x v="1"/>
    <x v="3"/>
    <x v="2"/>
    <x v="1"/>
    <n v="941.03154018105397"/>
    <n v="300.75351932526365"/>
    <n v="1241.7850595063176"/>
    <n v="0.59214615794090575"/>
    <n v="0.59214615794090575"/>
  </r>
  <r>
    <x v="3"/>
    <x v="1"/>
    <x v="4"/>
    <x v="2"/>
    <x v="1"/>
    <n v="396.38267145351608"/>
    <n v="244.03117927298084"/>
    <n v="640.41385072649689"/>
    <n v="0.36939741318949915"/>
    <n v="0.36939741318949915"/>
  </r>
  <r>
    <x v="3"/>
    <x v="1"/>
    <x v="5"/>
    <x v="2"/>
    <x v="1"/>
    <n v="1751.8752916355058"/>
    <n v="132.47186660029448"/>
    <n v="1884.3471582358004"/>
    <n v="1.1596687681980691"/>
    <n v="1.1596687681980691"/>
  </r>
  <r>
    <x v="3"/>
    <x v="1"/>
    <x v="6"/>
    <x v="2"/>
    <x v="1"/>
    <n v="833.26956974446762"/>
    <n v="648.96306416199786"/>
    <n v="1482.2326339064655"/>
    <n v="0.91548696264451945"/>
    <n v="0.91548696264451945"/>
  </r>
  <r>
    <x v="3"/>
    <x v="2"/>
    <x v="0"/>
    <x v="0"/>
    <x v="0"/>
    <n v="1432.9274646072381"/>
    <n v="526.35826073491648"/>
    <n v="1959.2857253421546"/>
    <n v="0.40268680567979614"/>
    <n v="0.40268680567979614"/>
  </r>
  <r>
    <x v="3"/>
    <x v="2"/>
    <x v="1"/>
    <x v="0"/>
    <x v="0"/>
    <n v="4471.040955190877"/>
    <n v="674.03542459334346"/>
    <n v="5145.0763797842201"/>
    <n v="1.0157926628303318"/>
    <n v="1.0157926628303318"/>
  </r>
  <r>
    <x v="3"/>
    <x v="2"/>
    <x v="2"/>
    <x v="0"/>
    <x v="0"/>
    <n v="5077.4172076346449"/>
    <n v="1960.029468551149"/>
    <n v="7037.4466761857939"/>
    <n v="1.3369232264921225"/>
    <n v="1.3369232264921225"/>
  </r>
  <r>
    <x v="3"/>
    <x v="2"/>
    <x v="3"/>
    <x v="0"/>
    <x v="0"/>
    <n v="2094.2338595857564"/>
    <n v="813.39500338067955"/>
    <n v="2907.6288629664359"/>
    <n v="0.5414811399106676"/>
    <n v="0.5414811399106676"/>
  </r>
  <r>
    <x v="3"/>
    <x v="2"/>
    <x v="4"/>
    <x v="0"/>
    <x v="0"/>
    <n v="993.13041302433169"/>
    <n v="659.98809368899617"/>
    <n v="1653.1185067133279"/>
    <n v="0.33778814693770925"/>
    <n v="0.33778814693770925"/>
  </r>
  <r>
    <x v="3"/>
    <x v="2"/>
    <x v="5"/>
    <x v="0"/>
    <x v="0"/>
    <n v="4686.4542242036587"/>
    <n v="358.27329509869566"/>
    <n v="5044.7275193023543"/>
    <n v="1.0604349772370085"/>
    <n v="1.0604349772370085"/>
  </r>
  <r>
    <x v="3"/>
    <x v="2"/>
    <x v="6"/>
    <x v="0"/>
    <x v="0"/>
    <n v="2194.2992028953358"/>
    <n v="1755.1359497047229"/>
    <n v="3949.4351526000587"/>
    <n v="0.83714755046069111"/>
    <n v="0.83714755046069111"/>
  </r>
  <r>
    <x v="3"/>
    <x v="2"/>
    <x v="0"/>
    <x v="0"/>
    <x v="1"/>
    <n v="392.67631604625706"/>
    <n v="257.08050526694183"/>
    <n v="649.75682131319888"/>
    <n v="0.40268680567979614"/>
    <n v="0.40268680567979614"/>
  </r>
  <r>
    <x v="3"/>
    <x v="2"/>
    <x v="1"/>
    <x v="0"/>
    <x v="1"/>
    <n v="1453.7346720387786"/>
    <n v="329.20803271964235"/>
    <n v="1782.9427047584209"/>
    <n v="1.0157926628303318"/>
    <n v="1.0157926628303318"/>
  </r>
  <r>
    <x v="3"/>
    <x v="2"/>
    <x v="2"/>
    <x v="0"/>
    <x v="1"/>
    <n v="1601.6372735001337"/>
    <n v="957.30494551312904"/>
    <n v="2558.9422190132627"/>
    <n v="1.3369232264921225"/>
    <n v="1.3369232264921225"/>
  </r>
  <r>
    <x v="3"/>
    <x v="2"/>
    <x v="3"/>
    <x v="0"/>
    <x v="1"/>
    <n v="681.8606912026604"/>
    <n v="397.27313894294809"/>
    <n v="1079.1338301456085"/>
    <n v="0.5414811399106676"/>
    <n v="0.5414811399106676"/>
  </r>
  <r>
    <x v="3"/>
    <x v="2"/>
    <x v="4"/>
    <x v="0"/>
    <x v="1"/>
    <n v="231.80263476256886"/>
    <n v="322.34712600280005"/>
    <n v="554.14976076536891"/>
    <n v="0.33778814693770925"/>
    <n v="0.33778814693770925"/>
  </r>
  <r>
    <x v="3"/>
    <x v="2"/>
    <x v="5"/>
    <x v="0"/>
    <x v="1"/>
    <n v="1453.3223459243616"/>
    <n v="174.98553095571265"/>
    <n v="1628.3078768800742"/>
    <n v="1.0604349772370085"/>
    <n v="1.0604349772370085"/>
  </r>
  <r>
    <x v="3"/>
    <x v="2"/>
    <x v="6"/>
    <x v="0"/>
    <x v="1"/>
    <n v="423.83484338702044"/>
    <n v="857.23217515817066"/>
    <n v="1281.0670185451911"/>
    <n v="0.83714755046069111"/>
    <n v="0.83714755046069111"/>
  </r>
  <r>
    <x v="3"/>
    <x v="2"/>
    <x v="0"/>
    <x v="1"/>
    <x v="0"/>
    <n v="1205.9590671083263"/>
    <n v="484.56940439667511"/>
    <n v="1690.5284715050013"/>
    <n v="0.3701175059572816"/>
    <n v="0.3701175059572816"/>
  </r>
  <r>
    <x v="3"/>
    <x v="2"/>
    <x v="1"/>
    <x v="1"/>
    <x v="0"/>
    <n v="3827.4894696140473"/>
    <n v="620.52212077269269"/>
    <n v="4448.01159038674"/>
    <n v="0.93364174793872945"/>
    <n v="0.93364174793872945"/>
  </r>
  <r>
    <x v="3"/>
    <x v="2"/>
    <x v="2"/>
    <x v="1"/>
    <x v="0"/>
    <n v="4291.0526814118966"/>
    <n v="1804.417984909489"/>
    <n v="6095.4706663213856"/>
    <n v="1.2288183673903148"/>
    <n v="1.2288183673903148"/>
  </r>
  <r>
    <x v="3"/>
    <x v="2"/>
    <x v="3"/>
    <x v="1"/>
    <x v="0"/>
    <n v="1771.678049026611"/>
    <n v="748.81760528862799"/>
    <n v="2520.4956543152389"/>
    <n v="0.49770000061167752"/>
    <n v="0.49770000061167752"/>
  </r>
  <r>
    <x v="3"/>
    <x v="2"/>
    <x v="4"/>
    <x v="1"/>
    <x v="0"/>
    <n v="819.65288196919346"/>
    <n v="607.59004146956067"/>
    <n v="1427.2429234387541"/>
    <n v="0.31046762886503187"/>
    <n v="0.31046762886503187"/>
  </r>
  <r>
    <x v="3"/>
    <x v="2"/>
    <x v="5"/>
    <x v="1"/>
    <x v="0"/>
    <n v="4018.22783452666"/>
    <n v="329.82911102185847"/>
    <n v="4348.0569455485183"/>
    <n v="0.97466184074632278"/>
    <n v="0.97466184074632278"/>
  </r>
  <r>
    <x v="3"/>
    <x v="2"/>
    <x v="6"/>
    <x v="1"/>
    <x v="0"/>
    <n v="1788.9460504537331"/>
    <n v="1615.7914584567141"/>
    <n v="3404.7375089104471"/>
    <n v="0.7694341854814305"/>
    <n v="0.7694341854814305"/>
  </r>
  <r>
    <x v="3"/>
    <x v="2"/>
    <x v="0"/>
    <x v="1"/>
    <x v="1"/>
    <n v="329.83850354831497"/>
    <n v="237.98536083091858"/>
    <n v="567.82386437923356"/>
    <n v="0.3701175059572816"/>
    <n v="0.3701175059572816"/>
  </r>
  <r>
    <x v="3"/>
    <x v="2"/>
    <x v="1"/>
    <x v="1"/>
    <x v="1"/>
    <n v="1254.7460336908616"/>
    <n v="304.75547873172616"/>
    <n v="1559.5015124225877"/>
    <n v="0.93364174793872945"/>
    <n v="0.93364174793872945"/>
  </r>
  <r>
    <x v="3"/>
    <x v="2"/>
    <x v="2"/>
    <x v="1"/>
    <x v="1"/>
    <n v="1354.6843237133858"/>
    <n v="886.19929639005966"/>
    <n v="2240.8836201034455"/>
    <n v="1.2288183673903148"/>
    <n v="1.2288183673903148"/>
  </r>
  <r>
    <x v="3"/>
    <x v="2"/>
    <x v="3"/>
    <x v="1"/>
    <x v="1"/>
    <n v="577.70209834589025"/>
    <n v="367.76491948153489"/>
    <n v="945.46701782742514"/>
    <n v="0.49770000061167752"/>
    <n v="0.49770000061167752"/>
  </r>
  <r>
    <x v="3"/>
    <x v="2"/>
    <x v="4"/>
    <x v="1"/>
    <x v="1"/>
    <n v="185.92814755602018"/>
    <n v="298.40417893581377"/>
    <n v="484.33232649183395"/>
    <n v="0.31046762886503187"/>
    <n v="0.31046762886503187"/>
  </r>
  <r>
    <x v="3"/>
    <x v="2"/>
    <x v="5"/>
    <x v="1"/>
    <x v="1"/>
    <n v="1260.0871063880736"/>
    <n v="161.98814718153653"/>
    <n v="1422.0752535696101"/>
    <n v="0.97466184074632278"/>
    <n v="0.97466184074632278"/>
  </r>
  <r>
    <x v="3"/>
    <x v="2"/>
    <x v="6"/>
    <x v="1"/>
    <x v="1"/>
    <n v="325.36950965603"/>
    <n v="793.55962175761306"/>
    <n v="1118.9291314136431"/>
    <n v="0.7694341854814305"/>
    <n v="0.7694341854814305"/>
  </r>
  <r>
    <x v="3"/>
    <x v="2"/>
    <x v="0"/>
    <x v="2"/>
    <x v="0"/>
    <n v="1727.598996350685"/>
    <n v="574.98113001958779"/>
    <n v="2302.5801263702729"/>
    <n v="0.44036889186325451"/>
    <n v="0.44036889186325451"/>
  </r>
  <r>
    <x v="3"/>
    <x v="2"/>
    <x v="1"/>
    <x v="2"/>
    <x v="0"/>
    <n v="5289.2378150611557"/>
    <n v="736.30011917129229"/>
    <n v="6025.5379342324477"/>
    <n v="1.1108450863578114"/>
    <n v="1.1108450863578114"/>
  </r>
  <r>
    <x v="3"/>
    <x v="2"/>
    <x v="2"/>
    <x v="2"/>
    <x v="0"/>
    <n v="6073.3262607908009"/>
    <n v="2141.0891454913408"/>
    <n v="8214.4154062821417"/>
    <n v="1.4620190527002497"/>
    <n v="1.4620190527002497"/>
  </r>
  <r>
    <x v="3"/>
    <x v="2"/>
    <x v="3"/>
    <x v="2"/>
    <x v="0"/>
    <n v="2500.4818234231266"/>
    <n v="888.53317803564244"/>
    <n v="3389.0150014587689"/>
    <n v="0.59214615794090575"/>
    <n v="0.59214615794090575"/>
  </r>
  <r>
    <x v="3"/>
    <x v="2"/>
    <x v="4"/>
    <x v="2"/>
    <x v="0"/>
    <n v="1219.6233233772189"/>
    <n v="720.95515206492746"/>
    <n v="1940.5784754421463"/>
    <n v="0.36939741318949915"/>
    <n v="0.36939741318949915"/>
  </r>
  <r>
    <x v="3"/>
    <x v="2"/>
    <x v="5"/>
    <x v="2"/>
    <x v="0"/>
    <n v="5548.5158354196919"/>
    <n v="391.36914804769197"/>
    <n v="5939.8849834673838"/>
    <n v="1.1596687681980691"/>
    <n v="1.1596687681980691"/>
  </r>
  <r>
    <x v="3"/>
    <x v="2"/>
    <x v="6"/>
    <x v="2"/>
    <x v="0"/>
    <n v="2731.2438460117542"/>
    <n v="1917.2683834964259"/>
    <n v="4648.5122295081801"/>
    <n v="0.91548696264451945"/>
    <n v="0.91548696264451945"/>
  </r>
  <r>
    <x v="3"/>
    <x v="2"/>
    <x v="0"/>
    <x v="2"/>
    <x v="1"/>
    <n v="471.25147685594658"/>
    <n v="279.82790823795966"/>
    <n v="751.07938509390624"/>
    <n v="0.44036889186325451"/>
    <n v="0.44036889186325451"/>
  </r>
  <r>
    <x v="3"/>
    <x v="2"/>
    <x v="1"/>
    <x v="2"/>
    <x v="1"/>
    <n v="1699.3638548925392"/>
    <n v="358.33753740065191"/>
    <n v="2057.701392293191"/>
    <n v="1.1108450863578114"/>
    <n v="1.1108450863578114"/>
  </r>
  <r>
    <x v="3"/>
    <x v="2"/>
    <x v="2"/>
    <x v="2"/>
    <x v="1"/>
    <n v="1905.1659732525179"/>
    <n v="1042.0107124444801"/>
    <n v="2947.176685696998"/>
    <n v="1.4620190527002497"/>
    <n v="1.4620190527002497"/>
  </r>
  <r>
    <x v="3"/>
    <x v="2"/>
    <x v="3"/>
    <x v="2"/>
    <x v="1"/>
    <n v="809.35977173857782"/>
    <n v="432.42528776773975"/>
    <n v="1241.7850595063176"/>
    <n v="0.59214615794090575"/>
    <n v="0.59214615794090575"/>
  </r>
  <r>
    <x v="3"/>
    <x v="2"/>
    <x v="4"/>
    <x v="2"/>
    <x v="1"/>
    <n v="289.54429761814345"/>
    <n v="350.86955310835344"/>
    <n v="640.41385072649689"/>
    <n v="0.36939741318949915"/>
    <n v="0.36939741318949915"/>
  </r>
  <r>
    <x v="3"/>
    <x v="2"/>
    <x v="5"/>
    <x v="2"/>
    <x v="1"/>
    <n v="1693.8782813818293"/>
    <n v="190.46887685397107"/>
    <n v="1884.3471582358004"/>
    <n v="1.1596687681980691"/>
    <n v="1.1596687681980691"/>
  </r>
  <r>
    <x v="3"/>
    <x v="2"/>
    <x v="6"/>
    <x v="2"/>
    <x v="1"/>
    <n v="549.14948861037158"/>
    <n v="933.0831452960939"/>
    <n v="1482.2326339064655"/>
    <n v="0.91548696264451945"/>
    <n v="0.91548696264451945"/>
  </r>
  <r>
    <x v="4"/>
    <x v="0"/>
    <x v="0"/>
    <x v="0"/>
    <x v="0"/>
    <n v="2338.4885416842058"/>
    <n v="437.27958890689445"/>
    <n v="2775.7681305911001"/>
    <n v="0.5704962718596438"/>
    <n v="0.5704962718596438"/>
  </r>
  <r>
    <x v="4"/>
    <x v="0"/>
    <x v="1"/>
    <x v="0"/>
    <x v="0"/>
    <n v="6138.0695243566306"/>
    <n v="612.73497339257483"/>
    <n v="6750.8044977492054"/>
    <n v="1.3328116379300989"/>
    <n v="1.3328116379300989"/>
  </r>
  <r>
    <x v="4"/>
    <x v="0"/>
    <x v="2"/>
    <x v="0"/>
    <x v="0"/>
    <n v="6536.310465811327"/>
    <n v="1807.9923167801944"/>
    <n v="8344.3027825915215"/>
    <n v="1.5851902987314284"/>
    <n v="1.5851902987314284"/>
  </r>
  <r>
    <x v="4"/>
    <x v="0"/>
    <x v="3"/>
    <x v="0"/>
    <x v="0"/>
    <n v="3384.434603583014"/>
    <n v="713.54840863408867"/>
    <n v="4097.9830122171024"/>
    <n v="0.76315809801321377"/>
    <n v="0.76315809801321377"/>
  </r>
  <r>
    <x v="4"/>
    <x v="0"/>
    <x v="4"/>
    <x v="0"/>
    <x v="0"/>
    <n v="1461.0742824173126"/>
    <n v="534.86050627579505"/>
    <n v="1995.9347886931077"/>
    <n v="0.40783713384322473"/>
    <n v="0.40783713384322473"/>
  </r>
  <r>
    <x v="4"/>
    <x v="0"/>
    <x v="5"/>
    <x v="0"/>
    <x v="0"/>
    <n v="7017.8463084425848"/>
    <n v="346.51734538777964"/>
    <n v="7364.3636538303645"/>
    <n v="1.5480377827610885"/>
    <n v="1.5480377827610885"/>
  </r>
  <r>
    <x v="4"/>
    <x v="0"/>
    <x v="6"/>
    <x v="0"/>
    <x v="0"/>
    <n v="3339.6157469770492"/>
    <n v="1427.1772055526785"/>
    <n v="4766.7929525297277"/>
    <n v="1.0103999406437776"/>
    <n v="1.0103999406437776"/>
  </r>
  <r>
    <x v="4"/>
    <x v="0"/>
    <x v="0"/>
    <x v="0"/>
    <x v="1"/>
    <n v="695.75723775979964"/>
    <n v="224.76918363307288"/>
    <n v="920.52642139287252"/>
    <n v="0.5704962718596438"/>
    <n v="0.5704962718596438"/>
  </r>
  <r>
    <x v="4"/>
    <x v="0"/>
    <x v="1"/>
    <x v="0"/>
    <x v="1"/>
    <n v="2024.4254694060764"/>
    <n v="314.95625052420598"/>
    <n v="2339.3817199302825"/>
    <n v="1.3328116379300989"/>
    <n v="1.3328116379300989"/>
  </r>
  <r>
    <x v="4"/>
    <x v="0"/>
    <x v="2"/>
    <x v="0"/>
    <x v="1"/>
    <n v="2104.7996533987666"/>
    <n v="929.33895696668117"/>
    <n v="3034.1386103654477"/>
    <n v="1.5851902987314284"/>
    <n v="1.5851902987314284"/>
  </r>
  <r>
    <x v="4"/>
    <x v="0"/>
    <x v="3"/>
    <x v="0"/>
    <x v="1"/>
    <n v="1154.1443378176618"/>
    <n v="366.77607956110501"/>
    <n v="1520.9204173787668"/>
    <n v="0.76315809801321377"/>
    <n v="0.76315809801321377"/>
  </r>
  <r>
    <x v="4"/>
    <x v="0"/>
    <x v="4"/>
    <x v="0"/>
    <x v="1"/>
    <n v="394.13940295928148"/>
    <n v="274.92744322621411"/>
    <n v="669.06684618549559"/>
    <n v="0.40783713384322473"/>
    <n v="0.40783713384322473"/>
  </r>
  <r>
    <x v="4"/>
    <x v="0"/>
    <x v="5"/>
    <x v="0"/>
    <x v="1"/>
    <n v="2198.9107298422623"/>
    <n v="178.11583895834292"/>
    <n v="2377.0265688006052"/>
    <n v="1.5480377827610885"/>
    <n v="1.5480377827610885"/>
  </r>
  <r>
    <x v="4"/>
    <x v="0"/>
    <x v="6"/>
    <x v="0"/>
    <x v="1"/>
    <n v="812.59755731950418"/>
    <n v="733.5934800746154"/>
    <n v="1546.1910373941196"/>
    <n v="1.0103999406437776"/>
    <n v="1.0103999406437776"/>
  </r>
  <r>
    <x v="4"/>
    <x v="0"/>
    <x v="0"/>
    <x v="1"/>
    <x v="0"/>
    <n v="1991.3087744622962"/>
    <n v="403.70436444116797"/>
    <n v="2395.0131389034641"/>
    <n v="0.52435454631339184"/>
    <n v="0.52435454631339184"/>
  </r>
  <r>
    <x v="4"/>
    <x v="0"/>
    <x v="1"/>
    <x v="1"/>
    <x v="0"/>
    <n v="5270.5046671664022"/>
    <n v="565.68792433848114"/>
    <n v="5836.1925915048832"/>
    <n v="1.2250222243611404"/>
    <n v="1.2250222243611404"/>
  </r>
  <r>
    <x v="4"/>
    <x v="0"/>
    <x v="2"/>
    <x v="1"/>
    <x v="0"/>
    <n v="5558.2305700462193"/>
    <n v="1669.1709553259589"/>
    <n v="7227.4015253721782"/>
    <n v="1.4570103325986283"/>
    <n v="1.4570103325986283"/>
  </r>
  <r>
    <x v="4"/>
    <x v="0"/>
    <x v="3"/>
    <x v="1"/>
    <x v="0"/>
    <n v="2893.6006463216654"/>
    <n v="658.7606970765014"/>
    <n v="3552.3613433981668"/>
    <n v="0.70145339856277444"/>
    <n v="0.70145339856277444"/>
  </r>
  <r>
    <x v="4"/>
    <x v="0"/>
    <x v="4"/>
    <x v="1"/>
    <x v="0"/>
    <n v="1229.4253240391704"/>
    <n v="493.79281866441306"/>
    <n v="1723.2181427035835"/>
    <n v="0.37485100959083201"/>
    <n v="0.37485100959083201"/>
  </r>
  <r>
    <x v="4"/>
    <x v="0"/>
    <x v="5"/>
    <x v="1"/>
    <x v="0"/>
    <n v="6027.4431928987697"/>
    <n v="319.91103229243083"/>
    <n v="6347.3542251912004"/>
    <n v="1.4228249607741457"/>
    <n v="1.4228249607741457"/>
  </r>
  <r>
    <x v="4"/>
    <x v="0"/>
    <x v="6"/>
    <x v="1"/>
    <x v="0"/>
    <n v="2791.7714603179857"/>
    <n v="1317.5956100600017"/>
    <n v="4109.3670703779871"/>
    <n v="0.92867291424540288"/>
    <n v="0.92867291424540288"/>
  </r>
  <r>
    <x v="4"/>
    <x v="0"/>
    <x v="0"/>
    <x v="1"/>
    <x v="1"/>
    <n v="595.880521720557"/>
    <n v="208.56947051205137"/>
    <n v="804.44999223260834"/>
    <n v="0.52435454631339184"/>
    <n v="0.52435454631339184"/>
  </r>
  <r>
    <x v="4"/>
    <x v="0"/>
    <x v="1"/>
    <x v="1"/>
    <x v="1"/>
    <n v="1753.9501969094435"/>
    <n v="292.25651552630745"/>
    <n v="2046.2067124357511"/>
    <n v="1.2250222243611404"/>
    <n v="1.2250222243611404"/>
  </r>
  <r>
    <x v="4"/>
    <x v="0"/>
    <x v="2"/>
    <x v="1"/>
    <x v="1"/>
    <n v="1794.6574019672644"/>
    <n v="862.35902559127351"/>
    <n v="2657.016427558538"/>
    <n v="1.4570103325986283"/>
    <n v="1.4570103325986283"/>
  </r>
  <r>
    <x v="4"/>
    <x v="0"/>
    <x v="3"/>
    <x v="1"/>
    <x v="1"/>
    <n v="992.19019858441266"/>
    <n v="340.34155160445056"/>
    <n v="1332.5317501888633"/>
    <n v="0.70145339856277444"/>
    <n v="0.70145339856277444"/>
  </r>
  <r>
    <x v="4"/>
    <x v="0"/>
    <x v="4"/>
    <x v="1"/>
    <x v="1"/>
    <n v="329.65829547848011"/>
    <n v="255.11269087728365"/>
    <n v="584.77098635576374"/>
    <n v="0.37485100959083201"/>
    <n v="0.37485100959083201"/>
  </r>
  <r>
    <x v="4"/>
    <x v="0"/>
    <x v="5"/>
    <x v="1"/>
    <x v="1"/>
    <n v="1910.6867498958386"/>
    <n v="165.27855652132712"/>
    <n v="2075.9653064171657"/>
    <n v="1.4228249607741457"/>
    <n v="1.4228249607741457"/>
  </r>
  <r>
    <x v="4"/>
    <x v="0"/>
    <x v="6"/>
    <x v="1"/>
    <x v="1"/>
    <n v="669.77635728527491"/>
    <n v="680.72144605032133"/>
    <n v="1350.4978033355962"/>
    <n v="0.92867291424540288"/>
    <n v="0.92867291424540288"/>
  </r>
  <r>
    <x v="4"/>
    <x v="0"/>
    <x v="0"/>
    <x v="2"/>
    <x v="0"/>
    <n v="2785.3321885353866"/>
    <n v="476.78953788860332"/>
    <n v="3262.1217264239899"/>
    <n v="0.62388140735536901"/>
    <n v="0.62388140735536901"/>
  </r>
  <r>
    <x v="4"/>
    <x v="0"/>
    <x v="1"/>
    <x v="2"/>
    <x v="0"/>
    <n v="7237.951495541085"/>
    <n v="668.09801377268252"/>
    <n v="7906.0495093137679"/>
    <n v="1.4575289950508858"/>
    <n v="1.4575289950508858"/>
  </r>
  <r>
    <x v="4"/>
    <x v="0"/>
    <x v="2"/>
    <x v="2"/>
    <x v="0"/>
    <n v="7768.483374497031"/>
    <n v="1971.351609112764"/>
    <n v="9739.834983609795"/>
    <n v="1.7335164600153687"/>
    <n v="1.7335164600153687"/>
  </r>
  <r>
    <x v="4"/>
    <x v="0"/>
    <x v="3"/>
    <x v="2"/>
    <x v="0"/>
    <n v="3998.4234732138925"/>
    <n v="778.02034360728669"/>
    <n v="4776.4438168211791"/>
    <n v="0.83456486723538792"/>
    <n v="0.83456486723538792"/>
  </r>
  <r>
    <x v="4"/>
    <x v="0"/>
    <x v="4"/>
    <x v="2"/>
    <x v="0"/>
    <n v="1759.8196340402878"/>
    <n v="583.1872790120068"/>
    <n v="2343.0069130522947"/>
    <n v="0.44600138758595514"/>
    <n v="0.44600138758595514"/>
  </r>
  <r>
    <x v="4"/>
    <x v="0"/>
    <x v="5"/>
    <x v="2"/>
    <x v="0"/>
    <n v="8293.3004509405746"/>
    <n v="377.82656490056939"/>
    <n v="8671.1270158411444"/>
    <n v="1.6929006560459676"/>
    <n v="1.6929006560459676"/>
  </r>
  <r>
    <x v="4"/>
    <x v="0"/>
    <x v="6"/>
    <x v="2"/>
    <x v="0"/>
    <n v="4054.4196202884577"/>
    <n v="1556.128338900113"/>
    <n v="5610.5479591885705"/>
    <n v="1.1049521344321356"/>
    <n v="1.1049521344321356"/>
  </r>
  <r>
    <x v="4"/>
    <x v="0"/>
    <x v="0"/>
    <x v="2"/>
    <x v="1"/>
    <n v="819.76580148544053"/>
    <n v="244.30678053857557"/>
    <n v="1064.0725820240161"/>
    <n v="0.62388140735536901"/>
    <n v="0.62388140735536901"/>
  </r>
  <r>
    <x v="4"/>
    <x v="0"/>
    <x v="1"/>
    <x v="2"/>
    <x v="1"/>
    <n v="2357.5567400852342"/>
    <n v="342.33317188926208"/>
    <n v="2699.889911974496"/>
    <n v="1.4575289950508858"/>
    <n v="1.4575289950508858"/>
  </r>
  <r>
    <x v="4"/>
    <x v="0"/>
    <x v="2"/>
    <x v="2"/>
    <x v="1"/>
    <n v="2484.3485163636351"/>
    <n v="1010.1198257508828"/>
    <n v="3494.4683421145178"/>
    <n v="1.7335164600153687"/>
    <n v="1.7335164600153687"/>
  </r>
  <r>
    <x v="4"/>
    <x v="0"/>
    <x v="3"/>
    <x v="2"/>
    <x v="1"/>
    <n v="1351.5020992921845"/>
    <n v="398.65733250342754"/>
    <n v="1750.1594317956121"/>
    <n v="0.83456486723538792"/>
    <n v="0.83456486723538792"/>
  </r>
  <r>
    <x v="4"/>
    <x v="0"/>
    <x v="4"/>
    <x v="2"/>
    <x v="1"/>
    <n v="474.39505198205921"/>
    <n v="298.82494321795201"/>
    <n v="773.21999520001123"/>
    <n v="0.44600138758595514"/>
    <n v="0.44600138758595514"/>
  </r>
  <r>
    <x v="4"/>
    <x v="0"/>
    <x v="5"/>
    <x v="2"/>
    <x v="1"/>
    <n v="2557.1980956018429"/>
    <n v="193.59819026560425"/>
    <n v="2750.7962858674473"/>
    <n v="1.6929006560459676"/>
    <n v="1.6929006560459676"/>
  </r>
  <r>
    <x v="4"/>
    <x v="0"/>
    <x v="6"/>
    <x v="2"/>
    <x v="1"/>
    <n v="991.6294296704873"/>
    <n v="797.35957769767879"/>
    <n v="1788.9890073681661"/>
    <n v="1.1049521344321356"/>
    <n v="1.1049521344321356"/>
  </r>
  <r>
    <x v="4"/>
    <x v="1"/>
    <x v="0"/>
    <x v="0"/>
    <x v="0"/>
    <n v="2342.0254353707733"/>
    <n v="433.74269522032682"/>
    <n v="2775.7681305911001"/>
    <n v="0.5704962718596438"/>
    <n v="0.5704962718596438"/>
  </r>
  <r>
    <x v="4"/>
    <x v="1"/>
    <x v="1"/>
    <x v="0"/>
    <x v="0"/>
    <n v="6143.0255719607458"/>
    <n v="607.77892578845979"/>
    <n v="6750.8044977492054"/>
    <n v="1.3328116379300989"/>
    <n v="1.3328116379300989"/>
  </r>
  <r>
    <x v="4"/>
    <x v="1"/>
    <x v="2"/>
    <x v="0"/>
    <x v="0"/>
    <n v="6550.9342369015048"/>
    <n v="1793.3685456900171"/>
    <n v="8344.3027825915215"/>
    <n v="1.5851902987314284"/>
    <n v="1.5851902987314284"/>
  </r>
  <r>
    <x v="4"/>
    <x v="1"/>
    <x v="3"/>
    <x v="0"/>
    <x v="0"/>
    <n v="3390.2060709132511"/>
    <n v="707.77694130385112"/>
    <n v="4097.9830122171024"/>
    <n v="0.76315809801321377"/>
    <n v="0.76315809801321377"/>
  </r>
  <r>
    <x v="4"/>
    <x v="1"/>
    <x v="4"/>
    <x v="0"/>
    <x v="0"/>
    <n v="1465.4004499216544"/>
    <n v="530.53433877145346"/>
    <n v="1995.9347886931077"/>
    <n v="0.40783713384322473"/>
    <n v="0.40783713384322473"/>
  </r>
  <r>
    <x v="4"/>
    <x v="1"/>
    <x v="5"/>
    <x v="0"/>
    <x v="0"/>
    <n v="7020.6490804957048"/>
    <n v="343.71457333466009"/>
    <n v="7364.3636538303645"/>
    <n v="1.5480377827610885"/>
    <n v="1.5480377827610885"/>
  </r>
  <r>
    <x v="4"/>
    <x v="1"/>
    <x v="6"/>
    <x v="0"/>
    <x v="0"/>
    <n v="3351.1593318504019"/>
    <n v="1415.6336206793258"/>
    <n v="4766.7929525297277"/>
    <n v="1.0103999406437776"/>
    <n v="1.0103999406437776"/>
  </r>
  <r>
    <x v="4"/>
    <x v="1"/>
    <x v="0"/>
    <x v="0"/>
    <x v="1"/>
    <n v="697.68188282958761"/>
    <n v="222.84453856328494"/>
    <n v="920.52642139287252"/>
    <n v="0.5704962718596438"/>
    <n v="0.5704962718596438"/>
  </r>
  <r>
    <x v="4"/>
    <x v="1"/>
    <x v="1"/>
    <x v="0"/>
    <x v="1"/>
    <n v="2027.1223648833482"/>
    <n v="312.25935504693444"/>
    <n v="2339.3817199302825"/>
    <n v="1.3328116379300989"/>
    <n v="1.3328116379300989"/>
  </r>
  <r>
    <x v="4"/>
    <x v="1"/>
    <x v="2"/>
    <x v="0"/>
    <x v="1"/>
    <n v="2112.7573618923266"/>
    <n v="921.38124847312122"/>
    <n v="3034.1386103654477"/>
    <n v="1.5851902987314284"/>
    <n v="1.5851902987314284"/>
  </r>
  <r>
    <x v="4"/>
    <x v="1"/>
    <x v="3"/>
    <x v="0"/>
    <x v="1"/>
    <n v="1157.2849541683231"/>
    <n v="363.63546321044385"/>
    <n v="1520.9204173787668"/>
    <n v="0.76315809801321377"/>
    <n v="0.76315809801321377"/>
  </r>
  <r>
    <x v="4"/>
    <x v="1"/>
    <x v="4"/>
    <x v="0"/>
    <x v="1"/>
    <n v="396.49354127843134"/>
    <n v="272.57330490706426"/>
    <n v="669.06684618549559"/>
    <n v="0.40783713384322473"/>
    <n v="0.40783713384322473"/>
  </r>
  <r>
    <x v="4"/>
    <x v="1"/>
    <x v="5"/>
    <x v="0"/>
    <x v="1"/>
    <n v="2200.4358934156721"/>
    <n v="176.59067538493309"/>
    <n v="2377.0265688006052"/>
    <n v="1.5480377827610885"/>
    <n v="1.5480377827610885"/>
  </r>
  <r>
    <x v="4"/>
    <x v="1"/>
    <x v="6"/>
    <x v="0"/>
    <x v="1"/>
    <n v="818.87914384232056"/>
    <n v="727.31189355179902"/>
    <n v="1546.1910373941196"/>
    <n v="1.0103999406437776"/>
    <n v="1.0103999406437776"/>
  </r>
  <r>
    <x v="4"/>
    <x v="1"/>
    <x v="0"/>
    <x v="1"/>
    <x v="0"/>
    <n v="1994.5800788601277"/>
    <n v="400.43306004333647"/>
    <n v="2395.0131389034641"/>
    <n v="0.52435454631339184"/>
    <n v="0.52435454631339184"/>
  </r>
  <r>
    <x v="4"/>
    <x v="1"/>
    <x v="1"/>
    <x v="1"/>
    <x v="0"/>
    <n v="5275.0885596324879"/>
    <n v="561.10403187239501"/>
    <n v="5836.1925915048832"/>
    <n v="1.2250222243611404"/>
    <n v="1.2250222243611404"/>
  </r>
  <r>
    <x v="4"/>
    <x v="1"/>
    <x v="2"/>
    <x v="1"/>
    <x v="0"/>
    <n v="5571.756225867276"/>
    <n v="1655.6452995049019"/>
    <n v="7227.4015253721782"/>
    <n v="1.4570103325986283"/>
    <n v="1.4570103325986283"/>
  </r>
  <r>
    <x v="4"/>
    <x v="1"/>
    <x v="3"/>
    <x v="1"/>
    <x v="0"/>
    <n v="2898.9387277378678"/>
    <n v="653.42261566029913"/>
    <n v="3552.3613433981668"/>
    <n v="0.70145339856277444"/>
    <n v="0.70145339856277444"/>
  </r>
  <r>
    <x v="4"/>
    <x v="1"/>
    <x v="4"/>
    <x v="1"/>
    <x v="0"/>
    <n v="1233.4266348041665"/>
    <n v="489.7915078994169"/>
    <n v="1723.2181427035835"/>
    <n v="0.37485100959083201"/>
    <n v="0.37485100959083201"/>
  </r>
  <r>
    <x v="4"/>
    <x v="1"/>
    <x v="5"/>
    <x v="1"/>
    <x v="0"/>
    <n v="6030.0355016747762"/>
    <n v="317.3187235164246"/>
    <n v="6347.3542251912004"/>
    <n v="1.4228249607741457"/>
    <n v="1.4228249607741457"/>
  </r>
  <r>
    <x v="4"/>
    <x v="1"/>
    <x v="6"/>
    <x v="1"/>
    <x v="0"/>
    <n v="2802.4482245380568"/>
    <n v="1306.9188458399301"/>
    <n v="4109.3670703779871"/>
    <n v="0.92867291424540288"/>
    <n v="0.92867291424540288"/>
  </r>
  <r>
    <x v="4"/>
    <x v="1"/>
    <x v="0"/>
    <x v="1"/>
    <x v="1"/>
    <n v="597.67019070395031"/>
    <n v="206.77980152865797"/>
    <n v="804.44999223260834"/>
    <n v="0.52435454631339184"/>
    <n v="0.52435454631339184"/>
  </r>
  <r>
    <x v="4"/>
    <x v="1"/>
    <x v="1"/>
    <x v="1"/>
    <x v="1"/>
    <n v="1756.4579580872792"/>
    <n v="289.748754348472"/>
    <n v="2046.2067124357511"/>
    <n v="1.2250222243611404"/>
    <n v="1.2250222243611404"/>
  </r>
  <r>
    <x v="4"/>
    <x v="1"/>
    <x v="2"/>
    <x v="1"/>
    <x v="1"/>
    <n v="1802.0570333556013"/>
    <n v="854.95939420293666"/>
    <n v="2657.016427558538"/>
    <n v="1.4570103325986283"/>
    <n v="1.4570103325986283"/>
  </r>
  <r>
    <x v="4"/>
    <x v="1"/>
    <x v="3"/>
    <x v="1"/>
    <x v="1"/>
    <n v="995.11056232302985"/>
    <n v="337.42118786583336"/>
    <n v="1332.5317501888633"/>
    <n v="0.70145339856277444"/>
    <n v="0.70145339856277444"/>
  </r>
  <r>
    <x v="4"/>
    <x v="1"/>
    <x v="4"/>
    <x v="1"/>
    <x v="1"/>
    <n v="331.84733718727909"/>
    <n v="252.92364916848462"/>
    <n v="584.77098635576374"/>
    <n v="0.37485100959083201"/>
    <n v="0.37485100959083201"/>
  </r>
  <r>
    <x v="4"/>
    <x v="1"/>
    <x v="5"/>
    <x v="1"/>
    <x v="1"/>
    <n v="1912.104953171227"/>
    <n v="163.86035324593885"/>
    <n v="2075.9653064171657"/>
    <n v="1.4228249607741457"/>
    <n v="1.4228249607741457"/>
  </r>
  <r>
    <x v="4"/>
    <x v="1"/>
    <x v="6"/>
    <x v="1"/>
    <x v="1"/>
    <n v="675.61741377036753"/>
    <n v="674.88038956522871"/>
    <n v="1350.4978033355962"/>
    <n v="0.92867291424540288"/>
    <n v="0.92867291424540288"/>
  </r>
  <r>
    <x v="4"/>
    <x v="1"/>
    <x v="0"/>
    <x v="2"/>
    <x v="0"/>
    <n v="2789.1861064881532"/>
    <n v="472.93561993583694"/>
    <n v="3262.1217264239899"/>
    <n v="0.62388140735536901"/>
    <n v="0.62388140735536901"/>
  </r>
  <r>
    <x v="4"/>
    <x v="1"/>
    <x v="1"/>
    <x v="2"/>
    <x v="0"/>
    <n v="7243.351771186577"/>
    <n v="662.69773812719109"/>
    <n v="7906.0495093137679"/>
    <n v="1.4575289950508858"/>
    <n v="1.4575289950508858"/>
  </r>
  <r>
    <x v="4"/>
    <x v="1"/>
    <x v="2"/>
    <x v="2"/>
    <x v="0"/>
    <n v="7784.4179258112581"/>
    <n v="1955.4170577985365"/>
    <n v="9739.834983609795"/>
    <n v="1.7335164600153687"/>
    <n v="1.7335164600153687"/>
  </r>
  <r>
    <x v="4"/>
    <x v="1"/>
    <x v="3"/>
    <x v="2"/>
    <x v="0"/>
    <n v="4004.7122575339517"/>
    <n v="771.73155928722736"/>
    <n v="4776.4438168211791"/>
    <n v="0.83456486723538792"/>
    <n v="0.83456486723538792"/>
  </r>
  <r>
    <x v="4"/>
    <x v="1"/>
    <x v="4"/>
    <x v="2"/>
    <x v="0"/>
    <n v="1764.5335712092156"/>
    <n v="578.4733418430792"/>
    <n v="2343.0069130522947"/>
    <n v="0.44600138758595514"/>
    <n v="0.44600138758595514"/>
  </r>
  <r>
    <x v="4"/>
    <x v="1"/>
    <x v="5"/>
    <x v="2"/>
    <x v="0"/>
    <n v="8296.3544453464729"/>
    <n v="374.77257049467238"/>
    <n v="8671.1270158411444"/>
    <n v="1.6929006560459676"/>
    <n v="1.6929006560459676"/>
  </r>
  <r>
    <x v="4"/>
    <x v="1"/>
    <x v="6"/>
    <x v="2"/>
    <x v="0"/>
    <n v="4066.9978974223313"/>
    <n v="1543.5500617662394"/>
    <n v="5610.5479591885705"/>
    <n v="1.1049521344321356"/>
    <n v="1.1049521344321356"/>
  </r>
  <r>
    <x v="4"/>
    <x v="1"/>
    <x v="0"/>
    <x v="2"/>
    <x v="1"/>
    <n v="821.85680949885648"/>
    <n v="242.21577252515968"/>
    <n v="1064.0725820240161"/>
    <n v="0.62388140735536901"/>
    <n v="0.62388140735536901"/>
  </r>
  <r>
    <x v="4"/>
    <x v="1"/>
    <x v="1"/>
    <x v="2"/>
    <x v="1"/>
    <n v="2360.486750476678"/>
    <n v="339.40316149781813"/>
    <n v="2699.889911974496"/>
    <n v="1.4575289950508858"/>
    <n v="1.4575289950508858"/>
  </r>
  <r>
    <x v="4"/>
    <x v="1"/>
    <x v="2"/>
    <x v="2"/>
    <x v="1"/>
    <n v="2492.9940752199982"/>
    <n v="1001.4742668945195"/>
    <n v="3494.4683421145178"/>
    <n v="1.7335164600153687"/>
    <n v="1.7335164600153687"/>
  </r>
  <r>
    <x v="4"/>
    <x v="1"/>
    <x v="3"/>
    <x v="2"/>
    <x v="1"/>
    <n v="1354.9141850109399"/>
    <n v="395.24524678467213"/>
    <n v="1750.1594317956121"/>
    <n v="0.83456486723538792"/>
    <n v="0.83456486723538792"/>
  </r>
  <r>
    <x v="4"/>
    <x v="1"/>
    <x v="4"/>
    <x v="2"/>
    <x v="1"/>
    <n v="476.95267788789664"/>
    <n v="296.26731731211459"/>
    <n v="773.21999520001123"/>
    <n v="0.44600138758595514"/>
    <n v="0.44600138758595514"/>
  </r>
  <r>
    <x v="4"/>
    <x v="1"/>
    <x v="5"/>
    <x v="2"/>
    <x v="1"/>
    <n v="2558.8550916391027"/>
    <n v="191.94119422834441"/>
    <n v="2750.7962858674473"/>
    <n v="1.6929006560459676"/>
    <n v="1.6929006560459676"/>
  </r>
  <r>
    <x v="4"/>
    <x v="1"/>
    <x v="6"/>
    <x v="2"/>
    <x v="1"/>
    <n v="998.45398551320272"/>
    <n v="790.53502185496336"/>
    <n v="1788.9890073681661"/>
    <n v="1.1049521344321356"/>
    <n v="1.1049521344321356"/>
  </r>
  <r>
    <x v="4"/>
    <x v="2"/>
    <x v="0"/>
    <x v="0"/>
    <x v="0"/>
    <n v="2120.6898473711353"/>
    <n v="655.07828321996499"/>
    <n v="2775.7681305911001"/>
    <n v="0.5704962718596438"/>
    <n v="0.5704962718596438"/>
  </r>
  <r>
    <x v="4"/>
    <x v="2"/>
    <x v="1"/>
    <x v="0"/>
    <x v="0"/>
    <n v="5832.8806233643345"/>
    <n v="917.92387438487083"/>
    <n v="6750.8044977492054"/>
    <n v="1.3328116379300989"/>
    <n v="1.3328116379300989"/>
  </r>
  <r>
    <x v="4"/>
    <x v="2"/>
    <x v="2"/>
    <x v="0"/>
    <x v="0"/>
    <n v="5635.7919510845059"/>
    <n v="2708.5108315070152"/>
    <n v="8344.3027825915215"/>
    <n v="1.5851902987314284"/>
    <n v="1.5851902987314284"/>
  </r>
  <r>
    <x v="4"/>
    <x v="2"/>
    <x v="3"/>
    <x v="0"/>
    <x v="0"/>
    <n v="3029.032897964491"/>
    <n v="1068.9501142526117"/>
    <n v="4097.9830122171024"/>
    <n v="0.76315809801321377"/>
    <n v="0.76315809801321377"/>
  </r>
  <r>
    <x v="4"/>
    <x v="2"/>
    <x v="4"/>
    <x v="0"/>
    <x v="0"/>
    <n v="1194.672824719044"/>
    <n v="801.26196397406375"/>
    <n v="1995.9347886931077"/>
    <n v="0.40783713384322473"/>
    <n v="0.40783713384322473"/>
  </r>
  <r>
    <x v="4"/>
    <x v="2"/>
    <x v="5"/>
    <x v="0"/>
    <x v="0"/>
    <n v="6845.2541561974922"/>
    <n v="519.10949763287192"/>
    <n v="7364.3636538303645"/>
    <n v="1.5480377827610885"/>
    <n v="1.5480377827610885"/>
  </r>
  <r>
    <x v="4"/>
    <x v="2"/>
    <x v="6"/>
    <x v="0"/>
    <x v="0"/>
    <n v="2628.7722962233152"/>
    <n v="2138.0206563064125"/>
    <n v="4766.7929525297277"/>
    <n v="1.0103999406437776"/>
    <n v="1.0103999406437776"/>
  </r>
  <r>
    <x v="4"/>
    <x v="2"/>
    <x v="0"/>
    <x v="0"/>
    <x v="1"/>
    <n v="600.57731333773631"/>
    <n v="319.94910805513615"/>
    <n v="920.52642139287252"/>
    <n v="0.5704962718596438"/>
    <n v="0.5704962718596438"/>
  </r>
  <r>
    <x v="4"/>
    <x v="2"/>
    <x v="1"/>
    <x v="0"/>
    <x v="1"/>
    <n v="1891.0552643067515"/>
    <n v="448.32645562353099"/>
    <n v="2339.3817199302825"/>
    <n v="1.3328116379300989"/>
    <n v="1.3328116379300989"/>
  </r>
  <r>
    <x v="4"/>
    <x v="2"/>
    <x v="2"/>
    <x v="0"/>
    <x v="1"/>
    <n v="1711.2652272962691"/>
    <n v="1322.8733830691785"/>
    <n v="3034.1386103654477"/>
    <n v="1.5851902987314284"/>
    <n v="1.5851902987314284"/>
  </r>
  <r>
    <x v="4"/>
    <x v="2"/>
    <x v="3"/>
    <x v="0"/>
    <x v="1"/>
    <n v="998.83070020870821"/>
    <n v="522.08971717005863"/>
    <n v="1520.9204173787668"/>
    <n v="0.76315809801321377"/>
    <n v="0.76315809801321377"/>
  </r>
  <r>
    <x v="4"/>
    <x v="2"/>
    <x v="4"/>
    <x v="0"/>
    <x v="1"/>
    <n v="277.71964805845016"/>
    <n v="391.34719812704543"/>
    <n v="669.06684618549559"/>
    <n v="0.40783713384322473"/>
    <n v="0.40783713384322473"/>
  </r>
  <r>
    <x v="4"/>
    <x v="2"/>
    <x v="5"/>
    <x v="0"/>
    <x v="1"/>
    <n v="2123.4864576337427"/>
    <n v="253.54011116686235"/>
    <n v="2377.0265688006052"/>
    <n v="1.5480377827610885"/>
    <n v="1.5480377827610885"/>
  </r>
  <r>
    <x v="4"/>
    <x v="2"/>
    <x v="6"/>
    <x v="0"/>
    <x v="1"/>
    <n v="501.95278448443219"/>
    <n v="1044.2382529096874"/>
    <n v="1546.1910373941196"/>
    <n v="1.0103999406437776"/>
    <n v="1.0103999406437776"/>
  </r>
  <r>
    <x v="4"/>
    <x v="2"/>
    <x v="0"/>
    <x v="1"/>
    <x v="0"/>
    <n v="1791.9431061658975"/>
    <n v="603.07003273756663"/>
    <n v="2395.0131389034641"/>
    <n v="0.52435454631339184"/>
    <n v="0.52435454631339184"/>
  </r>
  <r>
    <x v="4"/>
    <x v="2"/>
    <x v="1"/>
    <x v="1"/>
    <x v="0"/>
    <n v="4991.1449152869291"/>
    <n v="845.0476762179544"/>
    <n v="5836.1925915048832"/>
    <n v="1.2250222243611404"/>
    <n v="1.2250222243611404"/>
  </r>
  <r>
    <x v="4"/>
    <x v="2"/>
    <x v="2"/>
    <x v="1"/>
    <x v="0"/>
    <n v="4733.9259245659887"/>
    <n v="2493.47560080619"/>
    <n v="7227.4015253721782"/>
    <n v="1.4570103325986283"/>
    <n v="1.4570103325986283"/>
  </r>
  <r>
    <x v="4"/>
    <x v="2"/>
    <x v="3"/>
    <x v="1"/>
    <x v="0"/>
    <n v="2568.2777660454967"/>
    <n v="984.0835773526702"/>
    <n v="3552.3613433981668"/>
    <n v="0.70145339856277444"/>
    <n v="0.70145339856277444"/>
  </r>
  <r>
    <x v="4"/>
    <x v="2"/>
    <x v="4"/>
    <x v="1"/>
    <x v="0"/>
    <n v="985.57030545578846"/>
    <n v="737.647837247795"/>
    <n v="1723.2181427035835"/>
    <n v="0.37485100959083201"/>
    <n v="0.37485100959083201"/>
  </r>
  <r>
    <x v="4"/>
    <x v="2"/>
    <x v="5"/>
    <x v="1"/>
    <x v="0"/>
    <n v="5869.4580870487034"/>
    <n v="477.89613814249674"/>
    <n v="6347.3542251912004"/>
    <n v="1.4228249607741457"/>
    <n v="1.4228249607741457"/>
  </r>
  <r>
    <x v="4"/>
    <x v="2"/>
    <x v="6"/>
    <x v="1"/>
    <x v="0"/>
    <n v="2141.0890489260837"/>
    <n v="1968.2780214519034"/>
    <n v="4109.3670703779871"/>
    <n v="0.92867291424540288"/>
    <n v="0.92867291424540288"/>
  </r>
  <r>
    <x v="4"/>
    <x v="2"/>
    <x v="0"/>
    <x v="1"/>
    <x v="1"/>
    <n v="508.26571389159534"/>
    <n v="296.184278341013"/>
    <n v="804.44999223260834"/>
    <n v="0.52435454631339184"/>
    <n v="0.52435454631339184"/>
  </r>
  <r>
    <x v="4"/>
    <x v="2"/>
    <x v="1"/>
    <x v="1"/>
    <x v="1"/>
    <n v="1631.1805586602052"/>
    <n v="415.02615377554588"/>
    <n v="2046.2067124357511"/>
    <n v="1.2250222243611404"/>
    <n v="1.2250222243611404"/>
  </r>
  <r>
    <x v="4"/>
    <x v="2"/>
    <x v="2"/>
    <x v="1"/>
    <x v="1"/>
    <n v="1432.4019859600367"/>
    <n v="1224.6144415985013"/>
    <n v="2657.016427558538"/>
    <n v="1.4570103325986283"/>
    <n v="1.4570103325986283"/>
  </r>
  <r>
    <x v="4"/>
    <x v="2"/>
    <x v="3"/>
    <x v="1"/>
    <x v="1"/>
    <n v="849.2212416856496"/>
    <n v="483.31050850321373"/>
    <n v="1332.5317501888633"/>
    <n v="0.70145339856277444"/>
    <n v="0.70145339856277444"/>
  </r>
  <r>
    <x v="4"/>
    <x v="2"/>
    <x v="4"/>
    <x v="1"/>
    <x v="1"/>
    <n v="222.49184714321848"/>
    <n v="362.27913921254526"/>
    <n v="584.77098635576374"/>
    <n v="0.37485100959083201"/>
    <n v="0.37485100959083201"/>
  </r>
  <r>
    <x v="4"/>
    <x v="2"/>
    <x v="5"/>
    <x v="1"/>
    <x v="1"/>
    <n v="1841.2573701677657"/>
    <n v="234.70793624940015"/>
    <n v="2075.9653064171657"/>
    <n v="1.4228249607741457"/>
    <n v="1.4228249607741457"/>
  </r>
  <r>
    <x v="4"/>
    <x v="2"/>
    <x v="6"/>
    <x v="1"/>
    <x v="1"/>
    <n v="383.82233662094268"/>
    <n v="966.67546671465357"/>
    <n v="1350.4978033355962"/>
    <n v="0.92867291424540288"/>
    <n v="0.92867291424540288"/>
  </r>
  <r>
    <x v="4"/>
    <x v="2"/>
    <x v="0"/>
    <x v="2"/>
    <x v="0"/>
    <n v="2546.5299334668384"/>
    <n v="715.5917929571516"/>
    <n v="3262.1217264239899"/>
    <n v="0.62388140735536901"/>
    <n v="0.62388140735536901"/>
  </r>
  <r>
    <x v="4"/>
    <x v="2"/>
    <x v="1"/>
    <x v="2"/>
    <x v="0"/>
    <n v="6903.3315015658563"/>
    <n v="1002.7180077479117"/>
    <n v="7906.0495093137679"/>
    <n v="1.4575289950508858"/>
    <n v="1.4575289950508858"/>
  </r>
  <r>
    <x v="4"/>
    <x v="2"/>
    <x v="2"/>
    <x v="2"/>
    <x v="0"/>
    <n v="6781.1227627817434"/>
    <n v="2958.7122208280516"/>
    <n v="9739.834983609795"/>
    <n v="1.7335164600153687"/>
    <n v="1.7335164600153687"/>
  </r>
  <r>
    <x v="4"/>
    <x v="2"/>
    <x v="3"/>
    <x v="2"/>
    <x v="0"/>
    <n v="3608.7483696757799"/>
    <n v="1167.6954471453994"/>
    <n v="4776.4438168211791"/>
    <n v="0.83456486723538792"/>
    <n v="0.83456486723538792"/>
  </r>
  <r>
    <x v="4"/>
    <x v="2"/>
    <x v="4"/>
    <x v="2"/>
    <x v="0"/>
    <n v="1467.7275760390144"/>
    <n v="875.27933701328038"/>
    <n v="2343.0069130522947"/>
    <n v="0.44600138758595514"/>
    <n v="0.44600138758595514"/>
  </r>
  <r>
    <x v="4"/>
    <x v="2"/>
    <x v="5"/>
    <x v="2"/>
    <x v="0"/>
    <n v="8104.0642606445117"/>
    <n v="567.06275519663234"/>
    <n v="8671.1270158411444"/>
    <n v="1.6929006560459676"/>
    <n v="1.6929006560459676"/>
  </r>
  <r>
    <x v="4"/>
    <x v="2"/>
    <x v="6"/>
    <x v="2"/>
    <x v="0"/>
    <n v="3275.0255124583391"/>
    <n v="2335.5224467302314"/>
    <n v="5610.5479591885705"/>
    <n v="1.1049521344321356"/>
    <n v="1.1049521344321356"/>
  </r>
  <r>
    <x v="4"/>
    <x v="2"/>
    <x v="0"/>
    <x v="2"/>
    <x v="1"/>
    <n v="715.81323207173295"/>
    <n v="348.25934995228312"/>
    <n v="1064.0725820240161"/>
    <n v="0.62388140735536901"/>
    <n v="0.62388140735536901"/>
  </r>
  <r>
    <x v="4"/>
    <x v="2"/>
    <x v="1"/>
    <x v="2"/>
    <x v="1"/>
    <n v="2211.8939273913611"/>
    <n v="487.99598458313517"/>
    <n v="2699.889911974496"/>
    <n v="1.4575289950508858"/>
    <n v="1.4575289950508858"/>
  </r>
  <r>
    <x v="4"/>
    <x v="2"/>
    <x v="2"/>
    <x v="2"/>
    <x v="1"/>
    <n v="2054.5423887111479"/>
    <n v="1439.9259534033699"/>
    <n v="3494.4683421145178"/>
    <n v="1.7335164600153687"/>
    <n v="1.7335164600153687"/>
  </r>
  <r>
    <x v="4"/>
    <x v="2"/>
    <x v="3"/>
    <x v="2"/>
    <x v="1"/>
    <n v="1181.873348350483"/>
    <n v="568.28608344512929"/>
    <n v="1750.1594317956121"/>
    <n v="0.83456486723538792"/>
    <n v="0.83456486723538792"/>
  </r>
  <r>
    <x v="4"/>
    <x v="2"/>
    <x v="4"/>
    <x v="2"/>
    <x v="1"/>
    <n v="347.24499669529416"/>
    <n v="425.97499850471706"/>
    <n v="773.21999520001123"/>
    <n v="0.44600138758595514"/>
    <n v="0.44600138758595514"/>
  </r>
  <r>
    <x v="4"/>
    <x v="2"/>
    <x v="5"/>
    <x v="2"/>
    <x v="1"/>
    <n v="2474.8220384674987"/>
    <n v="275.97424739994869"/>
    <n v="2750.7962858674473"/>
    <n v="1.6929006560459676"/>
    <n v="1.6929006560459676"/>
  </r>
  <r>
    <x v="4"/>
    <x v="2"/>
    <x v="6"/>
    <x v="2"/>
    <x v="1"/>
    <n v="652.35281743084033"/>
    <n v="1136.6361899373258"/>
    <n v="1788.9890073681661"/>
    <n v="1.1049521344321356"/>
    <n v="1.1049521344321356"/>
  </r>
  <r>
    <x v="5"/>
    <x v="0"/>
    <x v="0"/>
    <x v="0"/>
    <x v="0"/>
    <n v="7014.2965401530337"/>
    <n v="755.86377198452431"/>
    <n v="7770.1603121375583"/>
    <n v="1.5969804685675402"/>
    <n v="1.5969804685675402"/>
  </r>
  <r>
    <x v="5"/>
    <x v="0"/>
    <x v="1"/>
    <x v="0"/>
    <x v="0"/>
    <n v="11162.959557201759"/>
    <n v="1003.5589283321877"/>
    <n v="12166.518485533947"/>
    <n v="2.4020362959729926"/>
    <n v="2.4020362959729926"/>
  </r>
  <r>
    <x v="5"/>
    <x v="0"/>
    <x v="2"/>
    <x v="0"/>
    <x v="0"/>
    <n v="19788.30219244719"/>
    <n v="3245.2642552695147"/>
    <n v="23033.566447716705"/>
    <n v="4.3757503807605831"/>
    <n v="4.3757503807605831"/>
  </r>
  <r>
    <x v="5"/>
    <x v="0"/>
    <x v="3"/>
    <x v="0"/>
    <x v="0"/>
    <n v="25701.91093369199"/>
    <n v="2030.0751338038251"/>
    <n v="27731.986067495814"/>
    <n v="5.1644649766250623"/>
    <n v="5.1644649766250623"/>
  </r>
  <r>
    <x v="5"/>
    <x v="0"/>
    <x v="4"/>
    <x v="0"/>
    <x v="0"/>
    <n v="2691.2835861582257"/>
    <n v="825.07727529393981"/>
    <n v="3516.3608614521654"/>
    <n v="0.71851171862792029"/>
    <n v="0.71851171862792029"/>
  </r>
  <r>
    <x v="5"/>
    <x v="0"/>
    <x v="5"/>
    <x v="0"/>
    <x v="0"/>
    <n v="14890.895447347195"/>
    <n v="778.22514278263645"/>
    <n v="15669.120590129831"/>
    <n v="3.2937524321662881"/>
    <n v="3.2937524321662881"/>
  </r>
  <r>
    <x v="5"/>
    <x v="0"/>
    <x v="6"/>
    <x v="0"/>
    <x v="0"/>
    <n v="5280.6778769364255"/>
    <n v="2176.5114272398287"/>
    <n v="7457.1893041762542"/>
    <n v="1.5806735692831881"/>
    <n v="1.5806735692831881"/>
  </r>
  <r>
    <x v="5"/>
    <x v="0"/>
    <x v="0"/>
    <x v="0"/>
    <x v="1"/>
    <n v="2188.2869872518063"/>
    <n v="388.52689966956268"/>
    <n v="2576.813886921369"/>
    <n v="1.5969804685675402"/>
    <n v="1.5969804685675402"/>
  </r>
  <r>
    <x v="5"/>
    <x v="0"/>
    <x v="1"/>
    <x v="0"/>
    <x v="1"/>
    <n v="3700.2630505861707"/>
    <n v="515.84644417724098"/>
    <n v="4216.1094947634119"/>
    <n v="2.4020362959729926"/>
    <n v="2.4020362959729926"/>
  </r>
  <r>
    <x v="5"/>
    <x v="0"/>
    <x v="2"/>
    <x v="0"/>
    <x v="1"/>
    <n v="6707.2978446385105"/>
    <n v="1668.1213023318876"/>
    <n v="8375.4191469703983"/>
    <n v="4.3757503807605831"/>
    <n v="4.3757503807605831"/>
  </r>
  <r>
    <x v="5"/>
    <x v="0"/>
    <x v="3"/>
    <x v="0"/>
    <x v="1"/>
    <n v="9248.9221667635084"/>
    <n v="1043.4933212399308"/>
    <n v="10292.415488003438"/>
    <n v="5.1644649766250623"/>
    <n v="5.1644649766250623"/>
  </r>
  <r>
    <x v="5"/>
    <x v="0"/>
    <x v="4"/>
    <x v="0"/>
    <x v="1"/>
    <n v="754.63231803768917"/>
    <n v="424.10382351851632"/>
    <n v="1178.7361415562054"/>
    <n v="0.71851171862792029"/>
    <n v="0.71851171862792029"/>
  </r>
  <r>
    <x v="5"/>
    <x v="0"/>
    <x v="5"/>
    <x v="0"/>
    <x v="1"/>
    <n v="4657.5667982186151"/>
    <n v="400.02102650903521"/>
    <n v="5057.5878247276505"/>
    <n v="3.2937524321662881"/>
    <n v="3.2937524321662881"/>
  </r>
  <r>
    <x v="5"/>
    <x v="0"/>
    <x v="6"/>
    <x v="0"/>
    <x v="1"/>
    <n v="1300.1031509776028"/>
    <n v="1118.7640792740356"/>
    <n v="2418.8672302516384"/>
    <n v="1.5806735692831881"/>
    <n v="1.5806735692831881"/>
  </r>
  <r>
    <x v="5"/>
    <x v="0"/>
    <x v="0"/>
    <x v="1"/>
    <x v="0"/>
    <n v="6006.4923680187185"/>
    <n v="697.82699996566225"/>
    <n v="6704.3193679843807"/>
    <n v="1.4678167244414486"/>
    <n v="1.4678167244414486"/>
  </r>
  <r>
    <x v="5"/>
    <x v="0"/>
    <x v="1"/>
    <x v="1"/>
    <x v="0"/>
    <n v="9591.671675336027"/>
    <n v="926.50361375058003"/>
    <n v="10518.175289086606"/>
    <n v="2.207774724160501"/>
    <n v="2.207774724160501"/>
  </r>
  <r>
    <x v="5"/>
    <x v="0"/>
    <x v="2"/>
    <x v="1"/>
    <x v="0"/>
    <n v="16954.392298080384"/>
    <n v="2996.0862040056763"/>
    <n v="19950.478502086058"/>
    <n v="4.0219231235156112"/>
    <n v="4.0219231235156112"/>
  </r>
  <r>
    <x v="5"/>
    <x v="0"/>
    <x v="3"/>
    <x v="1"/>
    <x v="0"/>
    <n v="22165.437944051933"/>
    <n v="1874.2017977760936"/>
    <n v="24039.639741828028"/>
    <n v="4.7468951964778148"/>
    <n v="4.7468951964778148"/>
  </r>
  <r>
    <x v="5"/>
    <x v="0"/>
    <x v="4"/>
    <x v="1"/>
    <x v="0"/>
    <n v="2274.1730538430174"/>
    <n v="761.72614841236441"/>
    <n v="3035.8992022553821"/>
    <n v="0.66039803828666033"/>
    <n v="0.66039803828666033"/>
  </r>
  <r>
    <x v="5"/>
    <x v="0"/>
    <x v="5"/>
    <x v="1"/>
    <x v="0"/>
    <n v="12786.763175498887"/>
    <n v="718.47141881139851"/>
    <n v="13505.234594310286"/>
    <n v="3.0273377221698028"/>
    <n v="3.0273377221698028"/>
  </r>
  <r>
    <x v="5"/>
    <x v="0"/>
    <x v="6"/>
    <x v="1"/>
    <x v="0"/>
    <n v="4419.315303171551"/>
    <n v="2009.3944120037129"/>
    <n v="6428.7097151752641"/>
    <n v="1.452819493557777"/>
    <n v="1.452819493557777"/>
  </r>
  <r>
    <x v="5"/>
    <x v="0"/>
    <x v="0"/>
    <x v="1"/>
    <x v="1"/>
    <n v="1891.3583893630778"/>
    <n v="360.52473223400534"/>
    <n v="2251.8831215970831"/>
    <n v="1.4678167244414486"/>
    <n v="1.4678167244414486"/>
  </r>
  <r>
    <x v="5"/>
    <x v="0"/>
    <x v="1"/>
    <x v="1"/>
    <x v="1"/>
    <n v="3209.0719836037929"/>
    <n v="478.66801840241544"/>
    <n v="3687.7400020062082"/>
    <n v="2.207774724160501"/>
    <n v="2.207774724160501"/>
  </r>
  <r>
    <x v="5"/>
    <x v="0"/>
    <x v="2"/>
    <x v="1"/>
    <x v="1"/>
    <n v="5786.5178340104303"/>
    <n v="1547.8953616043741"/>
    <n v="7334.413195614804"/>
    <n v="4.0219231235156112"/>
    <n v="4.0219231235156112"/>
  </r>
  <r>
    <x v="5"/>
    <x v="0"/>
    <x v="3"/>
    <x v="1"/>
    <x v="1"/>
    <n v="8049.2604119888592"/>
    <n v="968.28598109411996"/>
    <n v="9017.5463930829792"/>
    <n v="4.7468951964778148"/>
    <n v="4.7468951964778148"/>
  </r>
  <r>
    <x v="5"/>
    <x v="0"/>
    <x v="4"/>
    <x v="1"/>
    <x v="1"/>
    <n v="636.68941727001584"/>
    <n v="393.53753251955141"/>
    <n v="1030.2269497895672"/>
    <n v="0.66039803828666033"/>
    <n v="0.66039803828666033"/>
  </r>
  <r>
    <x v="5"/>
    <x v="0"/>
    <x v="5"/>
    <x v="1"/>
    <x v="1"/>
    <n v="4045.8307999014046"/>
    <n v="371.19044676905781"/>
    <n v="4417.0212466704625"/>
    <n v="3.0273377221698028"/>
    <n v="3.0273377221698028"/>
  </r>
  <r>
    <x v="5"/>
    <x v="0"/>
    <x v="6"/>
    <x v="1"/>
    <x v="1"/>
    <n v="1074.5922038085889"/>
    <n v="1038.1317753193737"/>
    <n v="2112.7239791279626"/>
    <n v="1.452819493557777"/>
    <n v="1.452819493557777"/>
  </r>
  <r>
    <x v="5"/>
    <x v="0"/>
    <x v="0"/>
    <x v="2"/>
    <x v="0"/>
    <n v="8307.4425567993385"/>
    <n v="824.15906823396608"/>
    <n v="9131.601625033305"/>
    <n v="1.7464205664328589"/>
    <n v="1.7464205664328589"/>
  </r>
  <r>
    <x v="5"/>
    <x v="0"/>
    <x v="1"/>
    <x v="2"/>
    <x v="0"/>
    <n v="13154.303990599719"/>
    <n v="1094.2344665105447"/>
    <n v="14248.538457110264"/>
    <n v="2.6268059558532189"/>
    <n v="2.6268059558532189"/>
  </r>
  <r>
    <x v="5"/>
    <x v="0"/>
    <x v="2"/>
    <x v="2"/>
    <x v="0"/>
    <n v="23347.298902559494"/>
    <n v="3538.4867801954683"/>
    <n v="26885.785682754962"/>
    <n v="4.7851890817382259"/>
    <n v="4.7851890817382259"/>
  </r>
  <r>
    <x v="5"/>
    <x v="0"/>
    <x v="3"/>
    <x v="2"/>
    <x v="0"/>
    <n v="30109.784643105872"/>
    <n v="2213.5004914019887"/>
    <n v="32323.28513450786"/>
    <n v="5.6476908766082117"/>
    <n v="5.6476908766082117"/>
  </r>
  <r>
    <x v="5"/>
    <x v="0"/>
    <x v="4"/>
    <x v="2"/>
    <x v="0"/>
    <n v="3228.1928454075737"/>
    <n v="899.62628668118714"/>
    <n v="4127.8191320887609"/>
    <n v="0.78574802761341356"/>
    <n v="0.78574802761341356"/>
  </r>
  <r>
    <x v="5"/>
    <x v="0"/>
    <x v="5"/>
    <x v="2"/>
    <x v="0"/>
    <n v="17600.973737508648"/>
    <n v="848.54087776694632"/>
    <n v="18449.514615275595"/>
    <n v="3.6019764603690319"/>
    <n v="3.6019764603690319"/>
  </r>
  <r>
    <x v="5"/>
    <x v="0"/>
    <x v="6"/>
    <x v="2"/>
    <x v="0"/>
    <n v="6403.9950091414075"/>
    <n v="2373.1678860133061"/>
    <n v="8777.1628951547136"/>
    <n v="1.7285913864039741"/>
    <n v="1.7285913864039741"/>
  </r>
  <r>
    <x v="5"/>
    <x v="0"/>
    <x v="0"/>
    <x v="2"/>
    <x v="1"/>
    <n v="2556.3414046008197"/>
    <n v="422.29879771178065"/>
    <n v="2978.6402023126002"/>
    <n v="1.7464205664328589"/>
    <n v="1.7464205664328589"/>
  </r>
  <r>
    <x v="5"/>
    <x v="0"/>
    <x v="1"/>
    <x v="2"/>
    <x v="1"/>
    <n v="4305.1437026715312"/>
    <n v="560.68533057869979"/>
    <n v="4865.8290332502311"/>
    <n v="2.6268059558532189"/>
    <n v="2.6268059558532189"/>
  </r>
  <r>
    <x v="5"/>
    <x v="0"/>
    <x v="2"/>
    <x v="2"/>
    <x v="1"/>
    <n v="7832.9914480833504"/>
    <n v="1813.1193001341421"/>
    <n v="9646.1107482174921"/>
    <n v="4.7851890817382259"/>
    <n v="4.7851890817382259"/>
  </r>
  <r>
    <x v="5"/>
    <x v="0"/>
    <x v="3"/>
    <x v="2"/>
    <x v="1"/>
    <n v="10709.531381011888"/>
    <n v="1134.1968222912656"/>
    <n v="11843.728203303153"/>
    <n v="5.6476908766082117"/>
    <n v="5.6476908766082117"/>
  </r>
  <r>
    <x v="5"/>
    <x v="0"/>
    <x v="4"/>
    <x v="2"/>
    <x v="1"/>
    <n v="901.26096669269509"/>
    <n v="460.96817216300786"/>
    <n v="1362.229138855703"/>
    <n v="0.78574802761341356"/>
    <n v="0.78574802761341356"/>
  </r>
  <r>
    <x v="5"/>
    <x v="0"/>
    <x v="5"/>
    <x v="2"/>
    <x v="1"/>
    <n v="5418.06379903998"/>
    <n v="434.7920277794646"/>
    <n v="5852.8558268194447"/>
    <n v="3.6019764603690319"/>
    <n v="3.6019764603690319"/>
  </r>
  <r>
    <x v="5"/>
    <x v="0"/>
    <x v="6"/>
    <x v="2"/>
    <x v="1"/>
    <n v="1582.6909767037112"/>
    <n v="1216.0103354551959"/>
    <n v="2798.7013121589071"/>
    <n v="1.7285913864039741"/>
    <n v="1.7285913864039741"/>
  </r>
  <r>
    <x v="5"/>
    <x v="1"/>
    <x v="0"/>
    <x v="0"/>
    <x v="0"/>
    <n v="7020.41027120945"/>
    <n v="749.75004092810843"/>
    <n v="7770.1603121375583"/>
    <n v="1.5969804685675402"/>
    <n v="1.5969804685675402"/>
  </r>
  <r>
    <x v="5"/>
    <x v="1"/>
    <x v="1"/>
    <x v="0"/>
    <x v="0"/>
    <n v="11171.076746587591"/>
    <n v="995.44173894635617"/>
    <n v="12166.518485533947"/>
    <n v="2.4020362959729926"/>
    <n v="2.4020362959729926"/>
  </r>
  <r>
    <x v="5"/>
    <x v="1"/>
    <x v="2"/>
    <x v="0"/>
    <x v="0"/>
    <n v="19814.551198682304"/>
    <n v="3219.0152490344026"/>
    <n v="23033.566447716705"/>
    <n v="4.3757503807605831"/>
    <n v="4.3757503807605831"/>
  </r>
  <r>
    <x v="5"/>
    <x v="1"/>
    <x v="3"/>
    <x v="0"/>
    <x v="0"/>
    <n v="25718.3310001807"/>
    <n v="2013.6550673151148"/>
    <n v="27731.986067495814"/>
    <n v="5.1644649766250623"/>
    <n v="5.1644649766250623"/>
  </r>
  <r>
    <x v="5"/>
    <x v="1"/>
    <x v="4"/>
    <x v="0"/>
    <x v="0"/>
    <n v="2697.9571439458459"/>
    <n v="818.40371750631971"/>
    <n v="3516.3608614521654"/>
    <n v="0.71851171862792029"/>
    <n v="0.71851171862792029"/>
  </r>
  <r>
    <x v="5"/>
    <x v="1"/>
    <x v="5"/>
    <x v="0"/>
    <x v="0"/>
    <n v="14897.190046189817"/>
    <n v="771.93054394001456"/>
    <n v="15669.120590129831"/>
    <n v="3.2937524321662881"/>
    <n v="3.2937524321662881"/>
  </r>
  <r>
    <x v="5"/>
    <x v="1"/>
    <x v="6"/>
    <x v="0"/>
    <x v="0"/>
    <n v="5298.2823792297731"/>
    <n v="2158.9069249464815"/>
    <n v="7457.1893041762542"/>
    <n v="1.5806735692831881"/>
    <n v="1.5806735692831881"/>
  </r>
  <r>
    <x v="5"/>
    <x v="1"/>
    <x v="0"/>
    <x v="0"/>
    <x v="1"/>
    <n v="2191.6138507027567"/>
    <n v="385.2000362186123"/>
    <n v="2576.813886921369"/>
    <n v="1.5969804685675402"/>
    <n v="1.5969804685675402"/>
  </r>
  <r>
    <x v="5"/>
    <x v="1"/>
    <x v="1"/>
    <x v="0"/>
    <x v="1"/>
    <n v="3704.6801210204071"/>
    <n v="511.42937374300482"/>
    <n v="4216.1094947634119"/>
    <n v="2.4020362959729926"/>
    <n v="2.4020362959729926"/>
  </r>
  <r>
    <x v="5"/>
    <x v="1"/>
    <x v="2"/>
    <x v="0"/>
    <x v="1"/>
    <n v="6721.5815706744679"/>
    <n v="1653.8375762959301"/>
    <n v="8375.4191469703983"/>
    <n v="4.3757503807605831"/>
    <n v="4.3757503807605831"/>
  </r>
  <r>
    <x v="5"/>
    <x v="1"/>
    <x v="3"/>
    <x v="0"/>
    <x v="1"/>
    <n v="9257.8573519326601"/>
    <n v="1034.558136070779"/>
    <n v="10292.415488003438"/>
    <n v="5.1644649766250623"/>
    <n v="5.1644649766250623"/>
  </r>
  <r>
    <x v="5"/>
    <x v="1"/>
    <x v="4"/>
    <x v="0"/>
    <x v="1"/>
    <n v="758.26381822743679"/>
    <n v="420.4723233287686"/>
    <n v="1178.7361415562054"/>
    <n v="0.71851171862792029"/>
    <n v="0.71851171862792029"/>
  </r>
  <r>
    <x v="5"/>
    <x v="1"/>
    <x v="5"/>
    <x v="0"/>
    <x v="1"/>
    <n v="4660.9920831444124"/>
    <n v="396.59574158323852"/>
    <n v="5057.5878247276505"/>
    <n v="3.2937524321662881"/>
    <n v="3.2937524321662881"/>
  </r>
  <r>
    <x v="5"/>
    <x v="1"/>
    <x v="6"/>
    <x v="0"/>
    <x v="1"/>
    <n v="1309.6828617485646"/>
    <n v="1109.1843685030738"/>
    <n v="2418.8672302516384"/>
    <n v="1.5806735692831881"/>
    <n v="1.5806735692831881"/>
  </r>
  <r>
    <x v="5"/>
    <x v="1"/>
    <x v="0"/>
    <x v="1"/>
    <x v="0"/>
    <n v="6012.1470121964521"/>
    <n v="692.17235578792838"/>
    <n v="6704.3193679843807"/>
    <n v="1.4678167244414486"/>
    <n v="1.4678167244414486"/>
  </r>
  <r>
    <x v="5"/>
    <x v="1"/>
    <x v="1"/>
    <x v="1"/>
    <x v="0"/>
    <n v="9599.1793359243984"/>
    <n v="918.99595316220859"/>
    <n v="10518.175289086606"/>
    <n v="2.207774724160501"/>
    <n v="2.207774724160501"/>
  </r>
  <r>
    <x v="5"/>
    <x v="1"/>
    <x v="2"/>
    <x v="1"/>
    <x v="0"/>
    <n v="16978.6702371832"/>
    <n v="2971.8082649028579"/>
    <n v="19950.478502086058"/>
    <n v="4.0219231235156112"/>
    <n v="4.0219231235156112"/>
  </r>
  <r>
    <x v="5"/>
    <x v="1"/>
    <x v="3"/>
    <x v="1"/>
    <x v="0"/>
    <n v="22180.625009448107"/>
    <n v="1859.0147323799215"/>
    <n v="24039.639741828028"/>
    <n v="4.7468951964778148"/>
    <n v="4.7468951964778148"/>
  </r>
  <r>
    <x v="5"/>
    <x v="1"/>
    <x v="4"/>
    <x v="1"/>
    <x v="0"/>
    <n v="2280.3454867387923"/>
    <n v="755.55371551658993"/>
    <n v="3035.8992022553821"/>
    <n v="0.66039803828666033"/>
    <n v="0.66039803828666033"/>
  </r>
  <r>
    <x v="5"/>
    <x v="1"/>
    <x v="5"/>
    <x v="1"/>
    <x v="0"/>
    <n v="12792.585105899187"/>
    <n v="712.6494884110989"/>
    <n v="13505.234594310286"/>
    <n v="3.0273377221698028"/>
    <n v="3.0273377221698028"/>
  </r>
  <r>
    <x v="5"/>
    <x v="1"/>
    <x v="6"/>
    <x v="1"/>
    <x v="0"/>
    <n v="4435.5978637677545"/>
    <n v="1993.1118514075101"/>
    <n v="6428.7097151752641"/>
    <n v="1.452819493557777"/>
    <n v="1.452819493557777"/>
  </r>
  <r>
    <x v="5"/>
    <x v="1"/>
    <x v="0"/>
    <x v="1"/>
    <x v="1"/>
    <n v="1894.4519386224265"/>
    <n v="357.43118297465662"/>
    <n v="2251.8831215970831"/>
    <n v="1.4678167244414486"/>
    <n v="1.4678167244414486"/>
  </r>
  <r>
    <x v="5"/>
    <x v="1"/>
    <x v="1"/>
    <x v="1"/>
    <x v="1"/>
    <n v="3213.1792832185151"/>
    <n v="474.56071878769325"/>
    <n v="3687.7400020062082"/>
    <n v="2.207774724160501"/>
    <n v="2.207774724160501"/>
  </r>
  <r>
    <x v="5"/>
    <x v="1"/>
    <x v="2"/>
    <x v="1"/>
    <x v="1"/>
    <n v="5799.7998369392399"/>
    <n v="1534.6133586755639"/>
    <n v="7334.413195614804"/>
    <n v="4.0219231235156112"/>
    <n v="4.0219231235156112"/>
  </r>
  <r>
    <x v="5"/>
    <x v="1"/>
    <x v="3"/>
    <x v="1"/>
    <x v="1"/>
    <n v="8057.5689692439755"/>
    <n v="959.97742383900413"/>
    <n v="9017.5463930829792"/>
    <n v="4.7468951964778148"/>
    <n v="4.7468951964778148"/>
  </r>
  <r>
    <x v="5"/>
    <x v="1"/>
    <x v="4"/>
    <x v="1"/>
    <x v="1"/>
    <n v="640.0662389784959"/>
    <n v="390.16071081107128"/>
    <n v="1030.2269497895672"/>
    <n v="0.66039803828666033"/>
    <n v="0.66039803828666033"/>
  </r>
  <r>
    <x v="5"/>
    <x v="1"/>
    <x v="5"/>
    <x v="1"/>
    <x v="1"/>
    <n v="4049.0158683003583"/>
    <n v="368.00537837010427"/>
    <n v="4417.0212466704625"/>
    <n v="3.0273377221698028"/>
    <n v="3.0273377221698028"/>
  </r>
  <r>
    <x v="5"/>
    <x v="1"/>
    <x v="6"/>
    <x v="1"/>
    <x v="1"/>
    <n v="1083.5000858413837"/>
    <n v="1029.2238932865789"/>
    <n v="2112.7239791279626"/>
    <n v="1.452819493557777"/>
    <n v="1.452819493557777"/>
  </r>
  <r>
    <x v="5"/>
    <x v="1"/>
    <x v="0"/>
    <x v="2"/>
    <x v="0"/>
    <n v="8314.1042831515297"/>
    <n v="817.4973418817749"/>
    <n v="9131.601625033305"/>
    <n v="1.7464205664328589"/>
    <n v="1.7464205664328589"/>
  </r>
  <r>
    <x v="5"/>
    <x v="1"/>
    <x v="1"/>
    <x v="2"/>
    <x v="0"/>
    <n v="13163.148752323508"/>
    <n v="1085.3897047867561"/>
    <n v="14248.538457110264"/>
    <n v="2.6268059558532189"/>
    <n v="2.6268059558532189"/>
  </r>
  <r>
    <x v="5"/>
    <x v="1"/>
    <x v="2"/>
    <x v="2"/>
    <x v="0"/>
    <n v="23375.900699881244"/>
    <n v="3509.8849828737198"/>
    <n v="26885.785682754962"/>
    <n v="4.7851890817382259"/>
    <n v="4.7851890817382259"/>
  </r>
  <r>
    <x v="5"/>
    <x v="1"/>
    <x v="3"/>
    <x v="2"/>
    <x v="0"/>
    <n v="30127.676498116041"/>
    <n v="2195.6086363918175"/>
    <n v="32323.28513450786"/>
    <n v="5.6476908766082117"/>
    <n v="5.6476908766082117"/>
  </r>
  <r>
    <x v="5"/>
    <x v="1"/>
    <x v="4"/>
    <x v="2"/>
    <x v="0"/>
    <n v="3235.4645777370497"/>
    <n v="892.35455435171093"/>
    <n v="4127.8191320887609"/>
    <n v="0.78574802761341356"/>
    <n v="0.78574802761341356"/>
  </r>
  <r>
    <x v="5"/>
    <x v="1"/>
    <x v="5"/>
    <x v="2"/>
    <x v="0"/>
    <n v="17607.832543465178"/>
    <n v="841.68207181041601"/>
    <n v="18449.514615275595"/>
    <n v="3.6019764603690319"/>
    <n v="3.6019764603690319"/>
  </r>
  <r>
    <x v="5"/>
    <x v="1"/>
    <x v="6"/>
    <x v="2"/>
    <x v="0"/>
    <n v="6423.1774651183896"/>
    <n v="2353.9854300363245"/>
    <n v="8777.1628951547136"/>
    <n v="1.7285913864039741"/>
    <n v="1.7285913864039741"/>
  </r>
  <r>
    <x v="5"/>
    <x v="1"/>
    <x v="0"/>
    <x v="2"/>
    <x v="1"/>
    <n v="2559.9558362925004"/>
    <n v="418.68436602009973"/>
    <n v="2978.6402023126002"/>
    <n v="1.7464205664328589"/>
    <n v="1.7464205664328589"/>
  </r>
  <r>
    <x v="5"/>
    <x v="1"/>
    <x v="1"/>
    <x v="2"/>
    <x v="1"/>
    <n v="4309.9425769256968"/>
    <n v="555.88645632453438"/>
    <n v="4865.8290332502311"/>
    <n v="2.6268059558532189"/>
    <n v="2.6268059558532189"/>
  </r>
  <r>
    <x v="5"/>
    <x v="1"/>
    <x v="2"/>
    <x v="2"/>
    <x v="1"/>
    <n v="7848.5098343414029"/>
    <n v="1797.6009138760892"/>
    <n v="9646.1107482174921"/>
    <n v="4.7851890817382259"/>
    <n v="4.7851890817382259"/>
  </r>
  <r>
    <x v="5"/>
    <x v="1"/>
    <x v="3"/>
    <x v="2"/>
    <x v="1"/>
    <n v="10719.238907912995"/>
    <n v="1124.4892953901576"/>
    <n v="11843.728203303153"/>
    <n v="5.6476908766082117"/>
    <n v="5.6476908766082117"/>
  </r>
  <r>
    <x v="5"/>
    <x v="1"/>
    <x v="4"/>
    <x v="2"/>
    <x v="1"/>
    <n v="905.20636738848248"/>
    <n v="457.02277146722059"/>
    <n v="1362.229138855703"/>
    <n v="0.78574802761341356"/>
    <n v="0.78574802761341356"/>
  </r>
  <r>
    <x v="5"/>
    <x v="1"/>
    <x v="5"/>
    <x v="2"/>
    <x v="1"/>
    <n v="5421.7851595861421"/>
    <n v="431.0706672333028"/>
    <n v="5852.8558268194447"/>
    <n v="3.6019764603690319"/>
    <n v="3.6019764603690319"/>
  </r>
  <r>
    <x v="5"/>
    <x v="1"/>
    <x v="6"/>
    <x v="2"/>
    <x v="1"/>
    <n v="1593.0987408690264"/>
    <n v="1205.6025712898806"/>
    <n v="2798.7013121589071"/>
    <n v="1.7285913864039741"/>
    <n v="1.7285913864039741"/>
  </r>
  <r>
    <x v="5"/>
    <x v="2"/>
    <x v="0"/>
    <x v="0"/>
    <x v="0"/>
    <n v="6637.8185457689087"/>
    <n v="1132.3417663686491"/>
    <n v="7770.1603121375583"/>
    <n v="1.5969804685675402"/>
    <n v="1.5969804685675402"/>
  </r>
  <r>
    <x v="5"/>
    <x v="2"/>
    <x v="1"/>
    <x v="0"/>
    <x v="0"/>
    <n v="10663.110422227581"/>
    <n v="1503.4080633063663"/>
    <n v="12166.518485533947"/>
    <n v="2.4020362959729926"/>
    <n v="2.4020362959729926"/>
  </r>
  <r>
    <x v="5"/>
    <x v="2"/>
    <x v="2"/>
    <x v="0"/>
    <x v="0"/>
    <n v="18171.912277552085"/>
    <n v="4861.6541701646202"/>
    <n v="23033.566447716705"/>
    <n v="4.3757503807605831"/>
    <n v="4.3757503807605831"/>
  </r>
  <r>
    <x v="5"/>
    <x v="2"/>
    <x v="3"/>
    <x v="0"/>
    <x v="0"/>
    <n v="24690.778183121169"/>
    <n v="3041.2078843746476"/>
    <n v="27731.986067495814"/>
    <n v="5.1644649766250623"/>
    <n v="5.1644649766250623"/>
  </r>
  <r>
    <x v="5"/>
    <x v="2"/>
    <x v="4"/>
    <x v="0"/>
    <x v="0"/>
    <n v="2280.3319711614686"/>
    <n v="1236.0288902906971"/>
    <n v="3516.3608614521654"/>
    <n v="0.71851171862792029"/>
    <n v="0.71851171862792029"/>
  </r>
  <r>
    <x v="5"/>
    <x v="2"/>
    <x v="5"/>
    <x v="0"/>
    <x v="0"/>
    <n v="14503.279779295168"/>
    <n v="1165.8408108346637"/>
    <n v="15669.120590129831"/>
    <n v="3.2937524321662881"/>
    <n v="3.2937524321662881"/>
  </r>
  <r>
    <x v="5"/>
    <x v="2"/>
    <x v="6"/>
    <x v="0"/>
    <x v="0"/>
    <n v="4196.6086474640051"/>
    <n v="3260.580656712249"/>
    <n v="7457.1893041762542"/>
    <n v="1.5806735692831881"/>
    <n v="1.5806735692831881"/>
  </r>
  <r>
    <x v="5"/>
    <x v="2"/>
    <x v="0"/>
    <x v="0"/>
    <x v="1"/>
    <n v="2023.7628280732235"/>
    <n v="553.05105884814543"/>
    <n v="2576.813886921369"/>
    <n v="1.5969804685675402"/>
    <n v="1.5969804685675402"/>
  </r>
  <r>
    <x v="5"/>
    <x v="2"/>
    <x v="1"/>
    <x v="0"/>
    <x v="1"/>
    <n v="3481.8246295509666"/>
    <n v="734.2848652124452"/>
    <n v="4216.1094947634119"/>
    <n v="2.4020362959729926"/>
    <n v="2.4020362959729926"/>
  </r>
  <r>
    <x v="5"/>
    <x v="2"/>
    <x v="2"/>
    <x v="0"/>
    <x v="1"/>
    <n v="6000.92138805996"/>
    <n v="2374.4977589104383"/>
    <n v="8375.4191469703983"/>
    <n v="4.3757503807605831"/>
    <n v="4.3757503807605831"/>
  </r>
  <r>
    <x v="5"/>
    <x v="2"/>
    <x v="3"/>
    <x v="0"/>
    <x v="1"/>
    <n v="8807.0483571727746"/>
    <n v="1485.3671308306643"/>
    <n v="10292.415488003438"/>
    <n v="5.1644649766250623"/>
    <n v="5.1644649766250623"/>
  </r>
  <r>
    <x v="5"/>
    <x v="2"/>
    <x v="4"/>
    <x v="0"/>
    <x v="1"/>
    <n v="575.04288670578148"/>
    <n v="603.69325485042395"/>
    <n v="1178.7361415562054"/>
    <n v="0.71851171862792029"/>
    <n v="0.71851171862792029"/>
  </r>
  <r>
    <x v="5"/>
    <x v="2"/>
    <x v="5"/>
    <x v="0"/>
    <x v="1"/>
    <n v="4488.1753787412881"/>
    <n v="569.41244598636251"/>
    <n v="5057.5878247276505"/>
    <n v="3.2937524321662881"/>
    <n v="3.2937524321662881"/>
  </r>
  <r>
    <x v="5"/>
    <x v="2"/>
    <x v="6"/>
    <x v="0"/>
    <x v="1"/>
    <n v="826.35546550638924"/>
    <n v="1592.5117647452491"/>
    <n v="2418.8672302516384"/>
    <n v="1.5806735692831881"/>
    <n v="1.5806735692831881"/>
  </r>
  <r>
    <x v="5"/>
    <x v="2"/>
    <x v="0"/>
    <x v="1"/>
    <x v="0"/>
    <n v="5661.8769552128451"/>
    <n v="1042.4424127715356"/>
    <n v="6704.3193679843807"/>
    <n v="1.4678167244414486"/>
    <n v="1.4678167244414486"/>
  </r>
  <r>
    <x v="5"/>
    <x v="2"/>
    <x v="1"/>
    <x v="1"/>
    <x v="0"/>
    <n v="9134.1264308348818"/>
    <n v="1384.0488582517246"/>
    <n v="10518.175289086606"/>
    <n v="2.207774724160501"/>
    <n v="2.207774724160501"/>
  </r>
  <r>
    <x v="5"/>
    <x v="2"/>
    <x v="2"/>
    <x v="1"/>
    <x v="0"/>
    <n v="15474.802823832179"/>
    <n v="4475.6756782538805"/>
    <n v="19950.478502086058"/>
    <n v="4.0219231235156112"/>
    <n v="4.0219231235156112"/>
  </r>
  <r>
    <x v="5"/>
    <x v="2"/>
    <x v="3"/>
    <x v="1"/>
    <x v="0"/>
    <n v="21239.880712454564"/>
    <n v="2799.7590293734652"/>
    <n v="24039.639741828028"/>
    <n v="4.7468951964778148"/>
    <n v="4.7468951964778148"/>
  </r>
  <r>
    <x v="5"/>
    <x v="2"/>
    <x v="4"/>
    <x v="1"/>
    <x v="0"/>
    <n v="1898.0016372984139"/>
    <n v="1137.8975649569682"/>
    <n v="3035.8992022553821"/>
    <n v="0.66039803828666033"/>
    <n v="0.66039803828666033"/>
  </r>
  <r>
    <x v="5"/>
    <x v="2"/>
    <x v="5"/>
    <x v="1"/>
    <x v="0"/>
    <n v="12431.952707295315"/>
    <n v="1073.2818870149717"/>
    <n v="13505.234594310286"/>
    <n v="3.0273377221698028"/>
    <n v="3.0273377221698028"/>
  </r>
  <r>
    <x v="5"/>
    <x v="2"/>
    <x v="6"/>
    <x v="1"/>
    <x v="0"/>
    <n v="3426.9944488386755"/>
    <n v="3001.7152663365887"/>
    <n v="6428.7097151752641"/>
    <n v="1.452819493557777"/>
    <n v="1.452819493557777"/>
  </r>
  <r>
    <x v="5"/>
    <x v="2"/>
    <x v="0"/>
    <x v="1"/>
    <x v="1"/>
    <n v="1739.9109840706274"/>
    <n v="511.9721375264557"/>
    <n v="2251.8831215970831"/>
    <n v="1.4678167244414486"/>
    <n v="1.4678167244414486"/>
  </r>
  <r>
    <x v="5"/>
    <x v="2"/>
    <x v="1"/>
    <x v="1"/>
    <x v="1"/>
    <n v="3007.9955444526731"/>
    <n v="679.7444575535352"/>
    <n v="3687.7400020062082"/>
    <n v="2.207774724160501"/>
    <n v="2.207774724160501"/>
  </r>
  <r>
    <x v="5"/>
    <x v="2"/>
    <x v="2"/>
    <x v="1"/>
    <x v="1"/>
    <n v="5136.2857827262396"/>
    <n v="2198.1274128885648"/>
    <n v="7334.413195614804"/>
    <n v="4.0219231235156112"/>
    <n v="4.0219231235156112"/>
  </r>
  <r>
    <x v="5"/>
    <x v="2"/>
    <x v="3"/>
    <x v="1"/>
    <x v="1"/>
    <n v="7642.5077364953604"/>
    <n v="1375.0386565876186"/>
    <n v="9017.5463930829792"/>
    <n v="4.7468951964778148"/>
    <n v="4.7468951964778148"/>
  </r>
  <r>
    <x v="5"/>
    <x v="2"/>
    <x v="4"/>
    <x v="1"/>
    <x v="1"/>
    <n v="471.37416187556869"/>
    <n v="558.85278791399855"/>
    <n v="1030.2269497895672"/>
    <n v="0.66039803828666033"/>
    <n v="0.66039803828666033"/>
  </r>
  <r>
    <x v="5"/>
    <x v="2"/>
    <x v="5"/>
    <x v="1"/>
    <x v="1"/>
    <n v="3889.9029952146761"/>
    <n v="527.11825145578644"/>
    <n v="4417.0212466704625"/>
    <n v="3.0273377221698028"/>
    <n v="3.0273377221698028"/>
  </r>
  <r>
    <x v="5"/>
    <x v="2"/>
    <x v="6"/>
    <x v="1"/>
    <x v="1"/>
    <n v="638.49906049070955"/>
    <n v="1474.224918637253"/>
    <n v="2112.7239791279626"/>
    <n v="1.452819493557777"/>
    <n v="1.452819493557777"/>
  </r>
  <r>
    <x v="5"/>
    <x v="2"/>
    <x v="0"/>
    <x v="2"/>
    <x v="0"/>
    <n v="7894.6586586856847"/>
    <n v="1236.9429663476203"/>
    <n v="9131.601625033305"/>
    <n v="1.7464205664328589"/>
    <n v="1.7464205664328589"/>
  </r>
  <r>
    <x v="5"/>
    <x v="2"/>
    <x v="1"/>
    <x v="2"/>
    <x v="0"/>
    <n v="12606.251574572294"/>
    <n v="1642.2868825379705"/>
    <n v="14248.538457110264"/>
    <n v="2.6268059558532189"/>
    <n v="2.6268059558532189"/>
  </r>
  <r>
    <x v="5"/>
    <x v="2"/>
    <x v="2"/>
    <x v="2"/>
    <x v="0"/>
    <n v="21575.031359981094"/>
    <n v="5310.7543227738688"/>
    <n v="26885.785682754962"/>
    <n v="4.7851890817382259"/>
    <n v="4.7851890817382259"/>
  </r>
  <r>
    <x v="5"/>
    <x v="2"/>
    <x v="3"/>
    <x v="2"/>
    <x v="0"/>
    <n v="29001.142638747053"/>
    <n v="3322.1424957608069"/>
    <n v="32323.28513450786"/>
    <n v="5.6476908766082117"/>
    <n v="5.6476908766082117"/>
  </r>
  <r>
    <x v="5"/>
    <x v="2"/>
    <x v="4"/>
    <x v="2"/>
    <x v="0"/>
    <n v="2777.6108403372236"/>
    <n v="1350.2082917515374"/>
    <n v="4127.8191320887609"/>
    <n v="0.78574802761341356"/>
    <n v="0.78574802761341356"/>
  </r>
  <r>
    <x v="5"/>
    <x v="2"/>
    <x v="5"/>
    <x v="2"/>
    <x v="0"/>
    <n v="17175.978096820039"/>
    <n v="1273.5365184555556"/>
    <n v="18449.514615275595"/>
    <n v="3.6019764603690319"/>
    <n v="3.6019764603690319"/>
  </r>
  <r>
    <x v="5"/>
    <x v="2"/>
    <x v="6"/>
    <x v="2"/>
    <x v="0"/>
    <n v="5215.3828484260703"/>
    <n v="3561.7800467286438"/>
    <n v="8777.1628951547136"/>
    <n v="1.7285913864039741"/>
    <n v="1.7285913864039741"/>
  </r>
  <r>
    <x v="5"/>
    <x v="2"/>
    <x v="0"/>
    <x v="2"/>
    <x v="1"/>
    <n v="2376.6532068942984"/>
    <n v="601.98699541830172"/>
    <n v="2978.6402023126002"/>
    <n v="1.7464205664328589"/>
    <n v="1.7464205664328589"/>
  </r>
  <r>
    <x v="5"/>
    <x v="2"/>
    <x v="1"/>
    <x v="2"/>
    <x v="1"/>
    <n v="4066.5720158041377"/>
    <n v="799.25701744609341"/>
    <n v="4865.8290332502311"/>
    <n v="2.6268059558532189"/>
    <n v="2.6268059558532189"/>
  </r>
  <r>
    <x v="5"/>
    <x v="2"/>
    <x v="2"/>
    <x v="2"/>
    <x v="1"/>
    <n v="7061.5089313598019"/>
    <n v="2584.6018168576902"/>
    <n v="9646.1107482174921"/>
    <n v="4.7851890817382259"/>
    <n v="4.7851890817382259"/>
  </r>
  <r>
    <x v="5"/>
    <x v="2"/>
    <x v="3"/>
    <x v="2"/>
    <x v="1"/>
    <n v="10226.93047391417"/>
    <n v="1616.7977293889833"/>
    <n v="11843.728203303153"/>
    <n v="5.6476908766082117"/>
    <n v="5.6476908766082117"/>
  </r>
  <r>
    <x v="5"/>
    <x v="2"/>
    <x v="4"/>
    <x v="2"/>
    <x v="1"/>
    <n v="705.11894472896665"/>
    <n v="657.11019412673636"/>
    <n v="1362.229138855703"/>
    <n v="0.78574802761341356"/>
    <n v="0.78574802761341356"/>
  </r>
  <r>
    <x v="5"/>
    <x v="2"/>
    <x v="5"/>
    <x v="2"/>
    <x v="1"/>
    <n v="5233.0597301859234"/>
    <n v="619.79609663352164"/>
    <n v="5852.8558268194447"/>
    <n v="3.6019764603690319"/>
    <n v="3.6019764603690319"/>
  </r>
  <r>
    <x v="5"/>
    <x v="2"/>
    <x v="6"/>
    <x v="2"/>
    <x v="1"/>
    <n v="1065.2784082701749"/>
    <n v="1733.4229038887322"/>
    <n v="2798.7013121589071"/>
    <n v="1.7285913864039741"/>
    <n v="1.728591386403974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ScenResults" cacheId="0" dataOnRows="1" applyNumberFormats="0" applyBorderFormats="0" applyFontFormats="0" applyPatternFormats="0" applyAlignmentFormats="0" applyWidthHeightFormats="1" dataCaption="Data" updatedVersion="5" showMultipleLabel="0" showMemberPropertyTips="0" useAutoFormatting="1" colGrandTotals="0" itemPrintTitles="1" showDropZones="0" indent="0" compact="0" compactData="0" gridDropZones="1">
  <location ref="L8:S25" firstHeaderRow="1" firstDataRow="2" firstDataCol="2" rowPageCount="3" colPageCount="1"/>
  <pivotFields count="10">
    <pivotField axis="axisCol" compact="0" outline="0" subtotalTop="0" showAll="0" includeNewItemsInFilter="1">
      <items count="7">
        <item x="0"/>
        <item x="1"/>
        <item x="2"/>
        <item x="3"/>
        <item x="4"/>
        <item x="5"/>
        <item t="default"/>
      </items>
    </pivotField>
    <pivotField axis="axisPage" compact="0" outline="0" subtotalTop="0" showAll="0" includeNewItemsInFilter="1">
      <items count="4">
        <item x="0"/>
        <item x="1"/>
        <item x="2"/>
        <item t="default"/>
      </items>
    </pivotField>
    <pivotField axis="axisRow" compact="0" outline="0" subtotalTop="0" showAll="0" includeNewItemsInFilter="1">
      <items count="8">
        <item x="0"/>
        <item x="2"/>
        <item x="3"/>
        <item x="4"/>
        <item x="1"/>
        <item x="6"/>
        <item x="5"/>
        <item t="default"/>
      </items>
    </pivotField>
    <pivotField axis="axisPage" compact="0" outline="0" subtotalTop="0" showAll="0" includeNewItemsInFilter="1">
      <items count="4">
        <item x="2"/>
        <item x="1"/>
        <item x="0"/>
        <item t="default"/>
      </items>
    </pivotField>
    <pivotField axis="axisPage" compact="0" numFmtId="9" outline="0" subtotalTop="0" showAll="0" includeNewItemsInFilter="1">
      <items count="3">
        <item x="0"/>
        <item x="1"/>
        <item t="default"/>
      </items>
    </pivotField>
    <pivotField dataField="1" compact="0" numFmtId="165" outline="0" subtotalTop="0" showAll="0" includeNewItemsInFilter="1"/>
    <pivotField compact="0" numFmtId="165" outline="0" subtotalTop="0" showAll="0" includeNewItemsInFilter="1"/>
    <pivotField compact="0" numFmtId="165" outline="0" subtotalTop="0" showAll="0" includeNewItemsInFilter="1"/>
    <pivotField dataField="1" compact="0" numFmtId="165" outline="0" subtotalTop="0" showAll="0" includeNewItemsInFilter="1"/>
    <pivotField compact="0" numFmtId="165" outline="0" subtotalTop="0" showAll="0" includeNewItemsInFilter="1"/>
  </pivotFields>
  <rowFields count="2">
    <field x="-2"/>
    <field x="2"/>
  </rowFields>
  <rowItems count="16">
    <i>
      <x/>
      <x/>
    </i>
    <i r="1">
      <x v="1"/>
    </i>
    <i r="1">
      <x v="2"/>
    </i>
    <i r="1">
      <x v="3"/>
    </i>
    <i r="1">
      <x v="4"/>
    </i>
    <i r="1">
      <x v="5"/>
    </i>
    <i r="1">
      <x v="6"/>
    </i>
    <i i="1">
      <x v="1"/>
      <x/>
    </i>
    <i r="1" i="1">
      <x v="1"/>
    </i>
    <i r="1" i="1">
      <x v="2"/>
    </i>
    <i r="1" i="1">
      <x v="3"/>
    </i>
    <i r="1" i="1">
      <x v="4"/>
    </i>
    <i r="1" i="1">
      <x v="5"/>
    </i>
    <i r="1" i="1">
      <x v="6"/>
    </i>
    <i t="grand">
      <x/>
    </i>
    <i t="grand">
      <x/>
    </i>
  </rowItems>
  <colFields count="1">
    <field x="0"/>
  </colFields>
  <colItems count="6">
    <i>
      <x/>
    </i>
    <i>
      <x v="1"/>
    </i>
    <i>
      <x v="2"/>
    </i>
    <i>
      <x v="3"/>
    </i>
    <i>
      <x v="4"/>
    </i>
    <i>
      <x v="5"/>
    </i>
  </colItems>
  <pageFields count="3">
    <pageField fld="3" item="2" hier="-1"/>
    <pageField fld="4" item="1" hier="-1"/>
    <pageField fld="1" item="0" hier="-1"/>
  </pageFields>
  <dataFields count="2">
    <dataField name="Sum of FFC Energy Savings" fld="8" baseField="0" baseItem="0" numFmtId="167"/>
    <dataField name="Sum of NPV" fld="5" baseField="0" baseItem="0" numFmtId="167"/>
  </dataField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4.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15.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6.xml.rels><?xml version="1.0" encoding="UTF-8" standalone="yes"?>
<Relationships xmlns="http://schemas.openxmlformats.org/package/2006/relationships"><Relationship Id="rId1" Type="http://schemas.openxmlformats.org/officeDocument/2006/relationships/customProperty" Target="../customProperty13.bin"/></Relationships>
</file>

<file path=xl/worksheets/_rels/sheet17.xml.rels><?xml version="1.0" encoding="UTF-8" standalone="yes"?>
<Relationships xmlns="http://schemas.openxmlformats.org/package/2006/relationships"><Relationship Id="rId1" Type="http://schemas.openxmlformats.org/officeDocument/2006/relationships/customProperty" Target="../customProperty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dimension ref="B1:M24"/>
  <sheetViews>
    <sheetView showGridLines="0" zoomScale="85" zoomScaleNormal="85" zoomScalePageLayoutView="85" workbookViewId="0">
      <selection activeCell="B1" sqref="B1"/>
    </sheetView>
  </sheetViews>
  <sheetFormatPr defaultColWidth="8.77734375" defaultRowHeight="14.4"/>
  <cols>
    <col min="1" max="2" width="8.77734375" style="125"/>
    <col min="3" max="3" width="23.33203125" style="125" customWidth="1"/>
    <col min="4" max="12" width="8.77734375" style="125"/>
    <col min="13" max="13" width="13.44140625" style="125" customWidth="1"/>
    <col min="14" max="16384" width="8.77734375" style="125"/>
  </cols>
  <sheetData>
    <row r="1" spans="2:13" s="123" customFormat="1" ht="15">
      <c r="B1" s="124" t="s">
        <v>149</v>
      </c>
    </row>
    <row r="3" spans="2:13">
      <c r="B3" s="296" t="s">
        <v>154</v>
      </c>
      <c r="C3" s="296"/>
      <c r="D3" s="296"/>
      <c r="E3" s="296"/>
      <c r="F3" s="296"/>
      <c r="G3" s="296"/>
      <c r="H3" s="296"/>
      <c r="I3" s="296"/>
      <c r="J3" s="296"/>
      <c r="K3" s="296"/>
      <c r="L3" s="296"/>
      <c r="M3" s="296"/>
    </row>
    <row r="4" spans="2:13">
      <c r="B4" s="296"/>
      <c r="C4" s="296"/>
      <c r="D4" s="296"/>
      <c r="E4" s="296"/>
      <c r="F4" s="296"/>
      <c r="G4" s="296"/>
      <c r="H4" s="296"/>
      <c r="I4" s="296"/>
      <c r="J4" s="296"/>
      <c r="K4" s="296"/>
      <c r="L4" s="296"/>
      <c r="M4" s="296"/>
    </row>
    <row r="5" spans="2:13">
      <c r="B5" s="296"/>
      <c r="C5" s="296"/>
      <c r="D5" s="296"/>
      <c r="E5" s="296"/>
      <c r="F5" s="296"/>
      <c r="G5" s="296"/>
      <c r="H5" s="296"/>
      <c r="I5" s="296"/>
      <c r="J5" s="296"/>
      <c r="K5" s="296"/>
      <c r="L5" s="296"/>
      <c r="M5" s="296"/>
    </row>
    <row r="6" spans="2:13">
      <c r="B6" s="297"/>
      <c r="C6" s="297"/>
      <c r="D6" s="297"/>
      <c r="E6" s="297"/>
      <c r="F6" s="297"/>
      <c r="G6" s="297"/>
      <c r="H6" s="297"/>
      <c r="I6" s="297"/>
      <c r="J6" s="297"/>
      <c r="K6" s="297"/>
      <c r="L6" s="297"/>
      <c r="M6" s="297"/>
    </row>
    <row r="7" spans="2:13">
      <c r="B7" s="298" t="s">
        <v>134</v>
      </c>
      <c r="C7" s="298"/>
      <c r="D7" s="300" t="s">
        <v>135</v>
      </c>
      <c r="E7" s="300"/>
      <c r="F7" s="300"/>
      <c r="G7" s="300"/>
      <c r="H7" s="300"/>
      <c r="I7" s="300"/>
      <c r="J7" s="300"/>
      <c r="K7" s="300"/>
      <c r="L7" s="300"/>
      <c r="M7" s="300"/>
    </row>
    <row r="8" spans="2:13">
      <c r="B8" s="299"/>
      <c r="C8" s="299"/>
      <c r="D8" s="297"/>
      <c r="E8" s="297"/>
      <c r="F8" s="297"/>
      <c r="G8" s="297"/>
      <c r="H8" s="297"/>
      <c r="I8" s="297"/>
      <c r="J8" s="297"/>
      <c r="K8" s="297"/>
      <c r="L8" s="297"/>
      <c r="M8" s="297"/>
    </row>
    <row r="9" spans="2:13" ht="15">
      <c r="B9" s="126" t="s">
        <v>136</v>
      </c>
      <c r="C9" s="127"/>
      <c r="D9" s="301" t="s">
        <v>137</v>
      </c>
      <c r="E9" s="302"/>
      <c r="F9" s="302"/>
      <c r="G9" s="302"/>
      <c r="H9" s="302"/>
      <c r="I9" s="302"/>
      <c r="J9" s="302"/>
      <c r="K9" s="302"/>
      <c r="L9" s="302"/>
      <c r="M9" s="302"/>
    </row>
    <row r="10" spans="2:13">
      <c r="B10" s="126" t="s">
        <v>226</v>
      </c>
      <c r="C10" s="127"/>
      <c r="D10" s="303" t="s">
        <v>138</v>
      </c>
      <c r="E10" s="303"/>
      <c r="F10" s="303"/>
      <c r="G10" s="303"/>
      <c r="H10" s="303"/>
      <c r="I10" s="303"/>
      <c r="J10" s="303"/>
      <c r="K10" s="303"/>
      <c r="L10" s="303"/>
      <c r="M10" s="303"/>
    </row>
    <row r="11" spans="2:13">
      <c r="B11" s="126" t="s">
        <v>9</v>
      </c>
      <c r="C11" s="127"/>
      <c r="D11" s="304"/>
      <c r="E11" s="304"/>
      <c r="F11" s="304"/>
      <c r="G11" s="304"/>
      <c r="H11" s="304"/>
      <c r="I11" s="304"/>
      <c r="J11" s="304"/>
      <c r="K11" s="304"/>
      <c r="L11" s="304"/>
      <c r="M11" s="304"/>
    </row>
    <row r="12" spans="2:13">
      <c r="B12" s="126" t="s">
        <v>10</v>
      </c>
      <c r="C12" s="127"/>
      <c r="D12" s="304"/>
      <c r="E12" s="304"/>
      <c r="F12" s="304"/>
      <c r="G12" s="304"/>
      <c r="H12" s="304"/>
      <c r="I12" s="304"/>
      <c r="J12" s="304"/>
      <c r="K12" s="304"/>
      <c r="L12" s="304"/>
      <c r="M12" s="304"/>
    </row>
    <row r="13" spans="2:13">
      <c r="B13" s="126" t="s">
        <v>11</v>
      </c>
      <c r="C13" s="127"/>
      <c r="D13" s="304"/>
      <c r="E13" s="304"/>
      <c r="F13" s="304"/>
      <c r="G13" s="304"/>
      <c r="H13" s="304"/>
      <c r="I13" s="304"/>
      <c r="J13" s="304"/>
      <c r="K13" s="304"/>
      <c r="L13" s="304"/>
      <c r="M13" s="304"/>
    </row>
    <row r="14" spans="2:13">
      <c r="B14" s="126" t="s">
        <v>12</v>
      </c>
      <c r="C14" s="127"/>
      <c r="D14" s="304"/>
      <c r="E14" s="304"/>
      <c r="F14" s="304"/>
      <c r="G14" s="304"/>
      <c r="H14" s="304"/>
      <c r="I14" s="304"/>
      <c r="J14" s="304"/>
      <c r="K14" s="304"/>
      <c r="L14" s="304"/>
      <c r="M14" s="304"/>
    </row>
    <row r="15" spans="2:13">
      <c r="B15" s="126" t="s">
        <v>13</v>
      </c>
      <c r="C15" s="127"/>
      <c r="D15" s="304"/>
      <c r="E15" s="304"/>
      <c r="F15" s="304"/>
      <c r="G15" s="304"/>
      <c r="H15" s="304"/>
      <c r="I15" s="304"/>
      <c r="J15" s="304"/>
      <c r="K15" s="304"/>
      <c r="L15" s="304"/>
      <c r="M15" s="304"/>
    </row>
    <row r="16" spans="2:13">
      <c r="B16" s="126" t="s">
        <v>14</v>
      </c>
      <c r="C16" s="127"/>
      <c r="D16" s="305"/>
      <c r="E16" s="305"/>
      <c r="F16" s="305"/>
      <c r="G16" s="305"/>
      <c r="H16" s="305"/>
      <c r="I16" s="305"/>
      <c r="J16" s="305"/>
      <c r="K16" s="305"/>
      <c r="L16" s="305"/>
      <c r="M16" s="305"/>
    </row>
    <row r="17" spans="2:13" ht="15">
      <c r="B17" s="128" t="s">
        <v>139</v>
      </c>
      <c r="C17" s="129"/>
      <c r="D17" s="130" t="s">
        <v>222</v>
      </c>
      <c r="E17" s="130"/>
      <c r="F17" s="130"/>
      <c r="G17" s="130"/>
      <c r="H17" s="130"/>
      <c r="I17" s="130"/>
      <c r="J17" s="130"/>
      <c r="K17" s="130"/>
      <c r="L17" s="130"/>
      <c r="M17" s="130"/>
    </row>
    <row r="18" spans="2:13" ht="15">
      <c r="B18" s="156" t="s">
        <v>155</v>
      </c>
      <c r="C18" s="157"/>
      <c r="D18" s="130" t="s">
        <v>221</v>
      </c>
      <c r="E18" s="130"/>
      <c r="F18" s="130"/>
      <c r="G18" s="130"/>
      <c r="H18" s="130"/>
      <c r="I18" s="130"/>
      <c r="J18" s="130"/>
      <c r="K18" s="130"/>
      <c r="L18" s="130"/>
      <c r="M18" s="130"/>
    </row>
    <row r="19" spans="2:13" ht="15">
      <c r="B19" s="128" t="s">
        <v>140</v>
      </c>
      <c r="C19" s="129"/>
      <c r="D19" s="130" t="s">
        <v>141</v>
      </c>
      <c r="E19" s="131"/>
      <c r="F19" s="132"/>
      <c r="G19" s="132"/>
      <c r="H19" s="132"/>
      <c r="I19" s="132"/>
      <c r="J19" s="132"/>
      <c r="K19" s="132"/>
      <c r="L19" s="132"/>
      <c r="M19" s="132"/>
    </row>
    <row r="20" spans="2:13" ht="15">
      <c r="B20" s="142" t="s">
        <v>142</v>
      </c>
      <c r="C20" s="127"/>
      <c r="D20" s="133" t="s">
        <v>143</v>
      </c>
      <c r="E20" s="133"/>
      <c r="F20" s="133"/>
      <c r="G20" s="133"/>
      <c r="H20" s="133"/>
      <c r="I20" s="133"/>
      <c r="J20" s="133"/>
      <c r="K20" s="133"/>
      <c r="L20" s="133"/>
      <c r="M20" s="133"/>
    </row>
    <row r="21" spans="2:13" ht="15">
      <c r="B21" s="128" t="s">
        <v>144</v>
      </c>
      <c r="C21" s="129"/>
      <c r="D21" s="132" t="s">
        <v>145</v>
      </c>
      <c r="E21" s="132"/>
      <c r="F21" s="132"/>
      <c r="G21" s="132"/>
      <c r="H21" s="133"/>
      <c r="I21" s="133"/>
      <c r="J21" s="133"/>
      <c r="K21" s="133"/>
      <c r="L21" s="133"/>
      <c r="M21" s="133"/>
    </row>
    <row r="22" spans="2:13" ht="52.5" customHeight="1">
      <c r="B22" s="128" t="s">
        <v>146</v>
      </c>
      <c r="C22" s="129"/>
      <c r="D22" s="295" t="s">
        <v>153</v>
      </c>
      <c r="E22" s="295"/>
      <c r="F22" s="295"/>
      <c r="G22" s="295"/>
      <c r="H22" s="295"/>
      <c r="I22" s="295"/>
      <c r="J22" s="295"/>
      <c r="K22" s="295"/>
      <c r="L22" s="295"/>
      <c r="M22" s="295"/>
    </row>
    <row r="23" spans="2:13">
      <c r="B23" s="293" t="s">
        <v>239</v>
      </c>
      <c r="C23" s="293"/>
      <c r="D23" s="293"/>
      <c r="E23" s="293"/>
      <c r="F23" s="293"/>
      <c r="G23" s="293"/>
      <c r="H23" s="293"/>
      <c r="I23" s="293"/>
      <c r="J23" s="293"/>
      <c r="K23" s="293"/>
      <c r="L23" s="293"/>
      <c r="M23" s="293"/>
    </row>
    <row r="24" spans="2:13">
      <c r="B24" s="294"/>
      <c r="C24" s="294"/>
      <c r="D24" s="294"/>
      <c r="E24" s="294"/>
      <c r="F24" s="294"/>
      <c r="G24" s="294"/>
      <c r="H24" s="294"/>
      <c r="I24" s="294"/>
      <c r="J24" s="294"/>
      <c r="K24" s="294"/>
      <c r="L24" s="294"/>
      <c r="M24" s="294"/>
    </row>
  </sheetData>
  <mergeCells count="7">
    <mergeCell ref="B23:M24"/>
    <mergeCell ref="D22:M22"/>
    <mergeCell ref="B3:M6"/>
    <mergeCell ref="B7:C8"/>
    <mergeCell ref="D7:M8"/>
    <mergeCell ref="D9:M9"/>
    <mergeCell ref="D10:M1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B2:AM190"/>
  <sheetViews>
    <sheetView topLeftCell="A157" zoomScale="85" zoomScaleNormal="85" zoomScalePageLayoutView="85" workbookViewId="0">
      <selection activeCell="B2" sqref="B2"/>
    </sheetView>
  </sheetViews>
  <sheetFormatPr defaultColWidth="8.77734375" defaultRowHeight="14.4"/>
  <cols>
    <col min="1" max="1" width="8.77734375" style="9"/>
    <col min="2" max="2" width="3.6640625" style="9" customWidth="1"/>
    <col min="3" max="3" width="28.44140625" style="9" bestFit="1" customWidth="1"/>
    <col min="4" max="4" width="9.33203125" style="9" bestFit="1" customWidth="1"/>
    <col min="5" max="7" width="8" style="9" bestFit="1" customWidth="1"/>
    <col min="8" max="38" width="9" style="9" bestFit="1" customWidth="1"/>
    <col min="39" max="39" width="3.6640625" style="9" customWidth="1"/>
    <col min="40" max="16384" width="8.77734375" style="9"/>
  </cols>
  <sheetData>
    <row r="2" spans="2:39" ht="15">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row>
    <row r="3" spans="2:39" ht="15">
      <c r="B3" s="10"/>
      <c r="C3" s="22" t="s">
        <v>97</v>
      </c>
      <c r="D3" s="23"/>
      <c r="E3" s="24">
        <f t="array" ref="E3:AL3">_yS</f>
        <v>2019</v>
      </c>
      <c r="F3" s="24">
        <v>2020</v>
      </c>
      <c r="G3" s="24">
        <v>2021</v>
      </c>
      <c r="H3" s="24">
        <v>2022</v>
      </c>
      <c r="I3" s="24">
        <v>2023</v>
      </c>
      <c r="J3" s="24">
        <v>2024</v>
      </c>
      <c r="K3" s="24">
        <v>2025</v>
      </c>
      <c r="L3" s="24">
        <v>2026</v>
      </c>
      <c r="M3" s="24">
        <v>2027</v>
      </c>
      <c r="N3" s="24">
        <v>2028</v>
      </c>
      <c r="O3" s="24">
        <v>2029</v>
      </c>
      <c r="P3" s="24">
        <v>2030</v>
      </c>
      <c r="Q3" s="24">
        <v>2031</v>
      </c>
      <c r="R3" s="24">
        <v>2032</v>
      </c>
      <c r="S3" s="24">
        <v>2033</v>
      </c>
      <c r="T3" s="24">
        <v>2034</v>
      </c>
      <c r="U3" s="24">
        <v>2035</v>
      </c>
      <c r="V3" s="24">
        <v>2036</v>
      </c>
      <c r="W3" s="24">
        <v>2037</v>
      </c>
      <c r="X3" s="24">
        <v>2038</v>
      </c>
      <c r="Y3" s="24">
        <v>2039</v>
      </c>
      <c r="Z3" s="24">
        <v>2040</v>
      </c>
      <c r="AA3" s="24">
        <v>2041</v>
      </c>
      <c r="AB3" s="24">
        <v>2042</v>
      </c>
      <c r="AC3" s="24">
        <v>2043</v>
      </c>
      <c r="AD3" s="24">
        <v>2044</v>
      </c>
      <c r="AE3" s="24">
        <v>2045</v>
      </c>
      <c r="AF3" s="24">
        <v>2046</v>
      </c>
      <c r="AG3" s="24">
        <v>2047</v>
      </c>
      <c r="AH3" s="24">
        <v>2048</v>
      </c>
      <c r="AI3" s="24">
        <v>2049</v>
      </c>
      <c r="AJ3" s="24">
        <v>2050</v>
      </c>
      <c r="AK3" s="24">
        <v>2051</v>
      </c>
      <c r="AL3" s="25">
        <v>2052</v>
      </c>
      <c r="AM3" s="10"/>
    </row>
    <row r="4" spans="2:39" ht="15">
      <c r="B4" s="10"/>
      <c r="C4" s="57" t="str">
        <f ca="1">"Stds Case (CSL " &amp; stdCSL &amp; "): " &amp; INDEX(_doName,7,stdCSL+1)</f>
        <v>Stds Case (CSL 5): EL 5</v>
      </c>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3"/>
      <c r="AM4" s="10"/>
    </row>
    <row r="5" spans="2:39" ht="15">
      <c r="B5" s="10"/>
      <c r="C5" s="16" t="s">
        <v>94</v>
      </c>
      <c r="D5" s="12" t="str">
        <f>"th " &amp; _yearDol &amp; "$"</f>
        <v>th 2015$</v>
      </c>
      <c r="E5" s="13">
        <f t="array" ref="E5:AL5" ca="1">tecs-tiec</f>
        <v>0</v>
      </c>
      <c r="F5" s="13">
        <f ca="1"/>
        <v>0</v>
      </c>
      <c r="G5" s="13">
        <f ca="1"/>
        <v>0</v>
      </c>
      <c r="H5" s="13">
        <f ca="1"/>
        <v>76089.65141064371</v>
      </c>
      <c r="I5" s="13">
        <f ca="1"/>
        <v>77069.305405263382</v>
      </c>
      <c r="J5" s="13">
        <f ca="1"/>
        <v>75172.244449194171</v>
      </c>
      <c r="K5" s="13">
        <f ca="1"/>
        <v>76112.477194115636</v>
      </c>
      <c r="L5" s="13">
        <f ca="1"/>
        <v>77013.653345983766</v>
      </c>
      <c r="M5" s="13">
        <f ca="1"/>
        <v>77895.137973369332</v>
      </c>
      <c r="N5" s="13">
        <f ca="1"/>
        <v>78706.773193091765</v>
      </c>
      <c r="O5" s="13">
        <f ca="1"/>
        <v>79521.028231791512</v>
      </c>
      <c r="P5" s="13">
        <f ca="1"/>
        <v>80400.256089499337</v>
      </c>
      <c r="Q5" s="13">
        <f ca="1"/>
        <v>81278.980493344861</v>
      </c>
      <c r="R5" s="13">
        <f ca="1"/>
        <v>85235.751778920909</v>
      </c>
      <c r="S5" s="13">
        <f ca="1"/>
        <v>89354.23532513887</v>
      </c>
      <c r="T5" s="13">
        <f ca="1"/>
        <v>90347.654840578209</v>
      </c>
      <c r="U5" s="13">
        <f ca="1"/>
        <v>94630.158253075555</v>
      </c>
      <c r="V5" s="13">
        <f ca="1"/>
        <v>99013.775441564154</v>
      </c>
      <c r="W5" s="13">
        <f ca="1"/>
        <v>100118.2637575515</v>
      </c>
      <c r="X5" s="13">
        <f ca="1"/>
        <v>101223.34491316235</v>
      </c>
      <c r="Y5" s="13">
        <f ca="1"/>
        <v>102331.04927800258</v>
      </c>
      <c r="Z5" s="13">
        <f ca="1"/>
        <v>103469.98603454191</v>
      </c>
      <c r="AA5" s="13">
        <f ca="1"/>
        <v>104908.97738655558</v>
      </c>
      <c r="AB5" s="13">
        <f ca="1"/>
        <v>106569.12618863228</v>
      </c>
      <c r="AC5" s="13">
        <f ca="1"/>
        <v>108249.95187738136</v>
      </c>
      <c r="AD5" s="13">
        <f ca="1"/>
        <v>109947.98751548765</v>
      </c>
      <c r="AE5" s="13">
        <f ca="1"/>
        <v>111665.82157646929</v>
      </c>
      <c r="AF5" s="13">
        <f ca="1"/>
        <v>113402.90790496871</v>
      </c>
      <c r="AG5" s="13">
        <f ca="1"/>
        <v>115160.78914355347</v>
      </c>
      <c r="AH5" s="13">
        <f ca="1"/>
        <v>116940.65545297111</v>
      </c>
      <c r="AI5" s="13">
        <f ca="1"/>
        <v>118746.32931119663</v>
      </c>
      <c r="AJ5" s="13">
        <f ca="1"/>
        <v>120577.76344292134</v>
      </c>
      <c r="AK5" s="13">
        <f ca="1"/>
        <v>122432.10850813321</v>
      </c>
      <c r="AL5" s="56">
        <f ca="1"/>
        <v>124309.19638226076</v>
      </c>
      <c r="AM5" s="10"/>
    </row>
    <row r="6" spans="2:39" ht="15">
      <c r="B6" s="10"/>
      <c r="C6" s="16" t="s">
        <v>95</v>
      </c>
      <c r="D6" s="12" t="str">
        <f>"th " &amp; _yearDol &amp; "$"</f>
        <v>th 2015$</v>
      </c>
      <c r="E6" s="13">
        <f t="array" aca="1" ref="E6:AL6" ca="1">tlccQmPol*tShpPRVStd-tlccQmBC*IF(bStdShipm,tShpPRVStd,tShpPRVBC)</f>
        <v>0</v>
      </c>
      <c r="F6" s="13">
        <f ca="1"/>
        <v>0</v>
      </c>
      <c r="G6" s="13">
        <f ca="1"/>
        <v>0</v>
      </c>
      <c r="H6" s="13">
        <f ca="1"/>
        <v>78072.708583518164</v>
      </c>
      <c r="I6" s="13">
        <f ca="1"/>
        <v>78081.422498049156</v>
      </c>
      <c r="J6" s="13">
        <f ca="1"/>
        <v>75205.67416544864</v>
      </c>
      <c r="K6" s="13">
        <f ca="1"/>
        <v>75198.525624785572</v>
      </c>
      <c r="L6" s="13">
        <f ca="1"/>
        <v>75147.494436694134</v>
      </c>
      <c r="M6" s="13">
        <f ca="1"/>
        <v>75072.826103198342</v>
      </c>
      <c r="N6" s="13">
        <f ca="1"/>
        <v>74927.611587392137</v>
      </c>
      <c r="O6" s="13">
        <f ca="1"/>
        <v>74782.553608972754</v>
      </c>
      <c r="P6" s="13">
        <f ca="1"/>
        <v>74695.571001050062</v>
      </c>
      <c r="Q6" s="13">
        <f ca="1"/>
        <v>74604.466241941991</v>
      </c>
      <c r="R6" s="13">
        <f ca="1"/>
        <v>77301.344520577783</v>
      </c>
      <c r="S6" s="13">
        <f ca="1"/>
        <v>80073.360744869715</v>
      </c>
      <c r="T6" s="13">
        <f ca="1"/>
        <v>80006.62363897101</v>
      </c>
      <c r="U6" s="13">
        <f ca="1"/>
        <v>82813.808596160263</v>
      </c>
      <c r="V6" s="13">
        <f ca="1"/>
        <v>85636.803829414654</v>
      </c>
      <c r="W6" s="13">
        <f ca="1"/>
        <v>85584.833417002519</v>
      </c>
      <c r="X6" s="13">
        <f ca="1"/>
        <v>85528.219062115822</v>
      </c>
      <c r="Y6" s="13">
        <f ca="1"/>
        <v>85468.787034266978</v>
      </c>
      <c r="Z6" s="13">
        <f ca="1"/>
        <v>85430.22665798926</v>
      </c>
      <c r="AA6" s="13">
        <f ca="1"/>
        <v>85631.220662619395</v>
      </c>
      <c r="AB6" s="13">
        <f ca="1"/>
        <v>85999.918387623562</v>
      </c>
      <c r="AC6" s="13">
        <f ca="1"/>
        <v>86370.598919526965</v>
      </c>
      <c r="AD6" s="13">
        <f ca="1"/>
        <v>86740.340227109671</v>
      </c>
      <c r="AE6" s="13">
        <f ca="1"/>
        <v>87111.072938142053</v>
      </c>
      <c r="AF6" s="13">
        <f ca="1"/>
        <v>87482.223082205863</v>
      </c>
      <c r="AG6" s="13">
        <f ca="1"/>
        <v>87854.834241879638</v>
      </c>
      <c r="AH6" s="13">
        <f ca="1"/>
        <v>88229.636924968334</v>
      </c>
      <c r="AI6" s="13">
        <f ca="1"/>
        <v>88609.292267047393</v>
      </c>
      <c r="AJ6" s="13">
        <f ca="1"/>
        <v>88993.487193343113</v>
      </c>
      <c r="AK6" s="13">
        <f ca="1"/>
        <v>89379.873643053812</v>
      </c>
      <c r="AL6" s="56">
        <f ca="1"/>
        <v>89768.138541405904</v>
      </c>
      <c r="AM6" s="10"/>
    </row>
    <row r="7" spans="2:39" ht="15">
      <c r="B7" s="10"/>
      <c r="C7" s="16" t="str">
        <f>zEO&amp;" Costs Savings"</f>
        <v>Operating Costs Savings</v>
      </c>
      <c r="D7" s="12" t="str">
        <f>"th " &amp; _yearDol &amp; "$"</f>
        <v>th 2015$</v>
      </c>
      <c r="E7" s="13">
        <f t="array" aca="1" ref="E7:AL7" ca="1">tlccEmBC*IF(bStdShipm,tShpPRVStd,tShpPRVBC)-tlccEmPol*tShpPRVStd</f>
        <v>0</v>
      </c>
      <c r="F7" s="13">
        <f ca="1"/>
        <v>0</v>
      </c>
      <c r="G7" s="13">
        <f ca="1"/>
        <v>0</v>
      </c>
      <c r="H7" s="13">
        <f ca="1"/>
        <v>154162.35999416187</v>
      </c>
      <c r="I7" s="13">
        <f ca="1"/>
        <v>155150.72790331254</v>
      </c>
      <c r="J7" s="13">
        <f ca="1"/>
        <v>150377.91861464281</v>
      </c>
      <c r="K7" s="13">
        <f ca="1"/>
        <v>151311.00281890121</v>
      </c>
      <c r="L7" s="13">
        <f ca="1"/>
        <v>152161.1477826779</v>
      </c>
      <c r="M7" s="13">
        <f ca="1"/>
        <v>152967.96407656767</v>
      </c>
      <c r="N7" s="13">
        <f ca="1"/>
        <v>153634.3847804839</v>
      </c>
      <c r="O7" s="13">
        <f ca="1"/>
        <v>154303.58184076427</v>
      </c>
      <c r="P7" s="13">
        <f ca="1"/>
        <v>155095.8270905494</v>
      </c>
      <c r="Q7" s="13">
        <f ca="1"/>
        <v>155883.44673528685</v>
      </c>
      <c r="R7" s="13">
        <f ca="1"/>
        <v>162537.09629949869</v>
      </c>
      <c r="S7" s="13">
        <f ca="1"/>
        <v>169427.59607000859</v>
      </c>
      <c r="T7" s="13">
        <f ca="1"/>
        <v>170354.27847954922</v>
      </c>
      <c r="U7" s="13">
        <f ca="1"/>
        <v>177443.96684923582</v>
      </c>
      <c r="V7" s="13">
        <f ca="1"/>
        <v>184650.57927097881</v>
      </c>
      <c r="W7" s="13">
        <f ca="1"/>
        <v>185703.09717455402</v>
      </c>
      <c r="X7" s="13">
        <f ca="1"/>
        <v>186751.56397527817</v>
      </c>
      <c r="Y7" s="13">
        <f ca="1"/>
        <v>187799.83631226956</v>
      </c>
      <c r="Z7" s="13">
        <f ca="1"/>
        <v>188900.21269253117</v>
      </c>
      <c r="AA7" s="13">
        <f ca="1"/>
        <v>190540.19804917497</v>
      </c>
      <c r="AB7" s="13">
        <f ca="1"/>
        <v>192569.04457625584</v>
      </c>
      <c r="AC7" s="13">
        <f ca="1"/>
        <v>194620.55079690833</v>
      </c>
      <c r="AD7" s="13">
        <f ca="1"/>
        <v>196688.32774259732</v>
      </c>
      <c r="AE7" s="13">
        <f ca="1"/>
        <v>198776.89451461134</v>
      </c>
      <c r="AF7" s="13">
        <f ca="1"/>
        <v>200885.13098717458</v>
      </c>
      <c r="AG7" s="13">
        <f ca="1"/>
        <v>203015.62338543311</v>
      </c>
      <c r="AH7" s="13">
        <f ca="1"/>
        <v>205170.29237793945</v>
      </c>
      <c r="AI7" s="13">
        <f ca="1"/>
        <v>207355.62157824403</v>
      </c>
      <c r="AJ7" s="13">
        <f ca="1"/>
        <v>209571.25063626445</v>
      </c>
      <c r="AK7" s="13">
        <f ca="1"/>
        <v>211811.98215118703</v>
      </c>
      <c r="AL7" s="56">
        <f ca="1"/>
        <v>214077.33492366667</v>
      </c>
      <c r="AM7" s="10"/>
    </row>
    <row r="8" spans="2:39" ht="15">
      <c r="B8" s="10"/>
      <c r="C8" s="16" t="s">
        <v>96</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5"/>
      <c r="AM8" s="10"/>
    </row>
    <row r="9" spans="2:39" ht="15">
      <c r="B9" s="10"/>
      <c r="C9" s="45" t="str">
        <f>INDEX(_fuel,1)</f>
        <v>Electricity</v>
      </c>
      <c r="D9" s="18" t="s">
        <v>98</v>
      </c>
      <c r="E9" s="49">
        <f t="array" aca="1" ref="E9:AL9" ca="1">tlccFmElecBC*IF(bStdShipm,tShpPRVStd,tShpPRVBC)-tlccFmElecPol*tShpPRVStd</f>
        <v>0</v>
      </c>
      <c r="F9" s="49">
        <f ca="1"/>
        <v>0</v>
      </c>
      <c r="G9" s="49">
        <f ca="1"/>
        <v>0</v>
      </c>
      <c r="H9" s="49">
        <f ca="1"/>
        <v>31312.441193265258</v>
      </c>
      <c r="I9" s="49">
        <f ca="1"/>
        <v>31160.901839835249</v>
      </c>
      <c r="J9" s="49">
        <f ca="1"/>
        <v>29896.736200190353</v>
      </c>
      <c r="K9" s="49">
        <f ca="1"/>
        <v>29796.569909977494</v>
      </c>
      <c r="L9" s="49">
        <f ca="1"/>
        <v>29678.455288115656</v>
      </c>
      <c r="M9" s="49">
        <f ca="1"/>
        <v>29570.104506123636</v>
      </c>
      <c r="N9" s="49">
        <f ca="1"/>
        <v>29457.782656588824</v>
      </c>
      <c r="O9" s="49">
        <f ca="1"/>
        <v>29360.020171444921</v>
      </c>
      <c r="P9" s="49">
        <f ca="1"/>
        <v>29291.237024388422</v>
      </c>
      <c r="Q9" s="49">
        <f ca="1"/>
        <v>29229.600971701497</v>
      </c>
      <c r="R9" s="49">
        <f ca="1"/>
        <v>30265.377065300709</v>
      </c>
      <c r="S9" s="49">
        <f ca="1"/>
        <v>31346.521739522548</v>
      </c>
      <c r="T9" s="49">
        <f ca="1"/>
        <v>31324.153200643079</v>
      </c>
      <c r="U9" s="49">
        <f ca="1"/>
        <v>32429.810665651254</v>
      </c>
      <c r="V9" s="49">
        <f ca="1"/>
        <v>33545.680498348112</v>
      </c>
      <c r="W9" s="49">
        <f ca="1"/>
        <v>33535.264773972944</v>
      </c>
      <c r="X9" s="49">
        <f ca="1"/>
        <v>33521.314955569978</v>
      </c>
      <c r="Y9" s="49">
        <f ca="1"/>
        <v>33503.538251350285</v>
      </c>
      <c r="Z9" s="49">
        <f ca="1"/>
        <v>33492.223836300604</v>
      </c>
      <c r="AA9" s="49">
        <f ca="1"/>
        <v>33571.021897082712</v>
      </c>
      <c r="AB9" s="49">
        <f ca="1"/>
        <v>33715.566834124853</v>
      </c>
      <c r="AC9" s="49">
        <f ca="1"/>
        <v>33860.889114445745</v>
      </c>
      <c r="AD9" s="49">
        <f ca="1"/>
        <v>34005.8431795293</v>
      </c>
      <c r="AE9" s="49">
        <f ca="1"/>
        <v>34151.18591625226</v>
      </c>
      <c r="AF9" s="49">
        <f ca="1"/>
        <v>34296.692304191791</v>
      </c>
      <c r="AG9" s="49">
        <f ca="1"/>
        <v>34442.771471389337</v>
      </c>
      <c r="AH9" s="49">
        <f ca="1"/>
        <v>34589.709807473904</v>
      </c>
      <c r="AI9" s="49">
        <f ca="1"/>
        <v>34738.550588951213</v>
      </c>
      <c r="AJ9" s="49">
        <f ca="1"/>
        <v>34889.171077408799</v>
      </c>
      <c r="AK9" s="49">
        <f ca="1"/>
        <v>35040.650734753435</v>
      </c>
      <c r="AL9" s="50">
        <f ca="1"/>
        <v>35192.866822572629</v>
      </c>
      <c r="AM9" s="10"/>
    </row>
    <row r="10" spans="2:39" ht="15">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2:39" ht="15">
      <c r="B11" s="10"/>
      <c r="C11" s="22" t="s">
        <v>93</v>
      </c>
      <c r="D11" s="23"/>
      <c r="E11" s="24">
        <f t="array" ref="E11:AL11">_yS</f>
        <v>2019</v>
      </c>
      <c r="F11" s="24">
        <v>2020</v>
      </c>
      <c r="G11" s="24">
        <v>2021</v>
      </c>
      <c r="H11" s="24">
        <v>2022</v>
      </c>
      <c r="I11" s="24">
        <v>2023</v>
      </c>
      <c r="J11" s="24">
        <v>2024</v>
      </c>
      <c r="K11" s="24">
        <v>2025</v>
      </c>
      <c r="L11" s="24">
        <v>2026</v>
      </c>
      <c r="M11" s="24">
        <v>2027</v>
      </c>
      <c r="N11" s="24">
        <v>2028</v>
      </c>
      <c r="O11" s="24">
        <v>2029</v>
      </c>
      <c r="P11" s="24">
        <v>2030</v>
      </c>
      <c r="Q11" s="24">
        <v>2031</v>
      </c>
      <c r="R11" s="24">
        <v>2032</v>
      </c>
      <c r="S11" s="24">
        <v>2033</v>
      </c>
      <c r="T11" s="24">
        <v>2034</v>
      </c>
      <c r="U11" s="24">
        <v>2035</v>
      </c>
      <c r="V11" s="24">
        <v>2036</v>
      </c>
      <c r="W11" s="24">
        <v>2037</v>
      </c>
      <c r="X11" s="24">
        <v>2038</v>
      </c>
      <c r="Y11" s="24">
        <v>2039</v>
      </c>
      <c r="Z11" s="24">
        <v>2040</v>
      </c>
      <c r="AA11" s="24">
        <v>2041</v>
      </c>
      <c r="AB11" s="24">
        <v>2042</v>
      </c>
      <c r="AC11" s="24">
        <v>2043</v>
      </c>
      <c r="AD11" s="24">
        <v>2044</v>
      </c>
      <c r="AE11" s="24">
        <v>2045</v>
      </c>
      <c r="AF11" s="24">
        <v>2046</v>
      </c>
      <c r="AG11" s="24">
        <v>2047</v>
      </c>
      <c r="AH11" s="24">
        <v>2048</v>
      </c>
      <c r="AI11" s="24">
        <v>2049</v>
      </c>
      <c r="AJ11" s="24">
        <v>2050</v>
      </c>
      <c r="AK11" s="24">
        <v>2051</v>
      </c>
      <c r="AL11" s="25">
        <v>2052</v>
      </c>
      <c r="AM11" s="10"/>
    </row>
    <row r="12" spans="2:39" ht="15">
      <c r="B12" s="10"/>
      <c r="C12" s="57" t="str">
        <f ca="1">"Stds Case (CSL " &amp; stdCSL &amp; "): " &amp; INDEX(_doName,7,stdCSL+1)</f>
        <v>Stds Case (CSL 5): EL 5</v>
      </c>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3"/>
      <c r="AM12" s="10"/>
    </row>
    <row r="13" spans="2:39" ht="15">
      <c r="B13" s="10"/>
      <c r="C13" s="16" t="s">
        <v>94</v>
      </c>
      <c r="D13" s="12" t="str">
        <f>_yearDol &amp; "$"</f>
        <v>2015$</v>
      </c>
      <c r="E13" s="13">
        <f t="array" ref="E13:AL13" ca="1">tecsU-tiecU</f>
        <v>0</v>
      </c>
      <c r="F13" s="13">
        <f ca="1"/>
        <v>0</v>
      </c>
      <c r="G13" s="13">
        <f ca="1"/>
        <v>0</v>
      </c>
      <c r="H13" s="13">
        <f ca="1"/>
        <v>883.75643415295644</v>
      </c>
      <c r="I13" s="13">
        <f ca="1"/>
        <v>895.03489777655022</v>
      </c>
      <c r="J13" s="13">
        <f ca="1"/>
        <v>906.38591784676692</v>
      </c>
      <c r="K13" s="13">
        <f ca="1"/>
        <v>917.80997218038692</v>
      </c>
      <c r="L13" s="13">
        <f ca="1"/>
        <v>929.30754181975544</v>
      </c>
      <c r="M13" s="13">
        <f ca="1"/>
        <v>940.87911105504509</v>
      </c>
      <c r="N13" s="13">
        <f ca="1"/>
        <v>952.52516744682407</v>
      </c>
      <c r="O13" s="13">
        <f ca="1"/>
        <v>964.24620184862624</v>
      </c>
      <c r="P13" s="13">
        <f ca="1"/>
        <v>976.04270842978485</v>
      </c>
      <c r="Q13" s="13">
        <f ca="1"/>
        <v>987.91518469839366</v>
      </c>
      <c r="R13" s="13">
        <f ca="1"/>
        <v>999.86413152444084</v>
      </c>
      <c r="S13" s="13">
        <f ca="1"/>
        <v>1011.8900531630811</v>
      </c>
      <c r="T13" s="13">
        <f ca="1"/>
        <v>1023.9934572781335</v>
      </c>
      <c r="U13" s="13">
        <f ca="1"/>
        <v>1036.174854965639</v>
      </c>
      <c r="V13" s="13">
        <f ca="1"/>
        <v>1048.4347607777313</v>
      </c>
      <c r="W13" s="13">
        <f ca="1"/>
        <v>1060.7736927465071</v>
      </c>
      <c r="X13" s="13">
        <f ca="1"/>
        <v>1073.1921724082626</v>
      </c>
      <c r="Y13" s="13">
        <f ca="1"/>
        <v>1085.6907248276825</v>
      </c>
      <c r="Z13" s="13">
        <f ca="1"/>
        <v>1098.2698786224087</v>
      </c>
      <c r="AA13" s="13">
        <f ca="1"/>
        <v>1110.9301659876369</v>
      </c>
      <c r="AB13" s="13">
        <f ca="1"/>
        <v>1123.6721227209423</v>
      </c>
      <c r="AC13" s="13">
        <f ca="1"/>
        <v>1136.4962882472905</v>
      </c>
      <c r="AD13" s="13">
        <f ca="1"/>
        <v>1149.403205644227</v>
      </c>
      <c r="AE13" s="13">
        <f ca="1"/>
        <v>1162.393421667201</v>
      </c>
      <c r="AF13" s="13">
        <f ca="1"/>
        <v>1175.4674867751314</v>
      </c>
      <c r="AG13" s="13">
        <f ca="1"/>
        <v>1188.6259551561075</v>
      </c>
      <c r="AH13" s="13">
        <f ca="1"/>
        <v>1201.8693847532891</v>
      </c>
      <c r="AI13" s="13">
        <f ca="1"/>
        <v>1215.1983372910204</v>
      </c>
      <c r="AJ13" s="13">
        <f ca="1"/>
        <v>1228.6133783010341</v>
      </c>
      <c r="AK13" s="13">
        <f ca="1"/>
        <v>1242.1150771490106</v>
      </c>
      <c r="AL13" s="56">
        <f ca="1"/>
        <v>1255.7040070611188</v>
      </c>
      <c r="AM13" s="10"/>
    </row>
    <row r="14" spans="2:39" ht="15">
      <c r="B14" s="10"/>
      <c r="C14" s="16" t="s">
        <v>95</v>
      </c>
      <c r="D14" s="12" t="str">
        <f>_yearDol &amp; "$"</f>
        <v>2015$</v>
      </c>
      <c r="E14" s="13">
        <f t="array" ref="E14:AL14">tlccQmPol-tlccQmBC</f>
        <v>0</v>
      </c>
      <c r="F14" s="13">
        <v>0</v>
      </c>
      <c r="G14" s="13">
        <v>0</v>
      </c>
      <c r="H14" s="13">
        <f ca="1"/>
        <v>906.7889951297816</v>
      </c>
      <c r="I14" s="13">
        <f ca="1"/>
        <v>906.7889951297816</v>
      </c>
      <c r="J14" s="13">
        <f ca="1"/>
        <v>906.7889951297816</v>
      </c>
      <c r="K14" s="13">
        <f ca="1"/>
        <v>906.7889951297816</v>
      </c>
      <c r="L14" s="13">
        <f ca="1"/>
        <v>906.7889951297816</v>
      </c>
      <c r="M14" s="13">
        <f ca="1"/>
        <v>906.7889951297816</v>
      </c>
      <c r="N14" s="13">
        <f ca="1"/>
        <v>906.7889951297816</v>
      </c>
      <c r="O14" s="13">
        <f ca="1"/>
        <v>906.7889951297816</v>
      </c>
      <c r="P14" s="13">
        <f ca="1"/>
        <v>906.7889951297816</v>
      </c>
      <c r="Q14" s="13">
        <f ca="1"/>
        <v>906.7889951297816</v>
      </c>
      <c r="R14" s="13">
        <f ca="1"/>
        <v>906.7889951297816</v>
      </c>
      <c r="S14" s="13">
        <f ca="1"/>
        <v>906.7889951297816</v>
      </c>
      <c r="T14" s="13">
        <f ca="1"/>
        <v>906.7889951297816</v>
      </c>
      <c r="U14" s="13">
        <f ca="1"/>
        <v>906.7889951297816</v>
      </c>
      <c r="V14" s="13">
        <f ca="1"/>
        <v>906.7889951297816</v>
      </c>
      <c r="W14" s="13">
        <f ca="1"/>
        <v>906.7889951297816</v>
      </c>
      <c r="X14" s="13">
        <f ca="1"/>
        <v>906.7889951297816</v>
      </c>
      <c r="Y14" s="13">
        <f ca="1"/>
        <v>906.7889951297816</v>
      </c>
      <c r="Z14" s="13">
        <f ca="1"/>
        <v>906.7889951297816</v>
      </c>
      <c r="AA14" s="13">
        <f ca="1"/>
        <v>906.7889951297816</v>
      </c>
      <c r="AB14" s="13">
        <f ca="1"/>
        <v>906.7889951297816</v>
      </c>
      <c r="AC14" s="13">
        <f ca="1"/>
        <v>906.7889951297816</v>
      </c>
      <c r="AD14" s="13">
        <f ca="1"/>
        <v>906.7889951297816</v>
      </c>
      <c r="AE14" s="13">
        <f ca="1"/>
        <v>906.7889951297816</v>
      </c>
      <c r="AF14" s="13">
        <f ca="1"/>
        <v>906.7889951297816</v>
      </c>
      <c r="AG14" s="13">
        <f ca="1"/>
        <v>906.7889951297816</v>
      </c>
      <c r="AH14" s="13">
        <f ca="1"/>
        <v>906.7889951297816</v>
      </c>
      <c r="AI14" s="13">
        <f ca="1"/>
        <v>906.7889951297816</v>
      </c>
      <c r="AJ14" s="13">
        <f ca="1"/>
        <v>906.7889951297816</v>
      </c>
      <c r="AK14" s="13">
        <f ca="1"/>
        <v>906.7889951297816</v>
      </c>
      <c r="AL14" s="56">
        <f ca="1"/>
        <v>906.7889951297816</v>
      </c>
      <c r="AM14" s="10"/>
    </row>
    <row r="15" spans="2:39" ht="15">
      <c r="B15" s="10"/>
      <c r="C15" s="16" t="str">
        <f>zEO&amp;" Costs Savings"</f>
        <v>Operating Costs Savings</v>
      </c>
      <c r="D15" s="12" t="str">
        <f>_yearDol &amp; "$"</f>
        <v>2015$</v>
      </c>
      <c r="E15" s="13">
        <f t="array" aca="1" ref="E15:AL15" ca="1">tlccEmBC-tlccEmPol</f>
        <v>0</v>
      </c>
      <c r="F15" s="13">
        <f ca="1"/>
        <v>0</v>
      </c>
      <c r="G15" s="13">
        <f ca="1"/>
        <v>0</v>
      </c>
      <c r="H15" s="13">
        <f ca="1"/>
        <v>1790.545429282738</v>
      </c>
      <c r="I15" s="13">
        <f ca="1"/>
        <v>1801.8238929063318</v>
      </c>
      <c r="J15" s="13">
        <f ca="1"/>
        <v>1813.1749129765485</v>
      </c>
      <c r="K15" s="13">
        <f ca="1"/>
        <v>1824.5989673101685</v>
      </c>
      <c r="L15" s="13">
        <f ca="1"/>
        <v>1836.096536949537</v>
      </c>
      <c r="M15" s="13">
        <f ca="1"/>
        <v>1847.6681061848267</v>
      </c>
      <c r="N15" s="13">
        <f ca="1"/>
        <v>1859.3141625766057</v>
      </c>
      <c r="O15" s="13">
        <f ca="1"/>
        <v>1871.0351969784078</v>
      </c>
      <c r="P15" s="13">
        <f ca="1"/>
        <v>1882.8317035595664</v>
      </c>
      <c r="Q15" s="13">
        <f ca="1"/>
        <v>1894.7041798281753</v>
      </c>
      <c r="R15" s="13">
        <f ca="1"/>
        <v>1906.6531266542224</v>
      </c>
      <c r="S15" s="13">
        <f ca="1"/>
        <v>1918.6790482928627</v>
      </c>
      <c r="T15" s="13">
        <f ca="1"/>
        <v>1930.7824524079151</v>
      </c>
      <c r="U15" s="13">
        <f ca="1"/>
        <v>1942.9638500954206</v>
      </c>
      <c r="V15" s="13">
        <f ca="1"/>
        <v>1955.2237559075129</v>
      </c>
      <c r="W15" s="13">
        <f ca="1"/>
        <v>1967.5626878762887</v>
      </c>
      <c r="X15" s="13">
        <f ca="1"/>
        <v>1979.9811675380442</v>
      </c>
      <c r="Y15" s="13">
        <f ca="1"/>
        <v>1992.4797199574641</v>
      </c>
      <c r="Z15" s="13">
        <f ca="1"/>
        <v>2005.0588737521903</v>
      </c>
      <c r="AA15" s="13">
        <f ca="1"/>
        <v>2017.7191611174185</v>
      </c>
      <c r="AB15" s="13">
        <f ca="1"/>
        <v>2030.4611178507239</v>
      </c>
      <c r="AC15" s="13">
        <f ca="1"/>
        <v>2043.2852833770721</v>
      </c>
      <c r="AD15" s="13">
        <f ca="1"/>
        <v>2056.1922007740086</v>
      </c>
      <c r="AE15" s="13">
        <f ca="1"/>
        <v>2069.1824167969826</v>
      </c>
      <c r="AF15" s="13">
        <f ca="1"/>
        <v>2082.256481904913</v>
      </c>
      <c r="AG15" s="13">
        <f ca="1"/>
        <v>2095.4149502858891</v>
      </c>
      <c r="AH15" s="13">
        <f ca="1"/>
        <v>2108.6583798830707</v>
      </c>
      <c r="AI15" s="13">
        <f ca="1"/>
        <v>2121.987332420802</v>
      </c>
      <c r="AJ15" s="13">
        <f ca="1"/>
        <v>2135.4023734308157</v>
      </c>
      <c r="AK15" s="13">
        <f ca="1"/>
        <v>2148.9040722787922</v>
      </c>
      <c r="AL15" s="56">
        <f ca="1"/>
        <v>2162.4930021909004</v>
      </c>
      <c r="AM15" s="10"/>
    </row>
    <row r="16" spans="2:39" ht="15">
      <c r="B16" s="10"/>
      <c r="C16" s="16" t="s">
        <v>96</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5"/>
      <c r="AM16" s="10"/>
    </row>
    <row r="17" spans="2:39" ht="15">
      <c r="B17" s="10"/>
      <c r="C17" s="45" t="str">
        <f>INDEX(_fuel,1)</f>
        <v>Electricity</v>
      </c>
      <c r="D17" s="18" t="s">
        <v>83</v>
      </c>
      <c r="E17" s="49">
        <f t="array" aca="1" ref="E17:AL17" ca="1">tlccFmElecBC-tlccFmElecPol</f>
        <v>0</v>
      </c>
      <c r="F17" s="49">
        <f ca="1"/>
        <v>0</v>
      </c>
      <c r="G17" s="49">
        <f ca="1"/>
        <v>0</v>
      </c>
      <c r="H17" s="49">
        <f ca="1"/>
        <v>363.6837711903795</v>
      </c>
      <c r="I17" s="49">
        <f ca="1"/>
        <v>361.88330031241344</v>
      </c>
      <c r="J17" s="49">
        <f ca="1"/>
        <v>360.47853672570091</v>
      </c>
      <c r="K17" s="49">
        <f ca="1"/>
        <v>359.30493932552849</v>
      </c>
      <c r="L17" s="49">
        <f ca="1"/>
        <v>358.12367197932144</v>
      </c>
      <c r="M17" s="49">
        <f ca="1"/>
        <v>357.17111960233115</v>
      </c>
      <c r="N17" s="49">
        <f ca="1"/>
        <v>356.50399856618992</v>
      </c>
      <c r="O17" s="49">
        <f ca="1"/>
        <v>356.0100839490492</v>
      </c>
      <c r="P17" s="49">
        <f ca="1"/>
        <v>355.58964248469351</v>
      </c>
      <c r="Q17" s="49">
        <f ca="1"/>
        <v>355.27471515200978</v>
      </c>
      <c r="R17" s="49">
        <f ca="1"/>
        <v>355.030187721537</v>
      </c>
      <c r="S17" s="49">
        <f ca="1"/>
        <v>354.98298915618648</v>
      </c>
      <c r="T17" s="49">
        <f ca="1"/>
        <v>355.02557303601498</v>
      </c>
      <c r="U17" s="49">
        <f ca="1"/>
        <v>355.09772976578756</v>
      </c>
      <c r="V17" s="49">
        <f ca="1"/>
        <v>355.20772086070633</v>
      </c>
      <c r="W17" s="49">
        <f ca="1"/>
        <v>355.31305993943602</v>
      </c>
      <c r="X17" s="49">
        <f ca="1"/>
        <v>355.40035601482896</v>
      </c>
      <c r="Y17" s="49">
        <f ca="1"/>
        <v>355.45888549996175</v>
      </c>
      <c r="Z17" s="49">
        <f ca="1"/>
        <v>355.49923235911911</v>
      </c>
      <c r="AA17" s="49">
        <f ca="1"/>
        <v>355.49923235911911</v>
      </c>
      <c r="AB17" s="49">
        <f ca="1"/>
        <v>355.49923235911911</v>
      </c>
      <c r="AC17" s="49">
        <f ca="1"/>
        <v>355.49923235911911</v>
      </c>
      <c r="AD17" s="49">
        <f ca="1"/>
        <v>355.49923235911911</v>
      </c>
      <c r="AE17" s="49">
        <f ca="1"/>
        <v>355.49923235911911</v>
      </c>
      <c r="AF17" s="49">
        <f ca="1"/>
        <v>355.49923235911911</v>
      </c>
      <c r="AG17" s="49">
        <f ca="1"/>
        <v>355.49923235911911</v>
      </c>
      <c r="AH17" s="49">
        <f ca="1"/>
        <v>355.49923235911911</v>
      </c>
      <c r="AI17" s="49">
        <f ca="1"/>
        <v>355.49923235911911</v>
      </c>
      <c r="AJ17" s="49">
        <f ca="1"/>
        <v>355.49923235911911</v>
      </c>
      <c r="AK17" s="49">
        <f ca="1"/>
        <v>355.49923235911911</v>
      </c>
      <c r="AL17" s="50">
        <f ca="1"/>
        <v>355.49923235911911</v>
      </c>
      <c r="AM17" s="10"/>
    </row>
    <row r="18" spans="2:39" ht="15">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2:39" ht="15">
      <c r="B19" s="10"/>
      <c r="C19" s="22" t="s">
        <v>92</v>
      </c>
      <c r="D19" s="23"/>
      <c r="E19" s="24">
        <f t="array" ref="E19:AL19">_yS</f>
        <v>2019</v>
      </c>
      <c r="F19" s="24">
        <v>2020</v>
      </c>
      <c r="G19" s="24">
        <v>2021</v>
      </c>
      <c r="H19" s="24">
        <v>2022</v>
      </c>
      <c r="I19" s="24">
        <v>2023</v>
      </c>
      <c r="J19" s="24">
        <v>2024</v>
      </c>
      <c r="K19" s="24">
        <v>2025</v>
      </c>
      <c r="L19" s="24">
        <v>2026</v>
      </c>
      <c r="M19" s="24">
        <v>2027</v>
      </c>
      <c r="N19" s="24">
        <v>2028</v>
      </c>
      <c r="O19" s="24">
        <v>2029</v>
      </c>
      <c r="P19" s="24">
        <v>2030</v>
      </c>
      <c r="Q19" s="24">
        <v>2031</v>
      </c>
      <c r="R19" s="24">
        <v>2032</v>
      </c>
      <c r="S19" s="24">
        <v>2033</v>
      </c>
      <c r="T19" s="24">
        <v>2034</v>
      </c>
      <c r="U19" s="24">
        <v>2035</v>
      </c>
      <c r="V19" s="24">
        <v>2036</v>
      </c>
      <c r="W19" s="24">
        <v>2037</v>
      </c>
      <c r="X19" s="24">
        <v>2038</v>
      </c>
      <c r="Y19" s="24">
        <v>2039</v>
      </c>
      <c r="Z19" s="24">
        <v>2040</v>
      </c>
      <c r="AA19" s="24">
        <v>2041</v>
      </c>
      <c r="AB19" s="24">
        <v>2042</v>
      </c>
      <c r="AC19" s="24">
        <v>2043</v>
      </c>
      <c r="AD19" s="24">
        <v>2044</v>
      </c>
      <c r="AE19" s="24">
        <v>2045</v>
      </c>
      <c r="AF19" s="24">
        <v>2046</v>
      </c>
      <c r="AG19" s="24">
        <v>2047</v>
      </c>
      <c r="AH19" s="24">
        <v>2048</v>
      </c>
      <c r="AI19" s="24">
        <v>2049</v>
      </c>
      <c r="AJ19" s="24">
        <v>2050</v>
      </c>
      <c r="AK19" s="24">
        <v>2051</v>
      </c>
      <c r="AL19" s="25">
        <v>2052</v>
      </c>
      <c r="AM19" s="10"/>
    </row>
    <row r="20" spans="2:39" ht="15">
      <c r="B20" s="10"/>
      <c r="C20" s="27" t="str">
        <f>"No-Stds Case (CSL 0): " &amp; INDEX(_doName,7,1)</f>
        <v>No-Stds Case (CSL 0): EL 6</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5"/>
      <c r="AM20" s="10"/>
    </row>
    <row r="21" spans="2:39" ht="15">
      <c r="B21" s="10"/>
      <c r="C21" s="16" t="s">
        <v>69</v>
      </c>
      <c r="D21" s="12" t="str">
        <f>_yearDol &amp; "$"</f>
        <v>2015$</v>
      </c>
      <c r="E21" s="13">
        <f>SUMPRODUCT(INDEX(bcEff,,1),INDEX(tlccQubc,,1))</f>
        <v>2917.0378578287273</v>
      </c>
      <c r="F21" s="13">
        <f>SUMPRODUCT(INDEX(bcEff,,2),INDEX(tlccQubc,,2))</f>
        <v>2917.0378578287273</v>
      </c>
      <c r="G21" s="13">
        <f>SUMPRODUCT(INDEX(bcEff,,3),INDEX(tlccQubc,,3))</f>
        <v>2917.0378578287273</v>
      </c>
      <c r="H21" s="13">
        <f>SUMPRODUCT(INDEX(bcEff,,4),INDEX(tlccQubc,,4))</f>
        <v>2917.0378578287273</v>
      </c>
      <c r="I21" s="13">
        <f>SUMPRODUCT(INDEX(bcEff,,5),INDEX(tlccQubc,,5))</f>
        <v>2917.0378578287273</v>
      </c>
      <c r="J21" s="13">
        <f>SUMPRODUCT(INDEX(bcEff,,6),INDEX(tlccQubc,,6))</f>
        <v>2917.0378578287273</v>
      </c>
      <c r="K21" s="13">
        <f>SUMPRODUCT(INDEX(bcEff,,7),INDEX(tlccQubc,,7))</f>
        <v>2917.0378578287273</v>
      </c>
      <c r="L21" s="13">
        <f>SUMPRODUCT(INDEX(bcEff,,8),INDEX(tlccQubc,,8))</f>
        <v>2917.0378578287273</v>
      </c>
      <c r="M21" s="13">
        <f>SUMPRODUCT(INDEX(bcEff,,9),INDEX(tlccQubc,,9))</f>
        <v>2917.0378578287273</v>
      </c>
      <c r="N21" s="13">
        <f>SUMPRODUCT(INDEX(bcEff,,10),INDEX(tlccQubc,,10))</f>
        <v>2917.0378578287273</v>
      </c>
      <c r="O21" s="13">
        <f>SUMPRODUCT(INDEX(bcEff,,11),INDEX(tlccQubc,,11))</f>
        <v>2917.0378578287273</v>
      </c>
      <c r="P21" s="13">
        <f>SUMPRODUCT(INDEX(bcEff,,12),INDEX(tlccQubc,,12))</f>
        <v>2917.0378578287273</v>
      </c>
      <c r="Q21" s="13">
        <f>SUMPRODUCT(INDEX(bcEff,,13),INDEX(tlccQubc,,13))</f>
        <v>2917.0378578287273</v>
      </c>
      <c r="R21" s="13">
        <f>SUMPRODUCT(INDEX(bcEff,,14),INDEX(tlccQubc,,14))</f>
        <v>2917.0378578287273</v>
      </c>
      <c r="S21" s="13">
        <f>SUMPRODUCT(INDEX(bcEff,,15),INDEX(tlccQubc,,15))</f>
        <v>2917.0378578287273</v>
      </c>
      <c r="T21" s="13">
        <f>SUMPRODUCT(INDEX(bcEff,,16),INDEX(tlccQubc,,16))</f>
        <v>2917.0378578287273</v>
      </c>
      <c r="U21" s="13">
        <f>SUMPRODUCT(INDEX(bcEff,,17),INDEX(tlccQubc,,17))</f>
        <v>2917.0378578287273</v>
      </c>
      <c r="V21" s="13">
        <f>SUMPRODUCT(INDEX(bcEff,,18),INDEX(tlccQubc,,18))</f>
        <v>2917.0378578287273</v>
      </c>
      <c r="W21" s="13">
        <f>SUMPRODUCT(INDEX(bcEff,,19),INDEX(tlccQubc,,19))</f>
        <v>2917.0378578287273</v>
      </c>
      <c r="X21" s="13">
        <f>SUMPRODUCT(INDEX(bcEff,,20),INDEX(tlccQubc,,20))</f>
        <v>2917.0378578287273</v>
      </c>
      <c r="Y21" s="13">
        <f>SUMPRODUCT(INDEX(bcEff,,21),INDEX(tlccQubc,,21))</f>
        <v>2917.0378578287273</v>
      </c>
      <c r="Z21" s="13">
        <f>SUMPRODUCT(INDEX(bcEff,,22),INDEX(tlccQubc,,22))</f>
        <v>2917.0378578287273</v>
      </c>
      <c r="AA21" s="13">
        <f>SUMPRODUCT(INDEX(bcEff,,23),INDEX(tlccQubc,,23))</f>
        <v>2917.0378578287273</v>
      </c>
      <c r="AB21" s="13">
        <f>SUMPRODUCT(INDEX(bcEff,,24),INDEX(tlccQubc,,24))</f>
        <v>2917.0378578287273</v>
      </c>
      <c r="AC21" s="13">
        <f>SUMPRODUCT(INDEX(bcEff,,25),INDEX(tlccQubc,,25))</f>
        <v>2917.0378578287273</v>
      </c>
      <c r="AD21" s="13">
        <f>SUMPRODUCT(INDEX(bcEff,,26),INDEX(tlccQubc,,26))</f>
        <v>2917.0378578287273</v>
      </c>
      <c r="AE21" s="13">
        <f>SUMPRODUCT(INDEX(bcEff,,27),INDEX(tlccQubc,,27))</f>
        <v>2917.0378578287273</v>
      </c>
      <c r="AF21" s="13">
        <f>SUMPRODUCT(INDEX(bcEff,,28),INDEX(tlccQubc,,28))</f>
        <v>2917.0378578287273</v>
      </c>
      <c r="AG21" s="13">
        <f>SUMPRODUCT(INDEX(bcEff,,29),INDEX(tlccQubc,,29))</f>
        <v>2917.0378578287273</v>
      </c>
      <c r="AH21" s="13">
        <f>SUMPRODUCT(INDEX(bcEff,,30),INDEX(tlccQubc,,30))</f>
        <v>2917.0378578287273</v>
      </c>
      <c r="AI21" s="13">
        <f>SUMPRODUCT(INDEX(bcEff,,31),INDEX(tlccQubc,,31))</f>
        <v>2917.0378578287273</v>
      </c>
      <c r="AJ21" s="13">
        <f>SUMPRODUCT(INDEX(bcEff,,32),INDEX(tlccQubc,,32))</f>
        <v>2917.0378578287273</v>
      </c>
      <c r="AK21" s="13">
        <f>SUMPRODUCT(INDEX(bcEff,,33),INDEX(tlccQubc,,33))</f>
        <v>2917.0378578287273</v>
      </c>
      <c r="AL21" s="56">
        <f>SUMPRODUCT(INDEX(bcEff,,34),INDEX(tlccQubc,,34))</f>
        <v>2917.0378578287273</v>
      </c>
      <c r="AM21" s="10"/>
    </row>
    <row r="22" spans="2:39" ht="15">
      <c r="B22" s="10"/>
      <c r="C22" s="16" t="str">
        <f>zEO&amp;" Costs"</f>
        <v>Operating Costs</v>
      </c>
      <c r="D22" s="12" t="str">
        <f>_yearDol &amp; "$"</f>
        <v>2015$</v>
      </c>
      <c r="E22" s="13">
        <f ca="1">SUMPRODUCT(INDEX(bcEff,,1),INDEX(tlccEubc,,1))</f>
        <v>10955.368831849015</v>
      </c>
      <c r="F22" s="13">
        <f ca="1">SUMPRODUCT(INDEX(bcEff,,2),INDEX(tlccEubc,,2))</f>
        <v>11044.263432802649</v>
      </c>
      <c r="G22" s="13">
        <f ca="1">SUMPRODUCT(INDEX(bcEff,,3),INDEX(tlccEubc,,3))</f>
        <v>11130.495020343253</v>
      </c>
      <c r="H22" s="13">
        <f ca="1">SUMPRODUCT(INDEX(bcEff,,4),INDEX(tlccEubc,,4))</f>
        <v>11208.300357466662</v>
      </c>
      <c r="I22" s="13">
        <f ca="1">SUMPRODUCT(INDEX(bcEff,,5),INDEX(tlccEubc,,5))</f>
        <v>11278.900301928637</v>
      </c>
      <c r="J22" s="13">
        <f ca="1">SUMPRODUCT(INDEX(bcEff,,6),INDEX(tlccEubc,,6))</f>
        <v>11349.954428916953</v>
      </c>
      <c r="K22" s="13">
        <f ca="1">SUMPRODUCT(INDEX(bcEff,,7),INDEX(tlccEubc,,7))</f>
        <v>11421.465729427529</v>
      </c>
      <c r="L22" s="13">
        <f ca="1">SUMPRODUCT(INDEX(bcEff,,8),INDEX(tlccEubc,,8))</f>
        <v>11493.437214647252</v>
      </c>
      <c r="M22" s="13">
        <f ca="1">SUMPRODUCT(INDEX(bcEff,,9),INDEX(tlccEubc,,9))</f>
        <v>11565.871916093716</v>
      </c>
      <c r="N22" s="13">
        <f ca="1">SUMPRODUCT(INDEX(bcEff,,10),INDEX(tlccEubc,,10))</f>
        <v>11638.772885755985</v>
      </c>
      <c r="O22" s="13">
        <f ca="1">SUMPRODUCT(INDEX(bcEff,,11),INDEX(tlccEubc,,11))</f>
        <v>11712.143196236293</v>
      </c>
      <c r="P22" s="13">
        <f ca="1">SUMPRODUCT(INDEX(bcEff,,12),INDEX(tlccEubc,,12))</f>
        <v>11785.985940892826</v>
      </c>
      <c r="Q22" s="13">
        <f ca="1">SUMPRODUCT(INDEX(bcEff,,13),INDEX(tlccEubc,,13))</f>
        <v>11860.304233983423</v>
      </c>
      <c r="R22" s="13">
        <f ca="1">SUMPRODUCT(INDEX(bcEff,,14),INDEX(tlccEubc,,14))</f>
        <v>11935.101210810404</v>
      </c>
      <c r="S22" s="13">
        <f ca="1">SUMPRODUCT(INDEX(bcEff,,15),INDEX(tlccEubc,,15))</f>
        <v>12010.380027866329</v>
      </c>
      <c r="T22" s="13">
        <f ca="1">SUMPRODUCT(INDEX(bcEff,,16),INDEX(tlccEubc,,16))</f>
        <v>12086.143862980849</v>
      </c>
      <c r="U22" s="13">
        <f ca="1">SUMPRODUCT(INDEX(bcEff,,17),INDEX(tlccEubc,,17))</f>
        <v>12162.395915468591</v>
      </c>
      <c r="V22" s="13">
        <f ca="1">SUMPRODUCT(INDEX(bcEff,,18),INDEX(tlccEubc,,18))</f>
        <v>12239.139406278056</v>
      </c>
      <c r="W22" s="13">
        <f ca="1">SUMPRODUCT(INDEX(bcEff,,19),INDEX(tlccEubc,,19))</f>
        <v>12316.377578141624</v>
      </c>
      <c r="X22" s="13">
        <f ca="1">SUMPRODUCT(INDEX(bcEff,,20),INDEX(tlccEubc,,20))</f>
        <v>12394.113695726612</v>
      </c>
      <c r="Y22" s="13">
        <f ca="1">SUMPRODUCT(INDEX(bcEff,,21),INDEX(tlccEubc,,21))</f>
        <v>12472.35104578736</v>
      </c>
      <c r="Z22" s="13">
        <f ca="1">SUMPRODUCT(INDEX(bcEff,,22),INDEX(tlccEubc,,22))</f>
        <v>12551.092937318457</v>
      </c>
      <c r="AA22" s="13">
        <f ca="1">SUMPRODUCT(INDEX(bcEff,,23),INDEX(tlccEubc,,23))</f>
        <v>12630.342701709042</v>
      </c>
      <c r="AB22" s="13">
        <f ca="1">SUMPRODUCT(INDEX(bcEff,,24),INDEX(tlccEubc,,24))</f>
        <v>12710.103692898148</v>
      </c>
      <c r="AC22" s="13">
        <f ca="1">SUMPRODUCT(INDEX(bcEff,,25),INDEX(tlccEubc,,25))</f>
        <v>12790.379287531228</v>
      </c>
      <c r="AD22" s="13">
        <f ca="1">SUMPRODUCT(INDEX(bcEff,,26),INDEX(tlccEubc,,26))</f>
        <v>12871.17288511775</v>
      </c>
      <c r="AE22" s="13">
        <f ca="1">SUMPRODUCT(INDEX(bcEff,,27),INDEX(tlccEubc,,27))</f>
        <v>12952.487908189913</v>
      </c>
      <c r="AF22" s="13">
        <f ca="1">SUMPRODUCT(INDEX(bcEff,,28),INDEX(tlccEubc,,28))</f>
        <v>13034.327802462491</v>
      </c>
      <c r="AG22" s="13">
        <f ca="1">SUMPRODUCT(INDEX(bcEff,,29),INDEX(tlccEubc,,29))</f>
        <v>13116.696036993833</v>
      </c>
      <c r="AH22" s="13">
        <f ca="1">SUMPRODUCT(INDEX(bcEff,,30),INDEX(tlccEubc,,30))</f>
        <v>13199.596104347984</v>
      </c>
      <c r="AI22" s="13">
        <f ca="1">SUMPRODUCT(INDEX(bcEff,,31),INDEX(tlccEubc,,31))</f>
        <v>13283.031520757984</v>
      </c>
      <c r="AJ22" s="13">
        <f ca="1">SUMPRODUCT(INDEX(bcEff,,32),INDEX(tlccEubc,,32))</f>
        <v>13367.0058262903</v>
      </c>
      <c r="AK22" s="13">
        <f ca="1">SUMPRODUCT(INDEX(bcEff,,33),INDEX(tlccEubc,,33))</f>
        <v>13451.522585010443</v>
      </c>
      <c r="AL22" s="56">
        <f ca="1">SUMPRODUCT(INDEX(bcEff,,34),INDEX(tlccEubc,,34))</f>
        <v>13536.585385149772</v>
      </c>
      <c r="AM22" s="10"/>
    </row>
    <row r="23" spans="2:39" ht="15">
      <c r="B23" s="10"/>
      <c r="C23" s="16" t="s">
        <v>79</v>
      </c>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5"/>
      <c r="AM23" s="10"/>
    </row>
    <row r="24" spans="2:39" ht="15">
      <c r="B24" s="10"/>
      <c r="C24" s="28" t="str">
        <f>INDEX(_fuel,1)</f>
        <v>Electricity</v>
      </c>
      <c r="D24" s="12" t="s">
        <v>83</v>
      </c>
      <c r="E24" s="39">
        <f ca="1">SUMPRODUCT(INDEX(bcEff,,1),INDEX(tlccFubcElec,,1))</f>
        <v>2318.2923674517574</v>
      </c>
      <c r="F24" s="39">
        <f ca="1">SUMPRODUCT(INDEX(bcEff,,2),INDEX(tlccFubcElec,,2))</f>
        <v>2302.9564256915778</v>
      </c>
      <c r="G24" s="39">
        <f ca="1">SUMPRODUCT(INDEX(bcEff,,3),INDEX(tlccFubcElec,,3))</f>
        <v>2289.4209760968083</v>
      </c>
      <c r="H24" s="39">
        <f ca="1">SUMPRODUCT(INDEX(bcEff,,4),INDEX(tlccFubcElec,,4))</f>
        <v>2276.5560013022596</v>
      </c>
      <c r="I24" s="39">
        <f ca="1">SUMPRODUCT(INDEX(bcEff,,5),INDEX(tlccFubcElec,,5))</f>
        <v>2265.285570485436</v>
      </c>
      <c r="J24" s="39">
        <f ca="1">SUMPRODUCT(INDEX(bcEff,,6),INDEX(tlccFubcElec,,6))</f>
        <v>2256.4921537121977</v>
      </c>
      <c r="K24" s="39">
        <f ca="1">SUMPRODUCT(INDEX(bcEff,,7),INDEX(tlccFubcElec,,7))</f>
        <v>2249.1457709034989</v>
      </c>
      <c r="L24" s="39">
        <f ca="1">SUMPRODUCT(INDEX(bcEff,,8),INDEX(tlccFubcElec,,8))</f>
        <v>2241.7513764345099</v>
      </c>
      <c r="M24" s="39">
        <f ca="1">SUMPRODUCT(INDEX(bcEff,,9),INDEX(tlccFubcElec,,9))</f>
        <v>2235.7886720133201</v>
      </c>
      <c r="N24" s="39">
        <f ca="1">SUMPRODUCT(INDEX(bcEff,,10),INDEX(tlccFubcElec,,10))</f>
        <v>2231.6126858442049</v>
      </c>
      <c r="O24" s="39">
        <f ca="1">SUMPRODUCT(INDEX(bcEff,,11),INDEX(tlccFubcElec,,11))</f>
        <v>2228.5209221339305</v>
      </c>
      <c r="P24" s="39">
        <f ca="1">SUMPRODUCT(INDEX(bcEff,,12),INDEX(tlccFubcElec,,12))</f>
        <v>2225.8890792674138</v>
      </c>
      <c r="Q24" s="39">
        <f ca="1">SUMPRODUCT(INDEX(bcEff,,13),INDEX(tlccFubcElec,,13))</f>
        <v>2223.9177245741635</v>
      </c>
      <c r="R24" s="39">
        <f ca="1">SUMPRODUCT(INDEX(bcEff,,14),INDEX(tlccFubcElec,,14))</f>
        <v>2222.3870530583486</v>
      </c>
      <c r="S24" s="39">
        <f ca="1">SUMPRODUCT(INDEX(bcEff,,15),INDEX(tlccFubcElec,,15))</f>
        <v>2222.0916035890173</v>
      </c>
      <c r="T24" s="39">
        <f ca="1">SUMPRODUCT(INDEX(bcEff,,16),INDEX(tlccFubcElec,,16))</f>
        <v>2222.3581664517633</v>
      </c>
      <c r="U24" s="39">
        <f ca="1">SUMPRODUCT(INDEX(bcEff,,17),INDEX(tlccFubcElec,,17))</f>
        <v>2222.8098468653825</v>
      </c>
      <c r="V24" s="39">
        <f ca="1">SUMPRODUCT(INDEX(bcEff,,18),INDEX(tlccFubcElec,,18))</f>
        <v>2223.4983595433287</v>
      </c>
      <c r="W24" s="39">
        <f ca="1">SUMPRODUCT(INDEX(bcEff,,19),INDEX(tlccFubcElec,,19))</f>
        <v>2224.1577519354305</v>
      </c>
      <c r="X24" s="39">
        <f ca="1">SUMPRODUCT(INDEX(bcEff,,20),INDEX(tlccFubcElec,,20))</f>
        <v>2224.7042003064275</v>
      </c>
      <c r="Y24" s="39">
        <f ca="1">SUMPRODUCT(INDEX(bcEff,,21),INDEX(tlccFubcElec,,21))</f>
        <v>2225.0705780807157</v>
      </c>
      <c r="Z24" s="39">
        <f ca="1">SUMPRODUCT(INDEX(bcEff,,22),INDEX(tlccFubcElec,,22))</f>
        <v>2225.323137836262</v>
      </c>
      <c r="AA24" s="39">
        <f ca="1">SUMPRODUCT(INDEX(bcEff,,23),INDEX(tlccFubcElec,,23))</f>
        <v>2225.323137836262</v>
      </c>
      <c r="AB24" s="39">
        <f ca="1">SUMPRODUCT(INDEX(bcEff,,24),INDEX(tlccFubcElec,,24))</f>
        <v>2225.323137836262</v>
      </c>
      <c r="AC24" s="39">
        <f ca="1">SUMPRODUCT(INDEX(bcEff,,25),INDEX(tlccFubcElec,,25))</f>
        <v>2225.323137836262</v>
      </c>
      <c r="AD24" s="39">
        <f ca="1">SUMPRODUCT(INDEX(bcEff,,26),INDEX(tlccFubcElec,,26))</f>
        <v>2225.323137836262</v>
      </c>
      <c r="AE24" s="39">
        <f ca="1">SUMPRODUCT(INDEX(bcEff,,27),INDEX(tlccFubcElec,,27))</f>
        <v>2225.323137836262</v>
      </c>
      <c r="AF24" s="39">
        <f ca="1">SUMPRODUCT(INDEX(bcEff,,28),INDEX(tlccFubcElec,,28))</f>
        <v>2225.323137836262</v>
      </c>
      <c r="AG24" s="39">
        <f ca="1">SUMPRODUCT(INDEX(bcEff,,29),INDEX(tlccFubcElec,,29))</f>
        <v>2225.323137836262</v>
      </c>
      <c r="AH24" s="39">
        <f ca="1">SUMPRODUCT(INDEX(bcEff,,30),INDEX(tlccFubcElec,,30))</f>
        <v>2225.323137836262</v>
      </c>
      <c r="AI24" s="39">
        <f ca="1">SUMPRODUCT(INDEX(bcEff,,31),INDEX(tlccFubcElec,,31))</f>
        <v>2225.323137836262</v>
      </c>
      <c r="AJ24" s="39">
        <f ca="1">SUMPRODUCT(INDEX(bcEff,,32),INDEX(tlccFubcElec,,32))</f>
        <v>2225.323137836262</v>
      </c>
      <c r="AK24" s="39">
        <f ca="1">SUMPRODUCT(INDEX(bcEff,,33),INDEX(tlccFubcElec,,33))</f>
        <v>2225.323137836262</v>
      </c>
      <c r="AL24" s="40">
        <f ca="1">SUMPRODUCT(INDEX(bcEff,,34),INDEX(tlccFubcElec,,34))</f>
        <v>2225.323137836262</v>
      </c>
      <c r="AM24" s="10"/>
    </row>
    <row r="25" spans="2:39" ht="15">
      <c r="B25" s="10"/>
      <c r="C25" s="41" t="str">
        <f ca="1">"Stds Case (CSL " &amp; stdCSL &amp; "): " &amp; INDEX(_doName,7,stdCSL+1)</f>
        <v>Stds Case (CSL 5): EL 5</v>
      </c>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3"/>
      <c r="AM25" s="10"/>
    </row>
    <row r="26" spans="2:39" ht="15">
      <c r="B26" s="10"/>
      <c r="C26" s="16" t="s">
        <v>69</v>
      </c>
      <c r="D26" s="12" t="str">
        <f>_yearDol &amp; "$"</f>
        <v>2015$</v>
      </c>
      <c r="E26" s="13">
        <f>SUMPRODUCT(INDEX(polEff,,1),INDEX(IF($E$19&lt;yearC,tlccQubc,tlccQupol),,1))</f>
        <v>2917.0378578287273</v>
      </c>
      <c r="F26" s="13">
        <f>SUMPRODUCT(INDEX(polEff,,2),INDEX(IF($F$19&lt;yearC,tlccQubc,tlccQupol),,2))</f>
        <v>2917.0378578287273</v>
      </c>
      <c r="G26" s="13">
        <f>SUMPRODUCT(INDEX(polEff,,3),INDEX(IF($G$19&lt;yearC,tlccQubc,tlccQupol),,3))</f>
        <v>2917.0378578287273</v>
      </c>
      <c r="H26" s="13">
        <f ca="1">SUMPRODUCT(INDEX(polEff,,4),INDEX(IF($H$19&lt;yearC,tlccQubc,tlccQupol),,4))</f>
        <v>3823.8268529585089</v>
      </c>
      <c r="I26" s="13">
        <f ca="1">SUMPRODUCT(INDEX(polEff,,5),INDEX(IF($I$19&lt;yearC,tlccQubc,tlccQupol),,5))</f>
        <v>3823.8268529585089</v>
      </c>
      <c r="J26" s="13">
        <f ca="1">SUMPRODUCT(INDEX(polEff,,6),INDEX(tlccQupol,,6))</f>
        <v>3823.8268529585089</v>
      </c>
      <c r="K26" s="13">
        <f ca="1">SUMPRODUCT(INDEX(polEff,,7),INDEX(tlccQupol,,7))</f>
        <v>3823.8268529585089</v>
      </c>
      <c r="L26" s="13">
        <f ca="1">SUMPRODUCT(INDEX(polEff,,8),INDEX(tlccQupol,,8))</f>
        <v>3823.8268529585089</v>
      </c>
      <c r="M26" s="13">
        <f ca="1">SUMPRODUCT(INDEX(polEff,,9),INDEX(tlccQupol,,9))</f>
        <v>3823.8268529585089</v>
      </c>
      <c r="N26" s="13">
        <f ca="1">SUMPRODUCT(INDEX(polEff,,10),INDEX(tlccQupol,,10))</f>
        <v>3823.8268529585089</v>
      </c>
      <c r="O26" s="13">
        <f ca="1">SUMPRODUCT(INDEX(polEff,,11),INDEX(tlccQupol,,11))</f>
        <v>3823.8268529585089</v>
      </c>
      <c r="P26" s="13">
        <f ca="1">SUMPRODUCT(INDEX(polEff,,12),INDEX(tlccQupol,,12))</f>
        <v>3823.8268529585089</v>
      </c>
      <c r="Q26" s="13">
        <f ca="1">SUMPRODUCT(INDEX(polEff,,13),INDEX(tlccQupol,,13))</f>
        <v>3823.8268529585089</v>
      </c>
      <c r="R26" s="13">
        <f ca="1">SUMPRODUCT(INDEX(polEff,,14),INDEX(tlccQupol,,14))</f>
        <v>3823.8268529585089</v>
      </c>
      <c r="S26" s="13">
        <f ca="1">SUMPRODUCT(INDEX(polEff,,15),INDEX(tlccQupol,,15))</f>
        <v>3823.8268529585089</v>
      </c>
      <c r="T26" s="13">
        <f ca="1">SUMPRODUCT(INDEX(polEff,,16),INDEX(tlccQupol,,16))</f>
        <v>3823.8268529585089</v>
      </c>
      <c r="U26" s="13">
        <f ca="1">SUMPRODUCT(INDEX(polEff,,17),INDEX(tlccQupol,,17))</f>
        <v>3823.8268529585089</v>
      </c>
      <c r="V26" s="13">
        <f ca="1">SUMPRODUCT(INDEX(polEff,,18),INDEX(tlccQupol,,18))</f>
        <v>3823.8268529585089</v>
      </c>
      <c r="W26" s="13">
        <f ca="1">SUMPRODUCT(INDEX(polEff,,19),INDEX(tlccQupol,,19))</f>
        <v>3823.8268529585089</v>
      </c>
      <c r="X26" s="13">
        <f ca="1">SUMPRODUCT(INDEX(polEff,,20),INDEX(tlccQupol,,20))</f>
        <v>3823.8268529585089</v>
      </c>
      <c r="Y26" s="13">
        <f ca="1">SUMPRODUCT(INDEX(polEff,,21),INDEX(tlccQupol,,21))</f>
        <v>3823.8268529585089</v>
      </c>
      <c r="Z26" s="13">
        <f ca="1">SUMPRODUCT(INDEX(polEff,,22),INDEX(tlccQupol,,22))</f>
        <v>3823.8268529585089</v>
      </c>
      <c r="AA26" s="13">
        <f ca="1">SUMPRODUCT(INDEX(polEff,,23),INDEX(tlccQupol,,23))</f>
        <v>3823.8268529585089</v>
      </c>
      <c r="AB26" s="13">
        <f ca="1">SUMPRODUCT(INDEX(polEff,,24),INDEX(tlccQupol,,24))</f>
        <v>3823.8268529585089</v>
      </c>
      <c r="AC26" s="13">
        <f ca="1">SUMPRODUCT(INDEX(polEff,,25),INDEX(tlccQupol,,25))</f>
        <v>3823.8268529585089</v>
      </c>
      <c r="AD26" s="13">
        <f ca="1">SUMPRODUCT(INDEX(polEff,,26),INDEX(tlccQupol,,26))</f>
        <v>3823.8268529585089</v>
      </c>
      <c r="AE26" s="13">
        <f ca="1">SUMPRODUCT(INDEX(polEff,,27),INDEX(tlccQupol,,27))</f>
        <v>3823.8268529585089</v>
      </c>
      <c r="AF26" s="13">
        <f ca="1">SUMPRODUCT(INDEX(polEff,,28),INDEX(tlccQupol,,28))</f>
        <v>3823.8268529585089</v>
      </c>
      <c r="AG26" s="13">
        <f ca="1">SUMPRODUCT(INDEX(polEff,,29),INDEX(tlccQupol,,29))</f>
        <v>3823.8268529585089</v>
      </c>
      <c r="AH26" s="13">
        <f ca="1">SUMPRODUCT(INDEX(polEff,,30),INDEX(tlccQupol,,30))</f>
        <v>3823.8268529585089</v>
      </c>
      <c r="AI26" s="13">
        <f ca="1">SUMPRODUCT(INDEX(polEff,,31),INDEX(tlccQupol,,31))</f>
        <v>3823.8268529585089</v>
      </c>
      <c r="AJ26" s="13">
        <f ca="1">SUMPRODUCT(INDEX(polEff,,32),INDEX(tlccQupol,,32))</f>
        <v>3823.8268529585089</v>
      </c>
      <c r="AK26" s="13">
        <f ca="1">SUMPRODUCT(INDEX(polEff,,33),INDEX(tlccQupol,,33))</f>
        <v>3823.8268529585089</v>
      </c>
      <c r="AL26" s="56">
        <f ca="1">SUMPRODUCT(INDEX(polEff,,34),INDEX(tlccQupol,,34))</f>
        <v>3823.8268529585089</v>
      </c>
      <c r="AM26" s="10"/>
    </row>
    <row r="27" spans="2:39" ht="15">
      <c r="B27" s="10"/>
      <c r="C27" s="16" t="str">
        <f>zEO&amp;" Costs"</f>
        <v>Operating Costs</v>
      </c>
      <c r="D27" s="12" t="str">
        <f>_yearDol &amp; "$"</f>
        <v>2015$</v>
      </c>
      <c r="E27" s="13">
        <f ca="1">SUMPRODUCT(INDEX(polEff,,1),INDEX(IF($E$19&lt;yearC,tlccEubc,tlccEupol),,1))</f>
        <v>10955.368831849015</v>
      </c>
      <c r="F27" s="13">
        <f ca="1">SUMPRODUCT(INDEX(polEff,,2),INDEX(IF($F$19&lt;yearC,tlccEubc,tlccEupol),,2))</f>
        <v>11044.263432802649</v>
      </c>
      <c r="G27" s="13">
        <f ca="1">SUMPRODUCT(INDEX(polEff,,3),INDEX(IF($G$19&lt;yearC,tlccEubc,tlccEupol),,3))</f>
        <v>11130.495020343253</v>
      </c>
      <c r="H27" s="13">
        <f ca="1">SUMPRODUCT(INDEX(polEff,,4),INDEX(IF($H$19&lt;yearC,tlccEubc,tlccEupol),,4))</f>
        <v>9417.7549281839238</v>
      </c>
      <c r="I27" s="13">
        <f ca="1">SUMPRODUCT(INDEX(polEff,,5),INDEX(IF($I$19&lt;yearC,tlccEubc,tlccEupol),,5))</f>
        <v>9477.0764090223056</v>
      </c>
      <c r="J27" s="13">
        <f ca="1">SUMPRODUCT(INDEX(polEff,,6),INDEX(tlccEupol,,6))</f>
        <v>9536.779515940405</v>
      </c>
      <c r="K27" s="13">
        <f ca="1">SUMPRODUCT(INDEX(polEff,,7),INDEX(tlccEupol,,7))</f>
        <v>9596.8667621173608</v>
      </c>
      <c r="L27" s="13">
        <f ca="1">SUMPRODUCT(INDEX(polEff,,8),INDEX(tlccEupol,,8))</f>
        <v>9657.3406776977154</v>
      </c>
      <c r="M27" s="13">
        <f ca="1">SUMPRODUCT(INDEX(polEff,,9),INDEX(tlccEupol,,9))</f>
        <v>9718.2038099088895</v>
      </c>
      <c r="N27" s="13">
        <f ca="1">SUMPRODUCT(INDEX(polEff,,10),INDEX(tlccEupol,,10))</f>
        <v>9779.4587231793794</v>
      </c>
      <c r="O27" s="13">
        <f ca="1">SUMPRODUCT(INDEX(polEff,,11),INDEX(tlccEupol,,11))</f>
        <v>9841.1079992578852</v>
      </c>
      <c r="P27" s="13">
        <f ca="1">SUMPRODUCT(INDEX(polEff,,12),INDEX(tlccEupol,,12))</f>
        <v>9903.1542373332595</v>
      </c>
      <c r="Q27" s="13">
        <f ca="1">SUMPRODUCT(INDEX(polEff,,13),INDEX(tlccEupol,,13))</f>
        <v>9965.6000541552476</v>
      </c>
      <c r="R27" s="13">
        <f ca="1">SUMPRODUCT(INDEX(polEff,,14),INDEX(tlccEupol,,14))</f>
        <v>10028.448084156182</v>
      </c>
      <c r="S27" s="13">
        <f ca="1">SUMPRODUCT(INDEX(polEff,,15),INDEX(tlccEupol,,15))</f>
        <v>10091.700979573467</v>
      </c>
      <c r="T27" s="13">
        <f ca="1">SUMPRODUCT(INDEX(polEff,,16),INDEX(tlccEupol,,16))</f>
        <v>10155.361410572934</v>
      </c>
      <c r="U27" s="13">
        <f ca="1">SUMPRODUCT(INDEX(polEff,,17),INDEX(tlccEupol,,17))</f>
        <v>10219.43206537317</v>
      </c>
      <c r="V27" s="13">
        <f ca="1">SUMPRODUCT(INDEX(polEff,,18),INDEX(tlccEupol,,18))</f>
        <v>10283.915650370544</v>
      </c>
      <c r="W27" s="13">
        <f ca="1">SUMPRODUCT(INDEX(polEff,,19),INDEX(tlccEupol,,19))</f>
        <v>10348.814890265336</v>
      </c>
      <c r="X27" s="13">
        <f ca="1">SUMPRODUCT(INDEX(polEff,,20),INDEX(tlccEupol,,20))</f>
        <v>10414.132528188567</v>
      </c>
      <c r="Y27" s="13">
        <f ca="1">SUMPRODUCT(INDEX(polEff,,21),INDEX(tlccEupol,,21))</f>
        <v>10479.871325829896</v>
      </c>
      <c r="Z27" s="13">
        <f ca="1">SUMPRODUCT(INDEX(polEff,,22),INDEX(tlccEupol,,22))</f>
        <v>10546.034063566267</v>
      </c>
      <c r="AA27" s="13">
        <f ca="1">SUMPRODUCT(INDEX(polEff,,23),INDEX(tlccEupol,,23))</f>
        <v>10612.623540591623</v>
      </c>
      <c r="AB27" s="13">
        <f ca="1">SUMPRODUCT(INDEX(polEff,,24),INDEX(tlccEupol,,24))</f>
        <v>10679.642575047425</v>
      </c>
      <c r="AC27" s="13">
        <f ca="1">SUMPRODUCT(INDEX(polEff,,25),INDEX(tlccEupol,,25))</f>
        <v>10747.094004154156</v>
      </c>
      <c r="AD27" s="13">
        <f ca="1">SUMPRODUCT(INDEX(polEff,,26),INDEX(tlccEupol,,26))</f>
        <v>10814.980684343742</v>
      </c>
      <c r="AE27" s="13">
        <f ca="1">SUMPRODUCT(INDEX(polEff,,27),INDEX(tlccEupol,,27))</f>
        <v>10883.30549139293</v>
      </c>
      <c r="AF27" s="13">
        <f ca="1">SUMPRODUCT(INDEX(polEff,,28),INDEX(tlccEupol,,28))</f>
        <v>10952.071320557578</v>
      </c>
      <c r="AG27" s="13">
        <f ca="1">SUMPRODUCT(INDEX(polEff,,29),INDEX(tlccEupol,,29))</f>
        <v>11021.281086707944</v>
      </c>
      <c r="AH27" s="13">
        <f ca="1">SUMPRODUCT(INDEX(polEff,,30),INDEX(tlccEupol,,30))</f>
        <v>11090.937724464913</v>
      </c>
      <c r="AI27" s="13">
        <f ca="1">SUMPRODUCT(INDEX(polEff,,31),INDEX(tlccEupol,,31))</f>
        <v>11161.044188337182</v>
      </c>
      <c r="AJ27" s="13">
        <f ca="1">SUMPRODUCT(INDEX(polEff,,32),INDEX(tlccEupol,,32))</f>
        <v>11231.603452859485</v>
      </c>
      <c r="AK27" s="13">
        <f ca="1">SUMPRODUCT(INDEX(polEff,,33),INDEX(tlccEupol,,33))</f>
        <v>11302.618512731651</v>
      </c>
      <c r="AL27" s="56">
        <f ca="1">SUMPRODUCT(INDEX(polEff,,34),INDEX(tlccEupol,,34))</f>
        <v>11374.092382958872</v>
      </c>
      <c r="AM27" s="10"/>
    </row>
    <row r="28" spans="2:39" ht="15">
      <c r="B28" s="10"/>
      <c r="C28" s="16" t="s">
        <v>79</v>
      </c>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5"/>
      <c r="AM28" s="10"/>
    </row>
    <row r="29" spans="2:39" ht="15">
      <c r="B29" s="10"/>
      <c r="C29" s="45" t="str">
        <f>INDEX(_fuel,1)</f>
        <v>Electricity</v>
      </c>
      <c r="D29" s="18" t="s">
        <v>83</v>
      </c>
      <c r="E29" s="49">
        <f ca="1">SUMPRODUCT(INDEX(polEff,,1),INDEX(IF($E$19&lt;yearC,tlccFubcElec,tlccFupolElec),,1))</f>
        <v>2318.2923674517574</v>
      </c>
      <c r="F29" s="49">
        <f ca="1">SUMPRODUCT(INDEX(polEff,,2),INDEX(IF($F$19&lt;yearC,tlccFubcElec,tlccFupolElec),,2))</f>
        <v>2302.9564256915778</v>
      </c>
      <c r="G29" s="49">
        <f ca="1">SUMPRODUCT(INDEX(polEff,,3),INDEX(IF($G$19&lt;yearC,tlccFubcElec,tlccFupolElec),,3))</f>
        <v>2289.4209760968083</v>
      </c>
      <c r="H29" s="49">
        <f ca="1">SUMPRODUCT(INDEX(polEff,,4),INDEX(IF($H$19&lt;yearC,tlccFubcElec,tlccFupolElec),,4))</f>
        <v>1912.8722301118801</v>
      </c>
      <c r="I29" s="49">
        <f ca="1">SUMPRODUCT(INDEX(polEff,,5),INDEX(IF($I$19&lt;yearC,tlccFubcElec,tlccFupolElec),,5))</f>
        <v>1903.4022701730225</v>
      </c>
      <c r="J29" s="49">
        <f ca="1">SUMPRODUCT(INDEX(polEff,,6),INDEX(tlccFupolElec,,6))</f>
        <v>1896.0136169864968</v>
      </c>
      <c r="K29" s="49">
        <f ca="1">SUMPRODUCT(INDEX(polEff,,7),INDEX(tlccFupolElec,,7))</f>
        <v>1889.8408315779704</v>
      </c>
      <c r="L29" s="49">
        <f ca="1">SUMPRODUCT(INDEX(polEff,,8),INDEX(tlccFupolElec,,8))</f>
        <v>1883.6277044551885</v>
      </c>
      <c r="M29" s="49">
        <f ca="1">SUMPRODUCT(INDEX(polEff,,9),INDEX(tlccFupolElec,,9))</f>
        <v>1878.617552410989</v>
      </c>
      <c r="N29" s="49">
        <f ca="1">SUMPRODUCT(INDEX(polEff,,10),INDEX(tlccFupolElec,,10))</f>
        <v>1875.1086872780149</v>
      </c>
      <c r="O29" s="49">
        <f ca="1">SUMPRODUCT(INDEX(polEff,,11),INDEX(tlccFupolElec,,11))</f>
        <v>1872.5108381848813</v>
      </c>
      <c r="P29" s="49">
        <f ca="1">SUMPRODUCT(INDEX(polEff,,12),INDEX(tlccFupolElec,,12))</f>
        <v>1870.2994367827202</v>
      </c>
      <c r="Q29" s="49">
        <f ca="1">SUMPRODUCT(INDEX(polEff,,13),INDEX(tlccFupolElec,,13))</f>
        <v>1868.6430094221537</v>
      </c>
      <c r="R29" s="49">
        <f ca="1">SUMPRODUCT(INDEX(polEff,,14),INDEX(tlccFupolElec,,14))</f>
        <v>1867.3568653368116</v>
      </c>
      <c r="S29" s="49">
        <f ca="1">SUMPRODUCT(INDEX(polEff,,15),INDEX(tlccFupolElec,,15))</f>
        <v>1867.1086144328308</v>
      </c>
      <c r="T29" s="49">
        <f ca="1">SUMPRODUCT(INDEX(polEff,,16),INDEX(tlccFupolElec,,16))</f>
        <v>1867.3325934157483</v>
      </c>
      <c r="U29" s="49">
        <f ca="1">SUMPRODUCT(INDEX(polEff,,17),INDEX(tlccFupolElec,,17))</f>
        <v>1867.7121170995949</v>
      </c>
      <c r="V29" s="49">
        <f ca="1">SUMPRODUCT(INDEX(polEff,,18),INDEX(tlccFupolElec,,18))</f>
        <v>1868.2906386826223</v>
      </c>
      <c r="W29" s="49">
        <f ca="1">SUMPRODUCT(INDEX(polEff,,19),INDEX(tlccFupolElec,,19))</f>
        <v>1868.8446919959945</v>
      </c>
      <c r="X29" s="49">
        <f ca="1">SUMPRODUCT(INDEX(polEff,,20),INDEX(tlccFupolElec,,20))</f>
        <v>1869.3038442915986</v>
      </c>
      <c r="Y29" s="49">
        <f ca="1">SUMPRODUCT(INDEX(polEff,,21),INDEX(tlccFupolElec,,21))</f>
        <v>1869.6116925807539</v>
      </c>
      <c r="Z29" s="49">
        <f ca="1">SUMPRODUCT(INDEX(polEff,,22),INDEX(tlccFupolElec,,22))</f>
        <v>1869.8239054771429</v>
      </c>
      <c r="AA29" s="49">
        <f ca="1">SUMPRODUCT(INDEX(polEff,,23),INDEX(tlccFupolElec,,23))</f>
        <v>1869.8239054771429</v>
      </c>
      <c r="AB29" s="49">
        <f ca="1">SUMPRODUCT(INDEX(polEff,,24),INDEX(tlccFupolElec,,24))</f>
        <v>1869.8239054771429</v>
      </c>
      <c r="AC29" s="49">
        <f ca="1">SUMPRODUCT(INDEX(polEff,,25),INDEX(tlccFupolElec,,25))</f>
        <v>1869.8239054771429</v>
      </c>
      <c r="AD29" s="49">
        <f ca="1">SUMPRODUCT(INDEX(polEff,,26),INDEX(tlccFupolElec,,26))</f>
        <v>1869.8239054771429</v>
      </c>
      <c r="AE29" s="49">
        <f ca="1">SUMPRODUCT(INDEX(polEff,,27),INDEX(tlccFupolElec,,27))</f>
        <v>1869.8239054771429</v>
      </c>
      <c r="AF29" s="49">
        <f ca="1">SUMPRODUCT(INDEX(polEff,,28),INDEX(tlccFupolElec,,28))</f>
        <v>1869.8239054771429</v>
      </c>
      <c r="AG29" s="49">
        <f ca="1">SUMPRODUCT(INDEX(polEff,,29),INDEX(tlccFupolElec,,29))</f>
        <v>1869.8239054771429</v>
      </c>
      <c r="AH29" s="49">
        <f ca="1">SUMPRODUCT(INDEX(polEff,,30),INDEX(tlccFupolElec,,30))</f>
        <v>1869.8239054771429</v>
      </c>
      <c r="AI29" s="49">
        <f ca="1">SUMPRODUCT(INDEX(polEff,,31),INDEX(tlccFupolElec,,31))</f>
        <v>1869.8239054771429</v>
      </c>
      <c r="AJ29" s="49">
        <f ca="1">SUMPRODUCT(INDEX(polEff,,32),INDEX(tlccFupolElec,,32))</f>
        <v>1869.8239054771429</v>
      </c>
      <c r="AK29" s="49">
        <f ca="1">SUMPRODUCT(INDEX(polEff,,33),INDEX(tlccFupolElec,,33))</f>
        <v>1869.8239054771429</v>
      </c>
      <c r="AL29" s="50">
        <f ca="1">SUMPRODUCT(INDEX(polEff,,34),INDEX(tlccFupolElec,,34))</f>
        <v>1869.8239054771429</v>
      </c>
      <c r="AM29" s="10"/>
    </row>
    <row r="30" spans="2:39" ht="15">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row>
    <row r="31" spans="2:39" ht="15">
      <c r="B31" s="10"/>
      <c r="C31" s="22" t="s">
        <v>91</v>
      </c>
      <c r="D31" s="23"/>
      <c r="E31" s="24">
        <f t="array" ref="E31:AL31">_yS</f>
        <v>2019</v>
      </c>
      <c r="F31" s="24">
        <v>2020</v>
      </c>
      <c r="G31" s="24">
        <v>2021</v>
      </c>
      <c r="H31" s="24">
        <v>2022</v>
      </c>
      <c r="I31" s="24">
        <v>2023</v>
      </c>
      <c r="J31" s="24">
        <v>2024</v>
      </c>
      <c r="K31" s="24">
        <v>2025</v>
      </c>
      <c r="L31" s="24">
        <v>2026</v>
      </c>
      <c r="M31" s="24">
        <v>2027</v>
      </c>
      <c r="N31" s="24">
        <v>2028</v>
      </c>
      <c r="O31" s="24">
        <v>2029</v>
      </c>
      <c r="P31" s="24">
        <v>2030</v>
      </c>
      <c r="Q31" s="24">
        <v>2031</v>
      </c>
      <c r="R31" s="24">
        <v>2032</v>
      </c>
      <c r="S31" s="24">
        <v>2033</v>
      </c>
      <c r="T31" s="24">
        <v>2034</v>
      </c>
      <c r="U31" s="24">
        <v>2035</v>
      </c>
      <c r="V31" s="24">
        <v>2036</v>
      </c>
      <c r="W31" s="24">
        <v>2037</v>
      </c>
      <c r="X31" s="24">
        <v>2038</v>
      </c>
      <c r="Y31" s="24">
        <v>2039</v>
      </c>
      <c r="Z31" s="24">
        <v>2040</v>
      </c>
      <c r="AA31" s="24">
        <v>2041</v>
      </c>
      <c r="AB31" s="24">
        <v>2042</v>
      </c>
      <c r="AC31" s="24">
        <v>2043</v>
      </c>
      <c r="AD31" s="24">
        <v>2044</v>
      </c>
      <c r="AE31" s="24">
        <v>2045</v>
      </c>
      <c r="AF31" s="24">
        <v>2046</v>
      </c>
      <c r="AG31" s="24">
        <v>2047</v>
      </c>
      <c r="AH31" s="24">
        <v>2048</v>
      </c>
      <c r="AI31" s="24">
        <v>2049</v>
      </c>
      <c r="AJ31" s="24">
        <v>2050</v>
      </c>
      <c r="AK31" s="24">
        <v>2051</v>
      </c>
      <c r="AL31" s="25">
        <v>2052</v>
      </c>
      <c r="AM31" s="10"/>
    </row>
    <row r="32" spans="2:39" ht="15">
      <c r="B32" s="10"/>
      <c r="C32" s="11" t="str">
        <f>"EL 0: " &amp; INDEX(_doName,7,1)</f>
        <v>EL 0: EL 6</v>
      </c>
      <c r="D32" s="12" t="s">
        <v>47</v>
      </c>
      <c r="E32" s="29">
        <f t="array" ref="E32:E38">IF($E$31&lt;yearC,INDEX(refEff,,1),MMULT(mRoll,INDEX(refEff,,1))+INDEX(elastAdjust,,1))</f>
        <v>0.22800000000000001</v>
      </c>
      <c r="F32" s="29">
        <f t="array" ref="F32:F38">IF($F$31&lt;yearC,INDEX(refEff,,2),MMULT(mRoll,INDEX(refEff,,2))+INDEX(elastAdjust,,2))</f>
        <v>0.22800000000000001</v>
      </c>
      <c r="G32" s="29">
        <f t="array" ref="G32:G38">IF($G$31&lt;yearC,INDEX(refEff,,3),MMULT(mRoll,INDEX(refEff,,3))+INDEX(elastAdjust,,3))</f>
        <v>0.22800000000000001</v>
      </c>
      <c r="H32" s="29">
        <f t="array" aca="1" ref="H32:H38" ca="1">IF($H$31&lt;yearC,INDEX(refEff,,4),MMULT(mRoll,INDEX(refEff,,4))+INDEX(elastAdjust,,4))</f>
        <v>0</v>
      </c>
      <c r="I32" s="29">
        <f t="array" aca="1" ref="I32:I38" ca="1">IF($I$31&lt;yearC,INDEX(refEff,,5),MMULT(mRoll,INDEX(refEff,,5))+INDEX(elastAdjust,,5))</f>
        <v>0</v>
      </c>
      <c r="J32" s="29">
        <f t="array" aca="1" ref="J32:J38" ca="1">MMULT(mRoll,INDEX(refEff,,6))+INDEX(elastAdjust,,6)</f>
        <v>0</v>
      </c>
      <c r="K32" s="29">
        <f t="array" aca="1" ref="K32:K38" ca="1">MMULT(mRoll,INDEX(refEff,,7))+INDEX(elastAdjust,,7)</f>
        <v>0</v>
      </c>
      <c r="L32" s="29">
        <f t="array" aca="1" ref="L32:L38" ca="1">MMULT(mRoll,INDEX(refEff,,8))+INDEX(elastAdjust,,8)</f>
        <v>0</v>
      </c>
      <c r="M32" s="29">
        <f t="array" aca="1" ref="M32:M38" ca="1">MMULT(mRoll,INDEX(refEff,,9))+INDEX(elastAdjust,,9)</f>
        <v>0</v>
      </c>
      <c r="N32" s="29">
        <f t="array" aca="1" ref="N32:N38" ca="1">MMULT(mRoll,INDEX(refEff,,10))+INDEX(elastAdjust,,10)</f>
        <v>0</v>
      </c>
      <c r="O32" s="29">
        <f t="array" aca="1" ref="O32:O38" ca="1">MMULT(mRoll,INDEX(refEff,,11))+INDEX(elastAdjust,,11)</f>
        <v>0</v>
      </c>
      <c r="P32" s="29">
        <f t="array" aca="1" ref="P32:P38" ca="1">MMULT(mRoll,INDEX(refEff,,12))+INDEX(elastAdjust,,12)</f>
        <v>0</v>
      </c>
      <c r="Q32" s="29">
        <f t="array" aca="1" ref="Q32:Q38" ca="1">MMULT(mRoll,INDEX(refEff,,13))+INDEX(elastAdjust,,13)</f>
        <v>0</v>
      </c>
      <c r="R32" s="29">
        <f t="array" aca="1" ref="R32:R38" ca="1">MMULT(mRoll,INDEX(refEff,,14))+INDEX(elastAdjust,,14)</f>
        <v>0</v>
      </c>
      <c r="S32" s="29">
        <f t="array" aca="1" ref="S32:S38" ca="1">MMULT(mRoll,INDEX(refEff,,15))+INDEX(elastAdjust,,15)</f>
        <v>0</v>
      </c>
      <c r="T32" s="29">
        <f t="array" aca="1" ref="T32:T38" ca="1">MMULT(mRoll,INDEX(refEff,,16))+INDEX(elastAdjust,,16)</f>
        <v>0</v>
      </c>
      <c r="U32" s="29">
        <f t="array" aca="1" ref="U32:U38" ca="1">MMULT(mRoll,INDEX(refEff,,17))+INDEX(elastAdjust,,17)</f>
        <v>0</v>
      </c>
      <c r="V32" s="29">
        <f t="array" aca="1" ref="V32:V38" ca="1">MMULT(mRoll,INDEX(refEff,,18))+INDEX(elastAdjust,,18)</f>
        <v>0</v>
      </c>
      <c r="W32" s="29">
        <f t="array" aca="1" ref="W32:W38" ca="1">MMULT(mRoll,INDEX(refEff,,19))+INDEX(elastAdjust,,19)</f>
        <v>0</v>
      </c>
      <c r="X32" s="29">
        <f t="array" aca="1" ref="X32:X38" ca="1">MMULT(mRoll,INDEX(refEff,,20))+INDEX(elastAdjust,,20)</f>
        <v>0</v>
      </c>
      <c r="Y32" s="29">
        <f t="array" aca="1" ref="Y32:Y38" ca="1">MMULT(mRoll,INDEX(refEff,,21))+INDEX(elastAdjust,,21)</f>
        <v>0</v>
      </c>
      <c r="Z32" s="29">
        <f t="array" aca="1" ref="Z32:Z38" ca="1">MMULT(mRoll,INDEX(refEff,,22))+INDEX(elastAdjust,,22)</f>
        <v>0</v>
      </c>
      <c r="AA32" s="29">
        <f t="array" aca="1" ref="AA32:AA38" ca="1">MMULT(mRoll,INDEX(refEff,,23))+INDEX(elastAdjust,,23)</f>
        <v>0</v>
      </c>
      <c r="AB32" s="29">
        <f t="array" aca="1" ref="AB32:AB38" ca="1">MMULT(mRoll,INDEX(refEff,,24))+INDEX(elastAdjust,,24)</f>
        <v>0</v>
      </c>
      <c r="AC32" s="29">
        <f t="array" aca="1" ref="AC32:AC38" ca="1">MMULT(mRoll,INDEX(refEff,,25))+INDEX(elastAdjust,,25)</f>
        <v>0</v>
      </c>
      <c r="AD32" s="29">
        <f t="array" aca="1" ref="AD32:AD38" ca="1">MMULT(mRoll,INDEX(refEff,,26))+INDEX(elastAdjust,,26)</f>
        <v>0</v>
      </c>
      <c r="AE32" s="29">
        <f t="array" aca="1" ref="AE32:AE38" ca="1">MMULT(mRoll,INDEX(refEff,,27))+INDEX(elastAdjust,,27)</f>
        <v>0</v>
      </c>
      <c r="AF32" s="29">
        <f t="array" aca="1" ref="AF32:AF38" ca="1">MMULT(mRoll,INDEX(refEff,,28))+INDEX(elastAdjust,,28)</f>
        <v>0</v>
      </c>
      <c r="AG32" s="29">
        <f t="array" aca="1" ref="AG32:AG38" ca="1">MMULT(mRoll,INDEX(refEff,,29))+INDEX(elastAdjust,,29)</f>
        <v>0</v>
      </c>
      <c r="AH32" s="29">
        <f t="array" aca="1" ref="AH32:AH38" ca="1">MMULT(mRoll,INDEX(refEff,,30))+INDEX(elastAdjust,,30)</f>
        <v>0</v>
      </c>
      <c r="AI32" s="29">
        <f t="array" aca="1" ref="AI32:AI38" ca="1">MMULT(mRoll,INDEX(refEff,,31))+INDEX(elastAdjust,,31)</f>
        <v>0</v>
      </c>
      <c r="AJ32" s="29">
        <f t="array" aca="1" ref="AJ32:AJ38" ca="1">MMULT(mRoll,INDEX(refEff,,32))+INDEX(elastAdjust,,32)</f>
        <v>0</v>
      </c>
      <c r="AK32" s="29">
        <f t="array" aca="1" ref="AK32:AK38" ca="1">MMULT(mRoll,INDEX(refEff,,33))+INDEX(elastAdjust,,33)</f>
        <v>0</v>
      </c>
      <c r="AL32" s="44">
        <f t="array" aca="1" ref="AL32:AL38" ca="1">MMULT(mRoll,INDEX(refEff,,34))+INDEX(elastAdjust,,34)</f>
        <v>0</v>
      </c>
      <c r="AM32" s="10"/>
    </row>
    <row r="33" spans="2:39" ht="15">
      <c r="B33" s="10"/>
      <c r="C33" s="11" t="str">
        <f>"EL 1: " &amp; INDEX(_doName,7,2)</f>
        <v>EL 1: EL 1</v>
      </c>
      <c r="D33" s="12" t="s">
        <v>47</v>
      </c>
      <c r="E33" s="29">
        <v>7.0999999999999994E-2</v>
      </c>
      <c r="F33" s="29">
        <v>7.0999999999999994E-2</v>
      </c>
      <c r="G33" s="29">
        <v>7.0999999999999994E-2</v>
      </c>
      <c r="H33" s="29">
        <f ca="1"/>
        <v>0</v>
      </c>
      <c r="I33" s="29">
        <f ca="1"/>
        <v>0</v>
      </c>
      <c r="J33" s="29">
        <f ca="1"/>
        <v>0</v>
      </c>
      <c r="K33" s="29">
        <f ca="1"/>
        <v>0</v>
      </c>
      <c r="L33" s="29">
        <f ca="1"/>
        <v>0</v>
      </c>
      <c r="M33" s="29">
        <f ca="1"/>
        <v>0</v>
      </c>
      <c r="N33" s="29">
        <f ca="1"/>
        <v>0</v>
      </c>
      <c r="O33" s="29">
        <f ca="1"/>
        <v>0</v>
      </c>
      <c r="P33" s="29">
        <f ca="1"/>
        <v>0</v>
      </c>
      <c r="Q33" s="29">
        <f ca="1"/>
        <v>0</v>
      </c>
      <c r="R33" s="29">
        <f ca="1"/>
        <v>0</v>
      </c>
      <c r="S33" s="29">
        <f ca="1"/>
        <v>0</v>
      </c>
      <c r="T33" s="29">
        <f ca="1"/>
        <v>0</v>
      </c>
      <c r="U33" s="29">
        <f ca="1"/>
        <v>0</v>
      </c>
      <c r="V33" s="29">
        <f ca="1"/>
        <v>0</v>
      </c>
      <c r="W33" s="29">
        <f ca="1"/>
        <v>0</v>
      </c>
      <c r="X33" s="29">
        <f ca="1"/>
        <v>0</v>
      </c>
      <c r="Y33" s="29">
        <f ca="1"/>
        <v>0</v>
      </c>
      <c r="Z33" s="29">
        <f ca="1"/>
        <v>0</v>
      </c>
      <c r="AA33" s="29">
        <f ca="1"/>
        <v>0</v>
      </c>
      <c r="AB33" s="29">
        <f ca="1"/>
        <v>0</v>
      </c>
      <c r="AC33" s="29">
        <f ca="1"/>
        <v>0</v>
      </c>
      <c r="AD33" s="29">
        <f ca="1"/>
        <v>0</v>
      </c>
      <c r="AE33" s="29">
        <f ca="1"/>
        <v>0</v>
      </c>
      <c r="AF33" s="29">
        <f ca="1"/>
        <v>0</v>
      </c>
      <c r="AG33" s="29">
        <f ca="1"/>
        <v>0</v>
      </c>
      <c r="AH33" s="29">
        <f ca="1"/>
        <v>0</v>
      </c>
      <c r="AI33" s="29">
        <f ca="1"/>
        <v>0</v>
      </c>
      <c r="AJ33" s="29">
        <f ca="1"/>
        <v>0</v>
      </c>
      <c r="AK33" s="29">
        <f ca="1"/>
        <v>0</v>
      </c>
      <c r="AL33" s="44">
        <f ca="1"/>
        <v>0</v>
      </c>
      <c r="AM33" s="10"/>
    </row>
    <row r="34" spans="2:39" ht="15">
      <c r="B34" s="10"/>
      <c r="C34" s="11" t="str">
        <f>"EL 2: " &amp; INDEX(_doName,7,3)</f>
        <v>EL 2: EL 2</v>
      </c>
      <c r="D34" s="12" t="s">
        <v>47</v>
      </c>
      <c r="E34" s="29">
        <v>7.9000000000000001E-2</v>
      </c>
      <c r="F34" s="29">
        <v>7.9000000000000001E-2</v>
      </c>
      <c r="G34" s="29">
        <v>7.9000000000000001E-2</v>
      </c>
      <c r="H34" s="29">
        <f ca="1"/>
        <v>0</v>
      </c>
      <c r="I34" s="29">
        <f ca="1"/>
        <v>0</v>
      </c>
      <c r="J34" s="29">
        <f ca="1"/>
        <v>0</v>
      </c>
      <c r="K34" s="29">
        <f ca="1"/>
        <v>0</v>
      </c>
      <c r="L34" s="29">
        <f ca="1"/>
        <v>0</v>
      </c>
      <c r="M34" s="29">
        <f ca="1"/>
        <v>0</v>
      </c>
      <c r="N34" s="29">
        <f ca="1"/>
        <v>0</v>
      </c>
      <c r="O34" s="29">
        <f ca="1"/>
        <v>0</v>
      </c>
      <c r="P34" s="29">
        <f ca="1"/>
        <v>0</v>
      </c>
      <c r="Q34" s="29">
        <f ca="1"/>
        <v>0</v>
      </c>
      <c r="R34" s="29">
        <f ca="1"/>
        <v>0</v>
      </c>
      <c r="S34" s="29">
        <f ca="1"/>
        <v>0</v>
      </c>
      <c r="T34" s="29">
        <f ca="1"/>
        <v>0</v>
      </c>
      <c r="U34" s="29">
        <f ca="1"/>
        <v>0</v>
      </c>
      <c r="V34" s="29">
        <f ca="1"/>
        <v>0</v>
      </c>
      <c r="W34" s="29">
        <f ca="1"/>
        <v>0</v>
      </c>
      <c r="X34" s="29">
        <f ca="1"/>
        <v>0</v>
      </c>
      <c r="Y34" s="29">
        <f ca="1"/>
        <v>0</v>
      </c>
      <c r="Z34" s="29">
        <f ca="1"/>
        <v>0</v>
      </c>
      <c r="AA34" s="29">
        <f ca="1"/>
        <v>0</v>
      </c>
      <c r="AB34" s="29">
        <f ca="1"/>
        <v>0</v>
      </c>
      <c r="AC34" s="29">
        <f ca="1"/>
        <v>0</v>
      </c>
      <c r="AD34" s="29">
        <f ca="1"/>
        <v>0</v>
      </c>
      <c r="AE34" s="29">
        <f ca="1"/>
        <v>0</v>
      </c>
      <c r="AF34" s="29">
        <f ca="1"/>
        <v>0</v>
      </c>
      <c r="AG34" s="29">
        <f ca="1"/>
        <v>0</v>
      </c>
      <c r="AH34" s="29">
        <f ca="1"/>
        <v>0</v>
      </c>
      <c r="AI34" s="29">
        <f ca="1"/>
        <v>0</v>
      </c>
      <c r="AJ34" s="29">
        <f ca="1"/>
        <v>0</v>
      </c>
      <c r="AK34" s="29">
        <f ca="1"/>
        <v>0</v>
      </c>
      <c r="AL34" s="44">
        <f ca="1"/>
        <v>0</v>
      </c>
      <c r="AM34" s="10"/>
    </row>
    <row r="35" spans="2:39" ht="15">
      <c r="B35" s="10"/>
      <c r="C35" s="11" t="str">
        <f>"EL 3: " &amp; INDEX(_doName,7,4)</f>
        <v>EL 3: EL 3</v>
      </c>
      <c r="D35" s="12" t="s">
        <v>47</v>
      </c>
      <c r="E35" s="29">
        <v>9.8000000000000004E-2</v>
      </c>
      <c r="F35" s="29">
        <v>9.8000000000000004E-2</v>
      </c>
      <c r="G35" s="29">
        <v>9.8000000000000004E-2</v>
      </c>
      <c r="H35" s="29">
        <f ca="1"/>
        <v>0</v>
      </c>
      <c r="I35" s="29">
        <f ca="1"/>
        <v>0</v>
      </c>
      <c r="J35" s="29">
        <f ca="1"/>
        <v>0</v>
      </c>
      <c r="K35" s="29">
        <f ca="1"/>
        <v>0</v>
      </c>
      <c r="L35" s="29">
        <f ca="1"/>
        <v>0</v>
      </c>
      <c r="M35" s="29">
        <f ca="1"/>
        <v>0</v>
      </c>
      <c r="N35" s="29">
        <f ca="1"/>
        <v>0</v>
      </c>
      <c r="O35" s="29">
        <f ca="1"/>
        <v>0</v>
      </c>
      <c r="P35" s="29">
        <f ca="1"/>
        <v>0</v>
      </c>
      <c r="Q35" s="29">
        <f ca="1"/>
        <v>0</v>
      </c>
      <c r="R35" s="29">
        <f ca="1"/>
        <v>0</v>
      </c>
      <c r="S35" s="29">
        <f ca="1"/>
        <v>0</v>
      </c>
      <c r="T35" s="29">
        <f ca="1"/>
        <v>0</v>
      </c>
      <c r="U35" s="29">
        <f ca="1"/>
        <v>0</v>
      </c>
      <c r="V35" s="29">
        <f ca="1"/>
        <v>0</v>
      </c>
      <c r="W35" s="29">
        <f ca="1"/>
        <v>0</v>
      </c>
      <c r="X35" s="29">
        <f ca="1"/>
        <v>0</v>
      </c>
      <c r="Y35" s="29">
        <f ca="1"/>
        <v>0</v>
      </c>
      <c r="Z35" s="29">
        <f ca="1"/>
        <v>0</v>
      </c>
      <c r="AA35" s="29">
        <f ca="1"/>
        <v>0</v>
      </c>
      <c r="AB35" s="29">
        <f ca="1"/>
        <v>0</v>
      </c>
      <c r="AC35" s="29">
        <f ca="1"/>
        <v>0</v>
      </c>
      <c r="AD35" s="29">
        <f ca="1"/>
        <v>0</v>
      </c>
      <c r="AE35" s="29">
        <f ca="1"/>
        <v>0</v>
      </c>
      <c r="AF35" s="29">
        <f ca="1"/>
        <v>0</v>
      </c>
      <c r="AG35" s="29">
        <f ca="1"/>
        <v>0</v>
      </c>
      <c r="AH35" s="29">
        <f ca="1"/>
        <v>0</v>
      </c>
      <c r="AI35" s="29">
        <f ca="1"/>
        <v>0</v>
      </c>
      <c r="AJ35" s="29">
        <f ca="1"/>
        <v>0</v>
      </c>
      <c r="AK35" s="29">
        <f ca="1"/>
        <v>0</v>
      </c>
      <c r="AL35" s="44">
        <f ca="1"/>
        <v>0</v>
      </c>
      <c r="AM35" s="10"/>
    </row>
    <row r="36" spans="2:39" ht="15">
      <c r="B36" s="10"/>
      <c r="C36" s="11" t="str">
        <f>"EL 4: " &amp; INDEX(_doName,7,5)</f>
        <v>EL 4: EL 4</v>
      </c>
      <c r="D36" s="12" t="s">
        <v>47</v>
      </c>
      <c r="E36" s="29">
        <v>0.121</v>
      </c>
      <c r="F36" s="29">
        <v>0.121</v>
      </c>
      <c r="G36" s="29">
        <v>0.121</v>
      </c>
      <c r="H36" s="29">
        <f ca="1"/>
        <v>0</v>
      </c>
      <c r="I36" s="29">
        <f ca="1"/>
        <v>0</v>
      </c>
      <c r="J36" s="29">
        <f ca="1"/>
        <v>0</v>
      </c>
      <c r="K36" s="29">
        <f ca="1"/>
        <v>0</v>
      </c>
      <c r="L36" s="29">
        <f ca="1"/>
        <v>0</v>
      </c>
      <c r="M36" s="29">
        <f ca="1"/>
        <v>0</v>
      </c>
      <c r="N36" s="29">
        <f ca="1"/>
        <v>0</v>
      </c>
      <c r="O36" s="29">
        <f ca="1"/>
        <v>0</v>
      </c>
      <c r="P36" s="29">
        <f ca="1"/>
        <v>0</v>
      </c>
      <c r="Q36" s="29">
        <f ca="1"/>
        <v>0</v>
      </c>
      <c r="R36" s="29">
        <f ca="1"/>
        <v>0</v>
      </c>
      <c r="S36" s="29">
        <f ca="1"/>
        <v>0</v>
      </c>
      <c r="T36" s="29">
        <f ca="1"/>
        <v>0</v>
      </c>
      <c r="U36" s="29">
        <f ca="1"/>
        <v>0</v>
      </c>
      <c r="V36" s="29">
        <f ca="1"/>
        <v>0</v>
      </c>
      <c r="W36" s="29">
        <f ca="1"/>
        <v>0</v>
      </c>
      <c r="X36" s="29">
        <f ca="1"/>
        <v>0</v>
      </c>
      <c r="Y36" s="29">
        <f ca="1"/>
        <v>0</v>
      </c>
      <c r="Z36" s="29">
        <f ca="1"/>
        <v>0</v>
      </c>
      <c r="AA36" s="29">
        <f ca="1"/>
        <v>0</v>
      </c>
      <c r="AB36" s="29">
        <f ca="1"/>
        <v>0</v>
      </c>
      <c r="AC36" s="29">
        <f ca="1"/>
        <v>0</v>
      </c>
      <c r="AD36" s="29">
        <f ca="1"/>
        <v>0</v>
      </c>
      <c r="AE36" s="29">
        <f ca="1"/>
        <v>0</v>
      </c>
      <c r="AF36" s="29">
        <f ca="1"/>
        <v>0</v>
      </c>
      <c r="AG36" s="29">
        <f ca="1"/>
        <v>0</v>
      </c>
      <c r="AH36" s="29">
        <f ca="1"/>
        <v>0</v>
      </c>
      <c r="AI36" s="29">
        <f ca="1"/>
        <v>0</v>
      </c>
      <c r="AJ36" s="29">
        <f ca="1"/>
        <v>0</v>
      </c>
      <c r="AK36" s="29">
        <f ca="1"/>
        <v>0</v>
      </c>
      <c r="AL36" s="44">
        <f ca="1"/>
        <v>0</v>
      </c>
      <c r="AM36" s="10"/>
    </row>
    <row r="37" spans="2:39" ht="15">
      <c r="B37" s="10"/>
      <c r="C37" s="11" t="str">
        <f>"EL 5: " &amp; INDEX(_doName,7,6)</f>
        <v>EL 5: EL 5</v>
      </c>
      <c r="D37" s="12" t="s">
        <v>47</v>
      </c>
      <c r="E37" s="29">
        <v>0.314</v>
      </c>
      <c r="F37" s="29">
        <v>0.314</v>
      </c>
      <c r="G37" s="29">
        <v>0.314</v>
      </c>
      <c r="H37" s="29">
        <f ca="1"/>
        <v>0.91100000000000003</v>
      </c>
      <c r="I37" s="29">
        <f ca="1"/>
        <v>0.91100000000000003</v>
      </c>
      <c r="J37" s="29">
        <f ca="1"/>
        <v>0.91100000000000003</v>
      </c>
      <c r="K37" s="29">
        <f ca="1"/>
        <v>0.91100000000000003</v>
      </c>
      <c r="L37" s="29">
        <f ca="1"/>
        <v>0.91100000000000003</v>
      </c>
      <c r="M37" s="29">
        <f ca="1"/>
        <v>0.91100000000000003</v>
      </c>
      <c r="N37" s="29">
        <f ca="1"/>
        <v>0.91100000000000003</v>
      </c>
      <c r="O37" s="29">
        <f ca="1"/>
        <v>0.91100000000000003</v>
      </c>
      <c r="P37" s="29">
        <f ca="1"/>
        <v>0.91100000000000003</v>
      </c>
      <c r="Q37" s="29">
        <f ca="1"/>
        <v>0.91100000000000003</v>
      </c>
      <c r="R37" s="29">
        <f ca="1"/>
        <v>0.91100000000000003</v>
      </c>
      <c r="S37" s="29">
        <f ca="1"/>
        <v>0.91100000000000003</v>
      </c>
      <c r="T37" s="29">
        <f ca="1"/>
        <v>0.91100000000000003</v>
      </c>
      <c r="U37" s="29">
        <f ca="1"/>
        <v>0.91100000000000003</v>
      </c>
      <c r="V37" s="29">
        <f ca="1"/>
        <v>0.91100000000000003</v>
      </c>
      <c r="W37" s="29">
        <f ca="1"/>
        <v>0.91100000000000003</v>
      </c>
      <c r="X37" s="29">
        <f ca="1"/>
        <v>0.91100000000000003</v>
      </c>
      <c r="Y37" s="29">
        <f ca="1"/>
        <v>0.91100000000000003</v>
      </c>
      <c r="Z37" s="29">
        <f ca="1"/>
        <v>0.91100000000000003</v>
      </c>
      <c r="AA37" s="29">
        <f ca="1"/>
        <v>0.91100000000000003</v>
      </c>
      <c r="AB37" s="29">
        <f ca="1"/>
        <v>0.91100000000000003</v>
      </c>
      <c r="AC37" s="29">
        <f ca="1"/>
        <v>0.91100000000000003</v>
      </c>
      <c r="AD37" s="29">
        <f ca="1"/>
        <v>0.91100000000000003</v>
      </c>
      <c r="AE37" s="29">
        <f ca="1"/>
        <v>0.91100000000000003</v>
      </c>
      <c r="AF37" s="29">
        <f ca="1"/>
        <v>0.91100000000000003</v>
      </c>
      <c r="AG37" s="29">
        <f ca="1"/>
        <v>0.91100000000000003</v>
      </c>
      <c r="AH37" s="29">
        <f ca="1"/>
        <v>0.91100000000000003</v>
      </c>
      <c r="AI37" s="29">
        <f ca="1"/>
        <v>0.91100000000000003</v>
      </c>
      <c r="AJ37" s="29">
        <f ca="1"/>
        <v>0.91100000000000003</v>
      </c>
      <c r="AK37" s="29">
        <f ca="1"/>
        <v>0.91100000000000003</v>
      </c>
      <c r="AL37" s="44">
        <f ca="1"/>
        <v>0.91100000000000003</v>
      </c>
      <c r="AM37" s="10"/>
    </row>
    <row r="38" spans="2:39" ht="15">
      <c r="B38" s="10"/>
      <c r="C38" s="21" t="str">
        <f>"EL 6: " &amp; INDEX(_doName,7,7)</f>
        <v>EL 6: EL 6</v>
      </c>
      <c r="D38" s="18" t="s">
        <v>47</v>
      </c>
      <c r="E38" s="46">
        <v>8.8999999999999996E-2</v>
      </c>
      <c r="F38" s="46">
        <v>8.8999999999999996E-2</v>
      </c>
      <c r="G38" s="46">
        <v>8.8999999999999996E-2</v>
      </c>
      <c r="H38" s="46">
        <f ca="1"/>
        <v>8.8999999999999996E-2</v>
      </c>
      <c r="I38" s="46">
        <f ca="1"/>
        <v>8.8999999999999996E-2</v>
      </c>
      <c r="J38" s="46">
        <f ca="1"/>
        <v>8.8999999999999996E-2</v>
      </c>
      <c r="K38" s="46">
        <f ca="1"/>
        <v>8.8999999999999996E-2</v>
      </c>
      <c r="L38" s="46">
        <f ca="1"/>
        <v>8.8999999999999996E-2</v>
      </c>
      <c r="M38" s="46">
        <f ca="1"/>
        <v>8.8999999999999996E-2</v>
      </c>
      <c r="N38" s="46">
        <f ca="1"/>
        <v>8.8999999999999996E-2</v>
      </c>
      <c r="O38" s="46">
        <f ca="1"/>
        <v>8.8999999999999996E-2</v>
      </c>
      <c r="P38" s="46">
        <f ca="1"/>
        <v>8.8999999999999996E-2</v>
      </c>
      <c r="Q38" s="46">
        <f ca="1"/>
        <v>8.8999999999999996E-2</v>
      </c>
      <c r="R38" s="46">
        <f ca="1"/>
        <v>8.8999999999999996E-2</v>
      </c>
      <c r="S38" s="46">
        <f ca="1"/>
        <v>8.8999999999999996E-2</v>
      </c>
      <c r="T38" s="46">
        <f ca="1"/>
        <v>8.8999999999999996E-2</v>
      </c>
      <c r="U38" s="46">
        <f ca="1"/>
        <v>8.8999999999999996E-2</v>
      </c>
      <c r="V38" s="46">
        <f ca="1"/>
        <v>8.8999999999999996E-2</v>
      </c>
      <c r="W38" s="46">
        <f ca="1"/>
        <v>8.8999999999999996E-2</v>
      </c>
      <c r="X38" s="46">
        <f ca="1"/>
        <v>8.8999999999999996E-2</v>
      </c>
      <c r="Y38" s="46">
        <f ca="1"/>
        <v>8.8999999999999996E-2</v>
      </c>
      <c r="Z38" s="46">
        <f ca="1"/>
        <v>8.8999999999999996E-2</v>
      </c>
      <c r="AA38" s="46">
        <f ca="1"/>
        <v>8.8999999999999996E-2</v>
      </c>
      <c r="AB38" s="46">
        <f ca="1"/>
        <v>8.8999999999999996E-2</v>
      </c>
      <c r="AC38" s="46">
        <f ca="1"/>
        <v>8.8999999999999996E-2</v>
      </c>
      <c r="AD38" s="46">
        <f ca="1"/>
        <v>8.8999999999999996E-2</v>
      </c>
      <c r="AE38" s="46">
        <f ca="1"/>
        <v>8.8999999999999996E-2</v>
      </c>
      <c r="AF38" s="46">
        <f ca="1"/>
        <v>8.8999999999999996E-2</v>
      </c>
      <c r="AG38" s="46">
        <f ca="1"/>
        <v>8.8999999999999996E-2</v>
      </c>
      <c r="AH38" s="46">
        <f ca="1"/>
        <v>8.8999999999999996E-2</v>
      </c>
      <c r="AI38" s="46">
        <f ca="1"/>
        <v>8.8999999999999996E-2</v>
      </c>
      <c r="AJ38" s="46">
        <f ca="1"/>
        <v>8.8999999999999996E-2</v>
      </c>
      <c r="AK38" s="46">
        <f ca="1"/>
        <v>8.8999999999999996E-2</v>
      </c>
      <c r="AL38" s="47">
        <f ca="1"/>
        <v>8.8999999999999996E-2</v>
      </c>
      <c r="AM38" s="10"/>
    </row>
    <row r="39" spans="2:39" ht="15">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2:39" ht="15">
      <c r="B40" s="10"/>
      <c r="C40" s="22" t="s">
        <v>90</v>
      </c>
      <c r="D40" s="23"/>
      <c r="E40" s="24">
        <f t="array" ref="E40:AL40">_yS</f>
        <v>2019</v>
      </c>
      <c r="F40" s="24">
        <v>2020</v>
      </c>
      <c r="G40" s="24">
        <v>2021</v>
      </c>
      <c r="H40" s="24">
        <v>2022</v>
      </c>
      <c r="I40" s="24">
        <v>2023</v>
      </c>
      <c r="J40" s="24">
        <v>2024</v>
      </c>
      <c r="K40" s="24">
        <v>2025</v>
      </c>
      <c r="L40" s="24">
        <v>2026</v>
      </c>
      <c r="M40" s="24">
        <v>2027</v>
      </c>
      <c r="N40" s="24">
        <v>2028</v>
      </c>
      <c r="O40" s="24">
        <v>2029</v>
      </c>
      <c r="P40" s="24">
        <v>2030</v>
      </c>
      <c r="Q40" s="24">
        <v>2031</v>
      </c>
      <c r="R40" s="24">
        <v>2032</v>
      </c>
      <c r="S40" s="24">
        <v>2033</v>
      </c>
      <c r="T40" s="24">
        <v>2034</v>
      </c>
      <c r="U40" s="24">
        <v>2035</v>
      </c>
      <c r="V40" s="24">
        <v>2036</v>
      </c>
      <c r="W40" s="24">
        <v>2037</v>
      </c>
      <c r="X40" s="24">
        <v>2038</v>
      </c>
      <c r="Y40" s="24">
        <v>2039</v>
      </c>
      <c r="Z40" s="24">
        <v>2040</v>
      </c>
      <c r="AA40" s="24">
        <v>2041</v>
      </c>
      <c r="AB40" s="24">
        <v>2042</v>
      </c>
      <c r="AC40" s="24">
        <v>2043</v>
      </c>
      <c r="AD40" s="24">
        <v>2044</v>
      </c>
      <c r="AE40" s="24">
        <v>2045</v>
      </c>
      <c r="AF40" s="24">
        <v>2046</v>
      </c>
      <c r="AG40" s="24">
        <v>2047</v>
      </c>
      <c r="AH40" s="24">
        <v>2048</v>
      </c>
      <c r="AI40" s="24">
        <v>2049</v>
      </c>
      <c r="AJ40" s="24">
        <v>2050</v>
      </c>
      <c r="AK40" s="24">
        <v>2051</v>
      </c>
      <c r="AL40" s="25">
        <v>2052</v>
      </c>
      <c r="AM40" s="10"/>
    </row>
    <row r="41" spans="2:39" ht="15">
      <c r="B41" s="10"/>
      <c r="C41" s="11" t="str">
        <f>"EL 0: " &amp; INDEX(_doName,7,1)</f>
        <v>EL 0: EL 6</v>
      </c>
      <c r="D41" s="12" t="s">
        <v>47</v>
      </c>
      <c r="E41" s="29">
        <f t="array" ref="E41:E47">TRANSPOSE(bcPRV)</f>
        <v>0.22800000000000001</v>
      </c>
      <c r="F41" s="29">
        <f t="array" ref="F41:AL41">$E$41</f>
        <v>0.22800000000000001</v>
      </c>
      <c r="G41" s="29">
        <v>0.22800000000000001</v>
      </c>
      <c r="H41" s="29">
        <v>0.22800000000000001</v>
      </c>
      <c r="I41" s="29">
        <v>0.22800000000000001</v>
      </c>
      <c r="J41" s="29">
        <v>0.22800000000000001</v>
      </c>
      <c r="K41" s="29">
        <v>0.22800000000000001</v>
      </c>
      <c r="L41" s="29">
        <v>0.22800000000000001</v>
      </c>
      <c r="M41" s="29">
        <v>0.22800000000000001</v>
      </c>
      <c r="N41" s="29">
        <v>0.22800000000000001</v>
      </c>
      <c r="O41" s="29">
        <v>0.22800000000000001</v>
      </c>
      <c r="P41" s="29">
        <v>0.22800000000000001</v>
      </c>
      <c r="Q41" s="29">
        <v>0.22800000000000001</v>
      </c>
      <c r="R41" s="29">
        <v>0.22800000000000001</v>
      </c>
      <c r="S41" s="29">
        <v>0.22800000000000001</v>
      </c>
      <c r="T41" s="29">
        <v>0.22800000000000001</v>
      </c>
      <c r="U41" s="29">
        <v>0.22800000000000001</v>
      </c>
      <c r="V41" s="29">
        <v>0.22800000000000001</v>
      </c>
      <c r="W41" s="29">
        <v>0.22800000000000001</v>
      </c>
      <c r="X41" s="29">
        <v>0.22800000000000001</v>
      </c>
      <c r="Y41" s="29">
        <v>0.22800000000000001</v>
      </c>
      <c r="Z41" s="29">
        <v>0.22800000000000001</v>
      </c>
      <c r="AA41" s="29">
        <v>0.22800000000000001</v>
      </c>
      <c r="AB41" s="29">
        <v>0.22800000000000001</v>
      </c>
      <c r="AC41" s="29">
        <v>0.22800000000000001</v>
      </c>
      <c r="AD41" s="29">
        <v>0.22800000000000001</v>
      </c>
      <c r="AE41" s="29">
        <v>0.22800000000000001</v>
      </c>
      <c r="AF41" s="29">
        <v>0.22800000000000001</v>
      </c>
      <c r="AG41" s="29">
        <v>0.22800000000000001</v>
      </c>
      <c r="AH41" s="29">
        <v>0.22800000000000001</v>
      </c>
      <c r="AI41" s="29">
        <v>0.22800000000000001</v>
      </c>
      <c r="AJ41" s="29">
        <v>0.22800000000000001</v>
      </c>
      <c r="AK41" s="29">
        <v>0.22800000000000001</v>
      </c>
      <c r="AL41" s="44">
        <v>0.22800000000000001</v>
      </c>
      <c r="AM41" s="10"/>
    </row>
    <row r="42" spans="2:39" ht="15">
      <c r="B42" s="10"/>
      <c r="C42" s="11" t="str">
        <f>"EL 1: " &amp; INDEX(_doName,7,2)</f>
        <v>EL 1: EL 1</v>
      </c>
      <c r="D42" s="12" t="s">
        <v>47</v>
      </c>
      <c r="E42" s="29">
        <v>7.0999999999999994E-2</v>
      </c>
      <c r="F42" s="29">
        <f t="array" ref="F42:AL42">$E$42</f>
        <v>7.0999999999999994E-2</v>
      </c>
      <c r="G42" s="29">
        <v>7.0999999999999994E-2</v>
      </c>
      <c r="H42" s="29">
        <v>7.0999999999999994E-2</v>
      </c>
      <c r="I42" s="29">
        <v>7.0999999999999994E-2</v>
      </c>
      <c r="J42" s="29">
        <v>7.0999999999999994E-2</v>
      </c>
      <c r="K42" s="29">
        <v>7.0999999999999994E-2</v>
      </c>
      <c r="L42" s="29">
        <v>7.0999999999999994E-2</v>
      </c>
      <c r="M42" s="29">
        <v>7.0999999999999994E-2</v>
      </c>
      <c r="N42" s="29">
        <v>7.0999999999999994E-2</v>
      </c>
      <c r="O42" s="29">
        <v>7.0999999999999994E-2</v>
      </c>
      <c r="P42" s="29">
        <v>7.0999999999999994E-2</v>
      </c>
      <c r="Q42" s="29">
        <v>7.0999999999999994E-2</v>
      </c>
      <c r="R42" s="29">
        <v>7.0999999999999994E-2</v>
      </c>
      <c r="S42" s="29">
        <v>7.0999999999999994E-2</v>
      </c>
      <c r="T42" s="29">
        <v>7.0999999999999994E-2</v>
      </c>
      <c r="U42" s="29">
        <v>7.0999999999999994E-2</v>
      </c>
      <c r="V42" s="29">
        <v>7.0999999999999994E-2</v>
      </c>
      <c r="W42" s="29">
        <v>7.0999999999999994E-2</v>
      </c>
      <c r="X42" s="29">
        <v>7.0999999999999994E-2</v>
      </c>
      <c r="Y42" s="29">
        <v>7.0999999999999994E-2</v>
      </c>
      <c r="Z42" s="29">
        <v>7.0999999999999994E-2</v>
      </c>
      <c r="AA42" s="29">
        <v>7.0999999999999994E-2</v>
      </c>
      <c r="AB42" s="29">
        <v>7.0999999999999994E-2</v>
      </c>
      <c r="AC42" s="29">
        <v>7.0999999999999994E-2</v>
      </c>
      <c r="AD42" s="29">
        <v>7.0999999999999994E-2</v>
      </c>
      <c r="AE42" s="29">
        <v>7.0999999999999994E-2</v>
      </c>
      <c r="AF42" s="29">
        <v>7.0999999999999994E-2</v>
      </c>
      <c r="AG42" s="29">
        <v>7.0999999999999994E-2</v>
      </c>
      <c r="AH42" s="29">
        <v>7.0999999999999994E-2</v>
      </c>
      <c r="AI42" s="29">
        <v>7.0999999999999994E-2</v>
      </c>
      <c r="AJ42" s="29">
        <v>7.0999999999999994E-2</v>
      </c>
      <c r="AK42" s="29">
        <v>7.0999999999999994E-2</v>
      </c>
      <c r="AL42" s="44">
        <v>7.0999999999999994E-2</v>
      </c>
      <c r="AM42" s="10"/>
    </row>
    <row r="43" spans="2:39" ht="15">
      <c r="B43" s="10"/>
      <c r="C43" s="11" t="str">
        <f>"EL 2: " &amp; INDEX(_doName,7,3)</f>
        <v>EL 2: EL 2</v>
      </c>
      <c r="D43" s="12" t="s">
        <v>47</v>
      </c>
      <c r="E43" s="29">
        <v>7.9000000000000001E-2</v>
      </c>
      <c r="F43" s="29">
        <f t="array" ref="F43:AL43">$E$43</f>
        <v>7.9000000000000001E-2</v>
      </c>
      <c r="G43" s="29">
        <v>7.9000000000000001E-2</v>
      </c>
      <c r="H43" s="29">
        <v>7.9000000000000001E-2</v>
      </c>
      <c r="I43" s="29">
        <v>7.9000000000000001E-2</v>
      </c>
      <c r="J43" s="29">
        <v>7.9000000000000001E-2</v>
      </c>
      <c r="K43" s="29">
        <v>7.9000000000000001E-2</v>
      </c>
      <c r="L43" s="29">
        <v>7.9000000000000001E-2</v>
      </c>
      <c r="M43" s="29">
        <v>7.9000000000000001E-2</v>
      </c>
      <c r="N43" s="29">
        <v>7.9000000000000001E-2</v>
      </c>
      <c r="O43" s="29">
        <v>7.9000000000000001E-2</v>
      </c>
      <c r="P43" s="29">
        <v>7.9000000000000001E-2</v>
      </c>
      <c r="Q43" s="29">
        <v>7.9000000000000001E-2</v>
      </c>
      <c r="R43" s="29">
        <v>7.9000000000000001E-2</v>
      </c>
      <c r="S43" s="29">
        <v>7.9000000000000001E-2</v>
      </c>
      <c r="T43" s="29">
        <v>7.9000000000000001E-2</v>
      </c>
      <c r="U43" s="29">
        <v>7.9000000000000001E-2</v>
      </c>
      <c r="V43" s="29">
        <v>7.9000000000000001E-2</v>
      </c>
      <c r="W43" s="29">
        <v>7.9000000000000001E-2</v>
      </c>
      <c r="X43" s="29">
        <v>7.9000000000000001E-2</v>
      </c>
      <c r="Y43" s="29">
        <v>7.9000000000000001E-2</v>
      </c>
      <c r="Z43" s="29">
        <v>7.9000000000000001E-2</v>
      </c>
      <c r="AA43" s="29">
        <v>7.9000000000000001E-2</v>
      </c>
      <c r="AB43" s="29">
        <v>7.9000000000000001E-2</v>
      </c>
      <c r="AC43" s="29">
        <v>7.9000000000000001E-2</v>
      </c>
      <c r="AD43" s="29">
        <v>7.9000000000000001E-2</v>
      </c>
      <c r="AE43" s="29">
        <v>7.9000000000000001E-2</v>
      </c>
      <c r="AF43" s="29">
        <v>7.9000000000000001E-2</v>
      </c>
      <c r="AG43" s="29">
        <v>7.9000000000000001E-2</v>
      </c>
      <c r="AH43" s="29">
        <v>7.9000000000000001E-2</v>
      </c>
      <c r="AI43" s="29">
        <v>7.9000000000000001E-2</v>
      </c>
      <c r="AJ43" s="29">
        <v>7.9000000000000001E-2</v>
      </c>
      <c r="AK43" s="29">
        <v>7.9000000000000001E-2</v>
      </c>
      <c r="AL43" s="44">
        <v>7.9000000000000001E-2</v>
      </c>
      <c r="AM43" s="10"/>
    </row>
    <row r="44" spans="2:39" ht="15">
      <c r="B44" s="10"/>
      <c r="C44" s="11" t="str">
        <f>"EL 3: " &amp; INDEX(_doName,7,4)</f>
        <v>EL 3: EL 3</v>
      </c>
      <c r="D44" s="12" t="s">
        <v>47</v>
      </c>
      <c r="E44" s="29">
        <v>9.8000000000000004E-2</v>
      </c>
      <c r="F44" s="29">
        <f t="array" ref="F44:AL44">$E$44</f>
        <v>9.8000000000000004E-2</v>
      </c>
      <c r="G44" s="29">
        <v>9.8000000000000004E-2</v>
      </c>
      <c r="H44" s="29">
        <v>9.8000000000000004E-2</v>
      </c>
      <c r="I44" s="29">
        <v>9.8000000000000004E-2</v>
      </c>
      <c r="J44" s="29">
        <v>9.8000000000000004E-2</v>
      </c>
      <c r="K44" s="29">
        <v>9.8000000000000004E-2</v>
      </c>
      <c r="L44" s="29">
        <v>9.8000000000000004E-2</v>
      </c>
      <c r="M44" s="29">
        <v>9.8000000000000004E-2</v>
      </c>
      <c r="N44" s="29">
        <v>9.8000000000000004E-2</v>
      </c>
      <c r="O44" s="29">
        <v>9.8000000000000004E-2</v>
      </c>
      <c r="P44" s="29">
        <v>9.8000000000000004E-2</v>
      </c>
      <c r="Q44" s="29">
        <v>9.8000000000000004E-2</v>
      </c>
      <c r="R44" s="29">
        <v>9.8000000000000004E-2</v>
      </c>
      <c r="S44" s="29">
        <v>9.8000000000000004E-2</v>
      </c>
      <c r="T44" s="29">
        <v>9.8000000000000004E-2</v>
      </c>
      <c r="U44" s="29">
        <v>9.8000000000000004E-2</v>
      </c>
      <c r="V44" s="29">
        <v>9.8000000000000004E-2</v>
      </c>
      <c r="W44" s="29">
        <v>9.8000000000000004E-2</v>
      </c>
      <c r="X44" s="29">
        <v>9.8000000000000004E-2</v>
      </c>
      <c r="Y44" s="29">
        <v>9.8000000000000004E-2</v>
      </c>
      <c r="Z44" s="29">
        <v>9.8000000000000004E-2</v>
      </c>
      <c r="AA44" s="29">
        <v>9.8000000000000004E-2</v>
      </c>
      <c r="AB44" s="29">
        <v>9.8000000000000004E-2</v>
      </c>
      <c r="AC44" s="29">
        <v>9.8000000000000004E-2</v>
      </c>
      <c r="AD44" s="29">
        <v>9.8000000000000004E-2</v>
      </c>
      <c r="AE44" s="29">
        <v>9.8000000000000004E-2</v>
      </c>
      <c r="AF44" s="29">
        <v>9.8000000000000004E-2</v>
      </c>
      <c r="AG44" s="29">
        <v>9.8000000000000004E-2</v>
      </c>
      <c r="AH44" s="29">
        <v>9.8000000000000004E-2</v>
      </c>
      <c r="AI44" s="29">
        <v>9.8000000000000004E-2</v>
      </c>
      <c r="AJ44" s="29">
        <v>9.8000000000000004E-2</v>
      </c>
      <c r="AK44" s="29">
        <v>9.8000000000000004E-2</v>
      </c>
      <c r="AL44" s="44">
        <v>9.8000000000000004E-2</v>
      </c>
      <c r="AM44" s="10"/>
    </row>
    <row r="45" spans="2:39" ht="15">
      <c r="B45" s="10"/>
      <c r="C45" s="11" t="str">
        <f>"EL 4: " &amp; INDEX(_doName,7,5)</f>
        <v>EL 4: EL 4</v>
      </c>
      <c r="D45" s="12" t="s">
        <v>47</v>
      </c>
      <c r="E45" s="29">
        <v>0.121</v>
      </c>
      <c r="F45" s="29">
        <f t="array" ref="F45:AL45">$E$45</f>
        <v>0.121</v>
      </c>
      <c r="G45" s="29">
        <v>0.121</v>
      </c>
      <c r="H45" s="29">
        <v>0.121</v>
      </c>
      <c r="I45" s="29">
        <v>0.121</v>
      </c>
      <c r="J45" s="29">
        <v>0.121</v>
      </c>
      <c r="K45" s="29">
        <v>0.121</v>
      </c>
      <c r="L45" s="29">
        <v>0.121</v>
      </c>
      <c r="M45" s="29">
        <v>0.121</v>
      </c>
      <c r="N45" s="29">
        <v>0.121</v>
      </c>
      <c r="O45" s="29">
        <v>0.121</v>
      </c>
      <c r="P45" s="29">
        <v>0.121</v>
      </c>
      <c r="Q45" s="29">
        <v>0.121</v>
      </c>
      <c r="R45" s="29">
        <v>0.121</v>
      </c>
      <c r="S45" s="29">
        <v>0.121</v>
      </c>
      <c r="T45" s="29">
        <v>0.121</v>
      </c>
      <c r="U45" s="29">
        <v>0.121</v>
      </c>
      <c r="V45" s="29">
        <v>0.121</v>
      </c>
      <c r="W45" s="29">
        <v>0.121</v>
      </c>
      <c r="X45" s="29">
        <v>0.121</v>
      </c>
      <c r="Y45" s="29">
        <v>0.121</v>
      </c>
      <c r="Z45" s="29">
        <v>0.121</v>
      </c>
      <c r="AA45" s="29">
        <v>0.121</v>
      </c>
      <c r="AB45" s="29">
        <v>0.121</v>
      </c>
      <c r="AC45" s="29">
        <v>0.121</v>
      </c>
      <c r="AD45" s="29">
        <v>0.121</v>
      </c>
      <c r="AE45" s="29">
        <v>0.121</v>
      </c>
      <c r="AF45" s="29">
        <v>0.121</v>
      </c>
      <c r="AG45" s="29">
        <v>0.121</v>
      </c>
      <c r="AH45" s="29">
        <v>0.121</v>
      </c>
      <c r="AI45" s="29">
        <v>0.121</v>
      </c>
      <c r="AJ45" s="29">
        <v>0.121</v>
      </c>
      <c r="AK45" s="29">
        <v>0.121</v>
      </c>
      <c r="AL45" s="44">
        <v>0.121</v>
      </c>
      <c r="AM45" s="10"/>
    </row>
    <row r="46" spans="2:39" ht="15">
      <c r="B46" s="10"/>
      <c r="C46" s="11" t="str">
        <f>"EL 5: " &amp; INDEX(_doName,7,6)</f>
        <v>EL 5: EL 5</v>
      </c>
      <c r="D46" s="12" t="s">
        <v>47</v>
      </c>
      <c r="E46" s="29">
        <v>0.314</v>
      </c>
      <c r="F46" s="29">
        <f t="array" ref="F46:AL46">$E$46</f>
        <v>0.314</v>
      </c>
      <c r="G46" s="29">
        <v>0.314</v>
      </c>
      <c r="H46" s="29">
        <v>0.314</v>
      </c>
      <c r="I46" s="29">
        <v>0.314</v>
      </c>
      <c r="J46" s="29">
        <v>0.314</v>
      </c>
      <c r="K46" s="29">
        <v>0.314</v>
      </c>
      <c r="L46" s="29">
        <v>0.314</v>
      </c>
      <c r="M46" s="29">
        <v>0.314</v>
      </c>
      <c r="N46" s="29">
        <v>0.314</v>
      </c>
      <c r="O46" s="29">
        <v>0.314</v>
      </c>
      <c r="P46" s="29">
        <v>0.314</v>
      </c>
      <c r="Q46" s="29">
        <v>0.314</v>
      </c>
      <c r="R46" s="29">
        <v>0.314</v>
      </c>
      <c r="S46" s="29">
        <v>0.314</v>
      </c>
      <c r="T46" s="29">
        <v>0.314</v>
      </c>
      <c r="U46" s="29">
        <v>0.314</v>
      </c>
      <c r="V46" s="29">
        <v>0.314</v>
      </c>
      <c r="W46" s="29">
        <v>0.314</v>
      </c>
      <c r="X46" s="29">
        <v>0.314</v>
      </c>
      <c r="Y46" s="29">
        <v>0.314</v>
      </c>
      <c r="Z46" s="29">
        <v>0.314</v>
      </c>
      <c r="AA46" s="29">
        <v>0.314</v>
      </c>
      <c r="AB46" s="29">
        <v>0.314</v>
      </c>
      <c r="AC46" s="29">
        <v>0.314</v>
      </c>
      <c r="AD46" s="29">
        <v>0.314</v>
      </c>
      <c r="AE46" s="29">
        <v>0.314</v>
      </c>
      <c r="AF46" s="29">
        <v>0.314</v>
      </c>
      <c r="AG46" s="29">
        <v>0.314</v>
      </c>
      <c r="AH46" s="29">
        <v>0.314</v>
      </c>
      <c r="AI46" s="29">
        <v>0.314</v>
      </c>
      <c r="AJ46" s="29">
        <v>0.314</v>
      </c>
      <c r="AK46" s="29">
        <v>0.314</v>
      </c>
      <c r="AL46" s="44">
        <v>0.314</v>
      </c>
      <c r="AM46" s="10"/>
    </row>
    <row r="47" spans="2:39" ht="15">
      <c r="B47" s="10"/>
      <c r="C47" s="21" t="str">
        <f>"EL 6: " &amp; INDEX(_doName,7,7)</f>
        <v>EL 6: EL 6</v>
      </c>
      <c r="D47" s="18" t="s">
        <v>47</v>
      </c>
      <c r="E47" s="46">
        <v>8.8999999999999996E-2</v>
      </c>
      <c r="F47" s="46">
        <f t="array" ref="F47:AL47">$E$47</f>
        <v>8.8999999999999996E-2</v>
      </c>
      <c r="G47" s="46">
        <v>8.8999999999999996E-2</v>
      </c>
      <c r="H47" s="46">
        <v>8.8999999999999996E-2</v>
      </c>
      <c r="I47" s="46">
        <v>8.8999999999999996E-2</v>
      </c>
      <c r="J47" s="46">
        <v>8.8999999999999996E-2</v>
      </c>
      <c r="K47" s="46">
        <v>8.8999999999999996E-2</v>
      </c>
      <c r="L47" s="46">
        <v>8.8999999999999996E-2</v>
      </c>
      <c r="M47" s="46">
        <v>8.8999999999999996E-2</v>
      </c>
      <c r="N47" s="46">
        <v>8.8999999999999996E-2</v>
      </c>
      <c r="O47" s="46">
        <v>8.8999999999999996E-2</v>
      </c>
      <c r="P47" s="46">
        <v>8.8999999999999996E-2</v>
      </c>
      <c r="Q47" s="46">
        <v>8.8999999999999996E-2</v>
      </c>
      <c r="R47" s="46">
        <v>8.8999999999999996E-2</v>
      </c>
      <c r="S47" s="46">
        <v>8.8999999999999996E-2</v>
      </c>
      <c r="T47" s="46">
        <v>8.8999999999999996E-2</v>
      </c>
      <c r="U47" s="46">
        <v>8.8999999999999996E-2</v>
      </c>
      <c r="V47" s="46">
        <v>8.8999999999999996E-2</v>
      </c>
      <c r="W47" s="46">
        <v>8.8999999999999996E-2</v>
      </c>
      <c r="X47" s="46">
        <v>8.8999999999999996E-2</v>
      </c>
      <c r="Y47" s="46">
        <v>8.8999999999999996E-2</v>
      </c>
      <c r="Z47" s="46">
        <v>8.8999999999999996E-2</v>
      </c>
      <c r="AA47" s="46">
        <v>8.8999999999999996E-2</v>
      </c>
      <c r="AB47" s="46">
        <v>8.8999999999999996E-2</v>
      </c>
      <c r="AC47" s="46">
        <v>8.8999999999999996E-2</v>
      </c>
      <c r="AD47" s="46">
        <v>8.8999999999999996E-2</v>
      </c>
      <c r="AE47" s="46">
        <v>8.8999999999999996E-2</v>
      </c>
      <c r="AF47" s="46">
        <v>8.8999999999999996E-2</v>
      </c>
      <c r="AG47" s="46">
        <v>8.8999999999999996E-2</v>
      </c>
      <c r="AH47" s="46">
        <v>8.8999999999999996E-2</v>
      </c>
      <c r="AI47" s="46">
        <v>8.8999999999999996E-2</v>
      </c>
      <c r="AJ47" s="46">
        <v>8.8999999999999996E-2</v>
      </c>
      <c r="AK47" s="46">
        <v>8.8999999999999996E-2</v>
      </c>
      <c r="AL47" s="47">
        <v>8.8999999999999996E-2</v>
      </c>
      <c r="AM47" s="10"/>
    </row>
    <row r="48" spans="2:39" ht="15">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2:39" ht="15" hidden="1">
      <c r="B49" s="10"/>
      <c r="C49" s="22" t="s">
        <v>89</v>
      </c>
      <c r="D49" s="23"/>
      <c r="E49" s="24">
        <f t="array" ref="E49:AL49">_yS</f>
        <v>2019</v>
      </c>
      <c r="F49" s="24">
        <v>2020</v>
      </c>
      <c r="G49" s="24">
        <v>2021</v>
      </c>
      <c r="H49" s="24">
        <v>2022</v>
      </c>
      <c r="I49" s="24">
        <v>2023</v>
      </c>
      <c r="J49" s="24">
        <v>2024</v>
      </c>
      <c r="K49" s="24">
        <v>2025</v>
      </c>
      <c r="L49" s="24">
        <v>2026</v>
      </c>
      <c r="M49" s="24">
        <v>2027</v>
      </c>
      <c r="N49" s="24">
        <v>2028</v>
      </c>
      <c r="O49" s="24">
        <v>2029</v>
      </c>
      <c r="P49" s="24">
        <v>2030</v>
      </c>
      <c r="Q49" s="24">
        <v>2031</v>
      </c>
      <c r="R49" s="24">
        <v>2032</v>
      </c>
      <c r="S49" s="24">
        <v>2033</v>
      </c>
      <c r="T49" s="24">
        <v>2034</v>
      </c>
      <c r="U49" s="24">
        <v>2035</v>
      </c>
      <c r="V49" s="24">
        <v>2036</v>
      </c>
      <c r="W49" s="24">
        <v>2037</v>
      </c>
      <c r="X49" s="24">
        <v>2038</v>
      </c>
      <c r="Y49" s="24">
        <v>2039</v>
      </c>
      <c r="Z49" s="24">
        <v>2040</v>
      </c>
      <c r="AA49" s="24">
        <v>2041</v>
      </c>
      <c r="AB49" s="24">
        <v>2042</v>
      </c>
      <c r="AC49" s="24">
        <v>2043</v>
      </c>
      <c r="AD49" s="24">
        <v>2044</v>
      </c>
      <c r="AE49" s="24">
        <v>2045</v>
      </c>
      <c r="AF49" s="24">
        <v>2046</v>
      </c>
      <c r="AG49" s="24">
        <v>2047</v>
      </c>
      <c r="AH49" s="24">
        <v>2048</v>
      </c>
      <c r="AI49" s="24">
        <v>2049</v>
      </c>
      <c r="AJ49" s="24">
        <v>2050</v>
      </c>
      <c r="AK49" s="24">
        <v>2051</v>
      </c>
      <c r="AL49" s="25">
        <v>2052</v>
      </c>
      <c r="AM49" s="10"/>
    </row>
    <row r="50" spans="2:39" ht="15" hidden="1">
      <c r="B50" s="10"/>
      <c r="C50" s="11" t="str">
        <f>"EL 0: " &amp; INDEX(_doName,7,1)</f>
        <v>EL 0: EL 6</v>
      </c>
      <c r="D50" s="12"/>
      <c r="E50" s="13">
        <f t="array" ref="E50:AL50">tlccQubc0</f>
        <v>2958.2509241837502</v>
      </c>
      <c r="F50" s="13">
        <v>2958.2509241837502</v>
      </c>
      <c r="G50" s="13">
        <v>2958.2509241837502</v>
      </c>
      <c r="H50" s="13">
        <v>2958.2509241837502</v>
      </c>
      <c r="I50" s="13">
        <v>2958.2509241837502</v>
      </c>
      <c r="J50" s="13">
        <v>2958.2509241837502</v>
      </c>
      <c r="K50" s="13">
        <v>2958.2509241837502</v>
      </c>
      <c r="L50" s="13">
        <v>2958.2509241837502</v>
      </c>
      <c r="M50" s="13">
        <v>2958.2509241837502</v>
      </c>
      <c r="N50" s="13">
        <v>2958.2509241837502</v>
      </c>
      <c r="O50" s="13">
        <v>2958.2509241837502</v>
      </c>
      <c r="P50" s="13">
        <v>2958.2509241837502</v>
      </c>
      <c r="Q50" s="13">
        <v>2958.2509241837502</v>
      </c>
      <c r="R50" s="13">
        <v>2958.2509241837502</v>
      </c>
      <c r="S50" s="13">
        <v>2958.2509241837502</v>
      </c>
      <c r="T50" s="13">
        <v>2958.2509241837502</v>
      </c>
      <c r="U50" s="13">
        <v>2958.2509241837502</v>
      </c>
      <c r="V50" s="13">
        <v>2958.2509241837502</v>
      </c>
      <c r="W50" s="13">
        <v>2958.2509241837502</v>
      </c>
      <c r="X50" s="13">
        <v>2958.2509241837502</v>
      </c>
      <c r="Y50" s="13">
        <v>2958.2509241837502</v>
      </c>
      <c r="Z50" s="13">
        <v>2958.2509241837502</v>
      </c>
      <c r="AA50" s="13">
        <v>2958.2509241837502</v>
      </c>
      <c r="AB50" s="13">
        <v>2958.2509241837502</v>
      </c>
      <c r="AC50" s="13">
        <v>2958.2509241837502</v>
      </c>
      <c r="AD50" s="13">
        <v>2958.2509241837502</v>
      </c>
      <c r="AE50" s="13">
        <v>2958.2509241837502</v>
      </c>
      <c r="AF50" s="13">
        <v>2958.2509241837502</v>
      </c>
      <c r="AG50" s="13">
        <v>2958.2509241837502</v>
      </c>
      <c r="AH50" s="13">
        <v>2958.2509241837502</v>
      </c>
      <c r="AI50" s="13">
        <v>2958.2509241837502</v>
      </c>
      <c r="AJ50" s="13">
        <v>2958.2509241837502</v>
      </c>
      <c r="AK50" s="13">
        <v>2958.2509241837502</v>
      </c>
      <c r="AL50" s="56">
        <v>2958.2509241837502</v>
      </c>
      <c r="AM50" s="10"/>
    </row>
    <row r="51" spans="2:39" ht="15" hidden="1">
      <c r="B51" s="10"/>
      <c r="C51" s="11" t="str">
        <f>"EL 1: " &amp; INDEX(_doName,7,2)</f>
        <v>EL 1: EL 1</v>
      </c>
      <c r="D51" s="12"/>
      <c r="E51" s="13">
        <f t="array" ref="E51:AL51">tlccQubc1</f>
        <v>3457.4900352423101</v>
      </c>
      <c r="F51" s="13">
        <v>3457.4900352423101</v>
      </c>
      <c r="G51" s="13">
        <v>3457.4900352423101</v>
      </c>
      <c r="H51" s="13">
        <v>3457.4900352423101</v>
      </c>
      <c r="I51" s="13">
        <v>3457.4900352423101</v>
      </c>
      <c r="J51" s="13">
        <v>3457.4900352423101</v>
      </c>
      <c r="K51" s="13">
        <v>3457.4900352423101</v>
      </c>
      <c r="L51" s="13">
        <v>3457.4900352423101</v>
      </c>
      <c r="M51" s="13">
        <v>3457.4900352423101</v>
      </c>
      <c r="N51" s="13">
        <v>3457.4900352423101</v>
      </c>
      <c r="O51" s="13">
        <v>3457.4900352423101</v>
      </c>
      <c r="P51" s="13">
        <v>3457.4900352423101</v>
      </c>
      <c r="Q51" s="13">
        <v>3457.4900352423101</v>
      </c>
      <c r="R51" s="13">
        <v>3457.4900352423101</v>
      </c>
      <c r="S51" s="13">
        <v>3457.4900352423101</v>
      </c>
      <c r="T51" s="13">
        <v>3457.4900352423101</v>
      </c>
      <c r="U51" s="13">
        <v>3457.4900352423101</v>
      </c>
      <c r="V51" s="13">
        <v>3457.4900352423101</v>
      </c>
      <c r="W51" s="13">
        <v>3457.4900352423101</v>
      </c>
      <c r="X51" s="13">
        <v>3457.4900352423101</v>
      </c>
      <c r="Y51" s="13">
        <v>3457.4900352423101</v>
      </c>
      <c r="Z51" s="13">
        <v>3457.4900352423101</v>
      </c>
      <c r="AA51" s="13">
        <v>3457.4900352423101</v>
      </c>
      <c r="AB51" s="13">
        <v>3457.4900352423101</v>
      </c>
      <c r="AC51" s="13">
        <v>3457.4900352423101</v>
      </c>
      <c r="AD51" s="13">
        <v>3457.4900352423101</v>
      </c>
      <c r="AE51" s="13">
        <v>3457.4900352423101</v>
      </c>
      <c r="AF51" s="13">
        <v>3457.4900352423101</v>
      </c>
      <c r="AG51" s="13">
        <v>3457.4900352423101</v>
      </c>
      <c r="AH51" s="13">
        <v>3457.4900352423101</v>
      </c>
      <c r="AI51" s="13">
        <v>3457.4900352423101</v>
      </c>
      <c r="AJ51" s="13">
        <v>3457.4900352423101</v>
      </c>
      <c r="AK51" s="13">
        <v>3457.4900352423101</v>
      </c>
      <c r="AL51" s="56">
        <v>3457.4900352423101</v>
      </c>
      <c r="AM51" s="10"/>
    </row>
    <row r="52" spans="2:39" ht="15" hidden="1">
      <c r="B52" s="10"/>
      <c r="C52" s="11" t="str">
        <f>"EL 2: " &amp; INDEX(_doName,7,3)</f>
        <v>EL 2: EL 2</v>
      </c>
      <c r="D52" s="12"/>
      <c r="E52" s="13">
        <f t="array" ref="E52:AL52">tlccQubc2</f>
        <v>3065.95173259494</v>
      </c>
      <c r="F52" s="13">
        <v>3065.95173259494</v>
      </c>
      <c r="G52" s="13">
        <v>3065.95173259494</v>
      </c>
      <c r="H52" s="13">
        <v>3065.95173259494</v>
      </c>
      <c r="I52" s="13">
        <v>3065.95173259494</v>
      </c>
      <c r="J52" s="13">
        <v>3065.95173259494</v>
      </c>
      <c r="K52" s="13">
        <v>3065.95173259494</v>
      </c>
      <c r="L52" s="13">
        <v>3065.95173259494</v>
      </c>
      <c r="M52" s="13">
        <v>3065.95173259494</v>
      </c>
      <c r="N52" s="13">
        <v>3065.95173259494</v>
      </c>
      <c r="O52" s="13">
        <v>3065.95173259494</v>
      </c>
      <c r="P52" s="13">
        <v>3065.95173259494</v>
      </c>
      <c r="Q52" s="13">
        <v>3065.95173259494</v>
      </c>
      <c r="R52" s="13">
        <v>3065.95173259494</v>
      </c>
      <c r="S52" s="13">
        <v>3065.95173259494</v>
      </c>
      <c r="T52" s="13">
        <v>3065.95173259494</v>
      </c>
      <c r="U52" s="13">
        <v>3065.95173259494</v>
      </c>
      <c r="V52" s="13">
        <v>3065.95173259494</v>
      </c>
      <c r="W52" s="13">
        <v>3065.95173259494</v>
      </c>
      <c r="X52" s="13">
        <v>3065.95173259494</v>
      </c>
      <c r="Y52" s="13">
        <v>3065.95173259494</v>
      </c>
      <c r="Z52" s="13">
        <v>3065.95173259494</v>
      </c>
      <c r="AA52" s="13">
        <v>3065.95173259494</v>
      </c>
      <c r="AB52" s="13">
        <v>3065.95173259494</v>
      </c>
      <c r="AC52" s="13">
        <v>3065.95173259494</v>
      </c>
      <c r="AD52" s="13">
        <v>3065.95173259494</v>
      </c>
      <c r="AE52" s="13">
        <v>3065.95173259494</v>
      </c>
      <c r="AF52" s="13">
        <v>3065.95173259494</v>
      </c>
      <c r="AG52" s="13">
        <v>3065.95173259494</v>
      </c>
      <c r="AH52" s="13">
        <v>3065.95173259494</v>
      </c>
      <c r="AI52" s="13">
        <v>3065.95173259494</v>
      </c>
      <c r="AJ52" s="13">
        <v>3065.95173259494</v>
      </c>
      <c r="AK52" s="13">
        <v>3065.95173259494</v>
      </c>
      <c r="AL52" s="56">
        <v>3065.95173259494</v>
      </c>
      <c r="AM52" s="10"/>
    </row>
    <row r="53" spans="2:39" ht="15" hidden="1">
      <c r="B53" s="10"/>
      <c r="C53" s="11" t="str">
        <f>"EL 3: " &amp; INDEX(_doName,7,4)</f>
        <v>EL 3: EL 3</v>
      </c>
      <c r="D53" s="12"/>
      <c r="E53" s="13">
        <f t="array" ref="E53:AL53">tlccQubc3</f>
        <v>2909.62247263361</v>
      </c>
      <c r="F53" s="13">
        <v>2909.62247263361</v>
      </c>
      <c r="G53" s="13">
        <v>2909.62247263361</v>
      </c>
      <c r="H53" s="13">
        <v>2909.62247263361</v>
      </c>
      <c r="I53" s="13">
        <v>2909.62247263361</v>
      </c>
      <c r="J53" s="13">
        <v>2909.62247263361</v>
      </c>
      <c r="K53" s="13">
        <v>2909.62247263361</v>
      </c>
      <c r="L53" s="13">
        <v>2909.62247263361</v>
      </c>
      <c r="M53" s="13">
        <v>2909.62247263361</v>
      </c>
      <c r="N53" s="13">
        <v>2909.62247263361</v>
      </c>
      <c r="O53" s="13">
        <v>2909.62247263361</v>
      </c>
      <c r="P53" s="13">
        <v>2909.62247263361</v>
      </c>
      <c r="Q53" s="13">
        <v>2909.62247263361</v>
      </c>
      <c r="R53" s="13">
        <v>2909.62247263361</v>
      </c>
      <c r="S53" s="13">
        <v>2909.62247263361</v>
      </c>
      <c r="T53" s="13">
        <v>2909.62247263361</v>
      </c>
      <c r="U53" s="13">
        <v>2909.62247263361</v>
      </c>
      <c r="V53" s="13">
        <v>2909.62247263361</v>
      </c>
      <c r="W53" s="13">
        <v>2909.62247263361</v>
      </c>
      <c r="X53" s="13">
        <v>2909.62247263361</v>
      </c>
      <c r="Y53" s="13">
        <v>2909.62247263361</v>
      </c>
      <c r="Z53" s="13">
        <v>2909.62247263361</v>
      </c>
      <c r="AA53" s="13">
        <v>2909.62247263361</v>
      </c>
      <c r="AB53" s="13">
        <v>2909.62247263361</v>
      </c>
      <c r="AC53" s="13">
        <v>2909.62247263361</v>
      </c>
      <c r="AD53" s="13">
        <v>2909.62247263361</v>
      </c>
      <c r="AE53" s="13">
        <v>2909.62247263361</v>
      </c>
      <c r="AF53" s="13">
        <v>2909.62247263361</v>
      </c>
      <c r="AG53" s="13">
        <v>2909.62247263361</v>
      </c>
      <c r="AH53" s="13">
        <v>2909.62247263361</v>
      </c>
      <c r="AI53" s="13">
        <v>2909.62247263361</v>
      </c>
      <c r="AJ53" s="13">
        <v>2909.62247263361</v>
      </c>
      <c r="AK53" s="13">
        <v>2909.62247263361</v>
      </c>
      <c r="AL53" s="56">
        <v>2909.62247263361</v>
      </c>
      <c r="AM53" s="10"/>
    </row>
    <row r="54" spans="2:39" ht="15" hidden="1">
      <c r="B54" s="10"/>
      <c r="C54" s="11" t="str">
        <f>"EL 4: " &amp; INDEX(_doName,7,5)</f>
        <v>EL 4: EL 4</v>
      </c>
      <c r="D54" s="12"/>
      <c r="E54" s="13">
        <f t="array" ref="E54:AL54">tlccQubc4</f>
        <v>2708.7549765990698</v>
      </c>
      <c r="F54" s="13">
        <v>2708.7549765990698</v>
      </c>
      <c r="G54" s="13">
        <v>2708.7549765990698</v>
      </c>
      <c r="H54" s="13">
        <v>2708.7549765990698</v>
      </c>
      <c r="I54" s="13">
        <v>2708.7549765990698</v>
      </c>
      <c r="J54" s="13">
        <v>2708.7549765990698</v>
      </c>
      <c r="K54" s="13">
        <v>2708.7549765990698</v>
      </c>
      <c r="L54" s="13">
        <v>2708.7549765990698</v>
      </c>
      <c r="M54" s="13">
        <v>2708.7549765990698</v>
      </c>
      <c r="N54" s="13">
        <v>2708.7549765990698</v>
      </c>
      <c r="O54" s="13">
        <v>2708.7549765990698</v>
      </c>
      <c r="P54" s="13">
        <v>2708.7549765990698</v>
      </c>
      <c r="Q54" s="13">
        <v>2708.7549765990698</v>
      </c>
      <c r="R54" s="13">
        <v>2708.7549765990698</v>
      </c>
      <c r="S54" s="13">
        <v>2708.7549765990698</v>
      </c>
      <c r="T54" s="13">
        <v>2708.7549765990698</v>
      </c>
      <c r="U54" s="13">
        <v>2708.7549765990698</v>
      </c>
      <c r="V54" s="13">
        <v>2708.7549765990698</v>
      </c>
      <c r="W54" s="13">
        <v>2708.7549765990698</v>
      </c>
      <c r="X54" s="13">
        <v>2708.7549765990698</v>
      </c>
      <c r="Y54" s="13">
        <v>2708.7549765990698</v>
      </c>
      <c r="Z54" s="13">
        <v>2708.7549765990698</v>
      </c>
      <c r="AA54" s="13">
        <v>2708.7549765990698</v>
      </c>
      <c r="AB54" s="13">
        <v>2708.7549765990698</v>
      </c>
      <c r="AC54" s="13">
        <v>2708.7549765990698</v>
      </c>
      <c r="AD54" s="13">
        <v>2708.7549765990698</v>
      </c>
      <c r="AE54" s="13">
        <v>2708.7549765990698</v>
      </c>
      <c r="AF54" s="13">
        <v>2708.7549765990698</v>
      </c>
      <c r="AG54" s="13">
        <v>2708.7549765990698</v>
      </c>
      <c r="AH54" s="13">
        <v>2708.7549765990698</v>
      </c>
      <c r="AI54" s="13">
        <v>2708.7549765990698</v>
      </c>
      <c r="AJ54" s="13">
        <v>2708.7549765990698</v>
      </c>
      <c r="AK54" s="13">
        <v>2708.7549765990698</v>
      </c>
      <c r="AL54" s="56">
        <v>2708.7549765990698</v>
      </c>
      <c r="AM54" s="10"/>
    </row>
    <row r="55" spans="2:39" ht="15" hidden="1">
      <c r="B55" s="10"/>
      <c r="C55" s="11" t="str">
        <f>"EL 5: " &amp; INDEX(_doName,7,6)</f>
        <v>EL 5: EL 5</v>
      </c>
      <c r="D55" s="12"/>
      <c r="E55" s="13">
        <f t="array" ref="E55:AL55">tlccQubc5</f>
        <v>2553.5618875502</v>
      </c>
      <c r="F55" s="13">
        <v>2553.5618875502</v>
      </c>
      <c r="G55" s="13">
        <v>2553.5618875502</v>
      </c>
      <c r="H55" s="13">
        <v>2553.5618875502</v>
      </c>
      <c r="I55" s="13">
        <v>2553.5618875502</v>
      </c>
      <c r="J55" s="13">
        <v>2553.5618875502</v>
      </c>
      <c r="K55" s="13">
        <v>2553.5618875502</v>
      </c>
      <c r="L55" s="13">
        <v>2553.5618875502</v>
      </c>
      <c r="M55" s="13">
        <v>2553.5618875502</v>
      </c>
      <c r="N55" s="13">
        <v>2553.5618875502</v>
      </c>
      <c r="O55" s="13">
        <v>2553.5618875502</v>
      </c>
      <c r="P55" s="13">
        <v>2553.5618875502</v>
      </c>
      <c r="Q55" s="13">
        <v>2553.5618875502</v>
      </c>
      <c r="R55" s="13">
        <v>2553.5618875502</v>
      </c>
      <c r="S55" s="13">
        <v>2553.5618875502</v>
      </c>
      <c r="T55" s="13">
        <v>2553.5618875502</v>
      </c>
      <c r="U55" s="13">
        <v>2553.5618875502</v>
      </c>
      <c r="V55" s="13">
        <v>2553.5618875502</v>
      </c>
      <c r="W55" s="13">
        <v>2553.5618875502</v>
      </c>
      <c r="X55" s="13">
        <v>2553.5618875502</v>
      </c>
      <c r="Y55" s="13">
        <v>2553.5618875502</v>
      </c>
      <c r="Z55" s="13">
        <v>2553.5618875502</v>
      </c>
      <c r="AA55" s="13">
        <v>2553.5618875502</v>
      </c>
      <c r="AB55" s="13">
        <v>2553.5618875502</v>
      </c>
      <c r="AC55" s="13">
        <v>2553.5618875502</v>
      </c>
      <c r="AD55" s="13">
        <v>2553.5618875502</v>
      </c>
      <c r="AE55" s="13">
        <v>2553.5618875502</v>
      </c>
      <c r="AF55" s="13">
        <v>2553.5618875502</v>
      </c>
      <c r="AG55" s="13">
        <v>2553.5618875502</v>
      </c>
      <c r="AH55" s="13">
        <v>2553.5618875502</v>
      </c>
      <c r="AI55" s="13">
        <v>2553.5618875502</v>
      </c>
      <c r="AJ55" s="13">
        <v>2553.5618875502</v>
      </c>
      <c r="AK55" s="13">
        <v>2553.5618875502</v>
      </c>
      <c r="AL55" s="56">
        <v>2553.5618875502</v>
      </c>
      <c r="AM55" s="10"/>
    </row>
    <row r="56" spans="2:39" ht="15" hidden="1">
      <c r="B56" s="10"/>
      <c r="C56" s="21" t="str">
        <f>"EL 6: " &amp; INDEX(_doName,7,7)</f>
        <v>EL 6: EL 6</v>
      </c>
      <c r="D56" s="18"/>
      <c r="E56" s="58">
        <f t="array" ref="E56:AL56">tlccQubc6</f>
        <v>3821.84135460993</v>
      </c>
      <c r="F56" s="58">
        <v>3821.84135460993</v>
      </c>
      <c r="G56" s="58">
        <v>3821.84135460993</v>
      </c>
      <c r="H56" s="58">
        <v>3821.84135460993</v>
      </c>
      <c r="I56" s="58">
        <v>3821.84135460993</v>
      </c>
      <c r="J56" s="58">
        <v>3821.84135460993</v>
      </c>
      <c r="K56" s="58">
        <v>3821.84135460993</v>
      </c>
      <c r="L56" s="58">
        <v>3821.84135460993</v>
      </c>
      <c r="M56" s="58">
        <v>3821.84135460993</v>
      </c>
      <c r="N56" s="58">
        <v>3821.84135460993</v>
      </c>
      <c r="O56" s="58">
        <v>3821.84135460993</v>
      </c>
      <c r="P56" s="58">
        <v>3821.84135460993</v>
      </c>
      <c r="Q56" s="58">
        <v>3821.84135460993</v>
      </c>
      <c r="R56" s="58">
        <v>3821.84135460993</v>
      </c>
      <c r="S56" s="58">
        <v>3821.84135460993</v>
      </c>
      <c r="T56" s="58">
        <v>3821.84135460993</v>
      </c>
      <c r="U56" s="58">
        <v>3821.84135460993</v>
      </c>
      <c r="V56" s="58">
        <v>3821.84135460993</v>
      </c>
      <c r="W56" s="58">
        <v>3821.84135460993</v>
      </c>
      <c r="X56" s="58">
        <v>3821.84135460993</v>
      </c>
      <c r="Y56" s="58">
        <v>3821.84135460993</v>
      </c>
      <c r="Z56" s="58">
        <v>3821.84135460993</v>
      </c>
      <c r="AA56" s="58">
        <v>3821.84135460993</v>
      </c>
      <c r="AB56" s="58">
        <v>3821.84135460993</v>
      </c>
      <c r="AC56" s="58">
        <v>3821.84135460993</v>
      </c>
      <c r="AD56" s="58">
        <v>3821.84135460993</v>
      </c>
      <c r="AE56" s="58">
        <v>3821.84135460993</v>
      </c>
      <c r="AF56" s="58">
        <v>3821.84135460993</v>
      </c>
      <c r="AG56" s="58">
        <v>3821.84135460993</v>
      </c>
      <c r="AH56" s="58">
        <v>3821.84135460993</v>
      </c>
      <c r="AI56" s="58">
        <v>3821.84135460993</v>
      </c>
      <c r="AJ56" s="58">
        <v>3821.84135460993</v>
      </c>
      <c r="AK56" s="58">
        <v>3821.84135460993</v>
      </c>
      <c r="AL56" s="59">
        <v>3821.84135460993</v>
      </c>
      <c r="AM56" s="10"/>
    </row>
    <row r="57" spans="2:39" ht="15" hidden="1">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2:39" ht="15" hidden="1">
      <c r="B58" s="10"/>
      <c r="C58" s="22" t="s">
        <v>88</v>
      </c>
      <c r="D58" s="23"/>
      <c r="E58" s="24">
        <f t="array" ref="E58:AL58">_yS</f>
        <v>2019</v>
      </c>
      <c r="F58" s="24">
        <v>2020</v>
      </c>
      <c r="G58" s="24">
        <v>2021</v>
      </c>
      <c r="H58" s="24">
        <v>2022</v>
      </c>
      <c r="I58" s="24">
        <v>2023</v>
      </c>
      <c r="J58" s="24">
        <v>2024</v>
      </c>
      <c r="K58" s="24">
        <v>2025</v>
      </c>
      <c r="L58" s="24">
        <v>2026</v>
      </c>
      <c r="M58" s="24">
        <v>2027</v>
      </c>
      <c r="N58" s="24">
        <v>2028</v>
      </c>
      <c r="O58" s="24">
        <v>2029</v>
      </c>
      <c r="P58" s="24">
        <v>2030</v>
      </c>
      <c r="Q58" s="24">
        <v>2031</v>
      </c>
      <c r="R58" s="24">
        <v>2032</v>
      </c>
      <c r="S58" s="24">
        <v>2033</v>
      </c>
      <c r="T58" s="24">
        <v>2034</v>
      </c>
      <c r="U58" s="24">
        <v>2035</v>
      </c>
      <c r="V58" s="24">
        <v>2036</v>
      </c>
      <c r="W58" s="24">
        <v>2037</v>
      </c>
      <c r="X58" s="24">
        <v>2038</v>
      </c>
      <c r="Y58" s="24">
        <v>2039</v>
      </c>
      <c r="Z58" s="24">
        <v>2040</v>
      </c>
      <c r="AA58" s="24">
        <v>2041</v>
      </c>
      <c r="AB58" s="24">
        <v>2042</v>
      </c>
      <c r="AC58" s="24">
        <v>2043</v>
      </c>
      <c r="AD58" s="24">
        <v>2044</v>
      </c>
      <c r="AE58" s="24">
        <v>2045</v>
      </c>
      <c r="AF58" s="24">
        <v>2046</v>
      </c>
      <c r="AG58" s="24">
        <v>2047</v>
      </c>
      <c r="AH58" s="24">
        <v>2048</v>
      </c>
      <c r="AI58" s="24">
        <v>2049</v>
      </c>
      <c r="AJ58" s="24">
        <v>2050</v>
      </c>
      <c r="AK58" s="24">
        <v>2051</v>
      </c>
      <c r="AL58" s="25">
        <v>2052</v>
      </c>
      <c r="AM58" s="10"/>
    </row>
    <row r="59" spans="2:39" ht="15" hidden="1">
      <c r="B59" s="10"/>
      <c r="C59" s="11" t="str">
        <f>"EL 0: " &amp; INDEX(_doName,7,1)</f>
        <v>EL 0: EL 6</v>
      </c>
      <c r="D59" s="12"/>
      <c r="E59" s="13">
        <f t="array" aca="1" ref="E59:AL59" ca="1">tlccEubc0</f>
        <v>14290.379585334129</v>
      </c>
      <c r="F59" s="13">
        <f ca="1"/>
        <v>14406.335297114565</v>
      </c>
      <c r="G59" s="13">
        <f ca="1"/>
        <v>14518.817326438739</v>
      </c>
      <c r="H59" s="13">
        <f ca="1"/>
        <v>14620.308003596594</v>
      </c>
      <c r="I59" s="13">
        <f ca="1"/>
        <v>14712.399837340437</v>
      </c>
      <c r="J59" s="13">
        <f ca="1"/>
        <v>14805.084114917261</v>
      </c>
      <c r="K59" s="13">
        <f ca="1"/>
        <v>14898.364737835776</v>
      </c>
      <c r="L59" s="13">
        <f ca="1"/>
        <v>14992.24563394217</v>
      </c>
      <c r="M59" s="13">
        <f ca="1"/>
        <v>15086.730757602376</v>
      </c>
      <c r="N59" s="13">
        <f ca="1"/>
        <v>15181.824089885642</v>
      </c>
      <c r="O59" s="13">
        <f ca="1"/>
        <v>15277.529638749442</v>
      </c>
      <c r="P59" s="13">
        <f ca="1"/>
        <v>15373.851439225651</v>
      </c>
      <c r="Q59" s="13">
        <f ca="1"/>
        <v>15470.793553608071</v>
      </c>
      <c r="R59" s="13">
        <f ca="1"/>
        <v>15568.36007164128</v>
      </c>
      <c r="S59" s="13">
        <f ca="1"/>
        <v>15666.555110710769</v>
      </c>
      <c r="T59" s="13">
        <f ca="1"/>
        <v>15765.382816034537</v>
      </c>
      <c r="U59" s="13">
        <f ca="1"/>
        <v>15864.847360855969</v>
      </c>
      <c r="V59" s="13">
        <f ca="1"/>
        <v>15964.952946638026</v>
      </c>
      <c r="W59" s="13">
        <f ca="1"/>
        <v>16065.703803259017</v>
      </c>
      <c r="X59" s="13">
        <f ca="1"/>
        <v>16167.104189209529</v>
      </c>
      <c r="Y59" s="13">
        <f ca="1"/>
        <v>16269.158391790854</v>
      </c>
      <c r="Z59" s="13">
        <f ca="1"/>
        <v>16371.870727314903</v>
      </c>
      <c r="AA59" s="13">
        <f ca="1"/>
        <v>16475.245541305412</v>
      </c>
      <c r="AB59" s="13">
        <f ca="1"/>
        <v>16579.287208700607</v>
      </c>
      <c r="AC59" s="13">
        <f ca="1"/>
        <v>16684.000134057351</v>
      </c>
      <c r="AD59" s="13">
        <f ca="1"/>
        <v>16789.388751756793</v>
      </c>
      <c r="AE59" s="13">
        <f ca="1"/>
        <v>16895.457526211307</v>
      </c>
      <c r="AF59" s="13">
        <f ca="1"/>
        <v>17002.210952073037</v>
      </c>
      <c r="AG59" s="13">
        <f ca="1"/>
        <v>17109.653554443932</v>
      </c>
      <c r="AH59" s="13">
        <f ca="1"/>
        <v>17217.789889087137</v>
      </c>
      <c r="AI59" s="13">
        <f ca="1"/>
        <v>17326.624542640107</v>
      </c>
      <c r="AJ59" s="13">
        <f ca="1"/>
        <v>17436.162132829028</v>
      </c>
      <c r="AK59" s="13">
        <f ca="1"/>
        <v>17546.407308684888</v>
      </c>
      <c r="AL59" s="56">
        <f ca="1"/>
        <v>17657.364750761</v>
      </c>
      <c r="AM59" s="10"/>
    </row>
    <row r="60" spans="2:39" ht="15" hidden="1">
      <c r="B60" s="10"/>
      <c r="C60" s="11" t="str">
        <f>"EL 1: " &amp; INDEX(_doName,7,2)</f>
        <v>EL 1: EL 1</v>
      </c>
      <c r="D60" s="12"/>
      <c r="E60" s="13">
        <f t="array" aca="1" ref="E60:AL60" ca="1">tlccEubc1</f>
        <v>13774.529889616664</v>
      </c>
      <c r="F60" s="13">
        <f ca="1"/>
        <v>13886.299868031414</v>
      </c>
      <c r="G60" s="13">
        <f ca="1"/>
        <v>13994.721555903217</v>
      </c>
      <c r="H60" s="13">
        <f ca="1"/>
        <v>14092.548654034532</v>
      </c>
      <c r="I60" s="13">
        <f ca="1"/>
        <v>14181.316185290039</v>
      </c>
      <c r="J60" s="13">
        <f ca="1"/>
        <v>14270.654774524552</v>
      </c>
      <c r="K60" s="13">
        <f ca="1"/>
        <v>14360.568182411334</v>
      </c>
      <c r="L60" s="13">
        <f ca="1"/>
        <v>14451.060195010417</v>
      </c>
      <c r="M60" s="13">
        <f ca="1"/>
        <v>14542.134623944215</v>
      </c>
      <c r="N60" s="13">
        <f ca="1"/>
        <v>14633.795306574606</v>
      </c>
      <c r="O60" s="13">
        <f ca="1"/>
        <v>14726.046106181042</v>
      </c>
      <c r="P60" s="13">
        <f ca="1"/>
        <v>14818.890912140076</v>
      </c>
      <c r="Q60" s="13">
        <f ca="1"/>
        <v>14912.333640106086</v>
      </c>
      <c r="R60" s="13">
        <f ca="1"/>
        <v>15006.378232193298</v>
      </c>
      <c r="S60" s="13">
        <f ca="1"/>
        <v>15101.028657159122</v>
      </c>
      <c r="T60" s="13">
        <f ca="1"/>
        <v>15196.288910588746</v>
      </c>
      <c r="U60" s="13">
        <f ca="1"/>
        <v>15292.163015081102</v>
      </c>
      <c r="V60" s="13">
        <f ca="1"/>
        <v>15388.655020436077</v>
      </c>
      <c r="W60" s="13">
        <f ca="1"/>
        <v>15485.769003843108</v>
      </c>
      <c r="X60" s="13">
        <f ca="1"/>
        <v>15583.509070071104</v>
      </c>
      <c r="Y60" s="13">
        <f ca="1"/>
        <v>15681.879351659731</v>
      </c>
      <c r="Z60" s="13">
        <f ca="1"/>
        <v>15780.884009111962</v>
      </c>
      <c r="AA60" s="13">
        <f ca="1"/>
        <v>15880.527231088174</v>
      </c>
      <c r="AB60" s="13">
        <f ca="1"/>
        <v>15980.813234601424</v>
      </c>
      <c r="AC60" s="13">
        <f ca="1"/>
        <v>16081.746265214284</v>
      </c>
      <c r="AD60" s="13">
        <f ca="1"/>
        <v>16183.330597236936</v>
      </c>
      <c r="AE60" s="13">
        <f ca="1"/>
        <v>16285.570533926806</v>
      </c>
      <c r="AF60" s="13">
        <f ca="1"/>
        <v>16388.47040768947</v>
      </c>
      <c r="AG60" s="13">
        <f ca="1"/>
        <v>16492.034580281124</v>
      </c>
      <c r="AH60" s="13">
        <f ca="1"/>
        <v>16596.267443012439</v>
      </c>
      <c r="AI60" s="13">
        <f ca="1"/>
        <v>16701.173416953825</v>
      </c>
      <c r="AJ60" s="13">
        <f ca="1"/>
        <v>16806.756953142212</v>
      </c>
      <c r="AK60" s="13">
        <f ca="1"/>
        <v>16913.022532789291</v>
      </c>
      <c r="AL60" s="56">
        <f ca="1"/>
        <v>17019.974667491257</v>
      </c>
      <c r="AM60" s="10"/>
    </row>
    <row r="61" spans="2:39" ht="15" hidden="1">
      <c r="B61" s="10"/>
      <c r="C61" s="11" t="str">
        <f>"EL 2: " &amp; INDEX(_doName,7,3)</f>
        <v>EL 2: EL 2</v>
      </c>
      <c r="D61" s="12"/>
      <c r="E61" s="13">
        <f t="array" aca="1" ref="E61:AL61" ca="1">tlccEubc2</f>
        <v>12008.711999358806</v>
      </c>
      <c r="F61" s="13">
        <f ca="1"/>
        <v>12106.153690052657</v>
      </c>
      <c r="G61" s="13">
        <f ca="1"/>
        <v>12200.676322372638</v>
      </c>
      <c r="H61" s="13">
        <f ca="1"/>
        <v>12285.962532254651</v>
      </c>
      <c r="I61" s="13">
        <f ca="1"/>
        <v>12363.350561195301</v>
      </c>
      <c r="J61" s="13">
        <f ca="1"/>
        <v>12441.236441667708</v>
      </c>
      <c r="K61" s="13">
        <f ca="1"/>
        <v>12519.623452247815</v>
      </c>
      <c r="L61" s="13">
        <f ca="1"/>
        <v>12598.514893643849</v>
      </c>
      <c r="M61" s="13">
        <f ca="1"/>
        <v>12677.914088849522</v>
      </c>
      <c r="N61" s="13">
        <f ca="1"/>
        <v>12757.824383298317</v>
      </c>
      <c r="O61" s="13">
        <f ca="1"/>
        <v>12838.249145018812</v>
      </c>
      <c r="P61" s="13">
        <f ca="1"/>
        <v>12919.191764791174</v>
      </c>
      <c r="Q61" s="13">
        <f ca="1"/>
        <v>13000.655656304752</v>
      </c>
      <c r="R61" s="13">
        <f ca="1"/>
        <v>13082.644256316711</v>
      </c>
      <c r="S61" s="13">
        <f ca="1"/>
        <v>13165.161024811896</v>
      </c>
      <c r="T61" s="13">
        <f ca="1"/>
        <v>13248.209445163771</v>
      </c>
      <c r="U61" s="13">
        <f ca="1"/>
        <v>13331.793024296509</v>
      </c>
      <c r="V61" s="13">
        <f ca="1"/>
        <v>13415.915292848258</v>
      </c>
      <c r="W61" s="13">
        <f ca="1"/>
        <v>13500.579805335516</v>
      </c>
      <c r="X61" s="13">
        <f ca="1"/>
        <v>13585.790140318724</v>
      </c>
      <c r="Y61" s="13">
        <f ca="1"/>
        <v>13671.549900568985</v>
      </c>
      <c r="Z61" s="13">
        <f ca="1"/>
        <v>13757.862713236014</v>
      </c>
      <c r="AA61" s="13">
        <f ca="1"/>
        <v>13844.732230017311</v>
      </c>
      <c r="AB61" s="13">
        <f ca="1"/>
        <v>13932.162127328382</v>
      </c>
      <c r="AC61" s="13">
        <f ca="1"/>
        <v>14020.156106474325</v>
      </c>
      <c r="AD61" s="13">
        <f ca="1"/>
        <v>14108.717893822657</v>
      </c>
      <c r="AE61" s="13">
        <f ca="1"/>
        <v>14197.851240977152</v>
      </c>
      <c r="AF61" s="13">
        <f ca="1"/>
        <v>14287.559924953199</v>
      </c>
      <c r="AG61" s="13">
        <f ca="1"/>
        <v>14377.847748354172</v>
      </c>
      <c r="AH61" s="13">
        <f ca="1"/>
        <v>14468.718539549203</v>
      </c>
      <c r="AI61" s="13">
        <f ca="1"/>
        <v>14560.176152852144</v>
      </c>
      <c r="AJ61" s="13">
        <f ca="1"/>
        <v>14652.224468701816</v>
      </c>
      <c r="AK61" s="13">
        <f ca="1"/>
        <v>14744.86739384358</v>
      </c>
      <c r="AL61" s="56">
        <f ca="1"/>
        <v>14838.108861512163</v>
      </c>
      <c r="AM61" s="10"/>
    </row>
    <row r="62" spans="2:39" ht="15" hidden="1">
      <c r="B62" s="10"/>
      <c r="C62" s="11" t="str">
        <f>"EL 3: " &amp; INDEX(_doName,7,4)</f>
        <v>EL 3: EL 3</v>
      </c>
      <c r="D62" s="12"/>
      <c r="E62" s="13">
        <f t="array" aca="1" ref="E62:AL62" ca="1">tlccEubc3</f>
        <v>12279.434285803163</v>
      </c>
      <c r="F62" s="13">
        <f ca="1"/>
        <v>12379.072684795203</v>
      </c>
      <c r="G62" s="13">
        <f ca="1"/>
        <v>12475.726218675965</v>
      </c>
      <c r="H62" s="13">
        <f ca="1"/>
        <v>12562.935105839502</v>
      </c>
      <c r="I62" s="13">
        <f ca="1"/>
        <v>12642.067756862796</v>
      </c>
      <c r="J62" s="13">
        <f ca="1"/>
        <v>12721.709482895025</v>
      </c>
      <c r="K62" s="13">
        <f ca="1"/>
        <v>12801.863636423761</v>
      </c>
      <c r="L62" s="13">
        <f ca="1"/>
        <v>12882.533592567817</v>
      </c>
      <c r="M62" s="13">
        <f ca="1"/>
        <v>12963.722749233897</v>
      </c>
      <c r="N62" s="13">
        <f ca="1"/>
        <v>13045.434527274334</v>
      </c>
      <c r="O62" s="13">
        <f ca="1"/>
        <v>13127.672370645954</v>
      </c>
      <c r="P62" s="13">
        <f ca="1"/>
        <v>13210.439746570082</v>
      </c>
      <c r="Q62" s="13">
        <f ca="1"/>
        <v>13293.740145693664</v>
      </c>
      <c r="R62" s="13">
        <f ca="1"/>
        <v>13377.577082251517</v>
      </c>
      <c r="S62" s="13">
        <f ca="1"/>
        <v>13461.954094229781</v>
      </c>
      <c r="T62" s="13">
        <f ca="1"/>
        <v>13546.874743530481</v>
      </c>
      <c r="U62" s="13">
        <f ca="1"/>
        <v>13632.342616137263</v>
      </c>
      <c r="V62" s="13">
        <f ca="1"/>
        <v>13718.361322282362</v>
      </c>
      <c r="W62" s="13">
        <f ca="1"/>
        <v>13804.934496614656</v>
      </c>
      <c r="X62" s="13">
        <f ca="1"/>
        <v>13892.065798369027</v>
      </c>
      <c r="Y62" s="13">
        <f ca="1"/>
        <v>13979.758911536837</v>
      </c>
      <c r="Z62" s="13">
        <f ca="1"/>
        <v>14068.017545037601</v>
      </c>
      <c r="AA62" s="13">
        <f ca="1"/>
        <v>14156.845432892052</v>
      </c>
      <c r="AB62" s="13">
        <f ca="1"/>
        <v>14246.246334396141</v>
      </c>
      <c r="AC62" s="13">
        <f ca="1"/>
        <v>14336.224034296578</v>
      </c>
      <c r="AD62" s="13">
        <f ca="1"/>
        <v>14426.782342967406</v>
      </c>
      <c r="AE62" s="13">
        <f ca="1"/>
        <v>14517.925096587929</v>
      </c>
      <c r="AF62" s="13">
        <f ca="1"/>
        <v>14609.656157321871</v>
      </c>
      <c r="AG62" s="13">
        <f ca="1"/>
        <v>14701.979413497867</v>
      </c>
      <c r="AH62" s="13">
        <f ca="1"/>
        <v>14794.898779791092</v>
      </c>
      <c r="AI62" s="13">
        <f ca="1"/>
        <v>14888.418197406378</v>
      </c>
      <c r="AJ62" s="13">
        <f ca="1"/>
        <v>14982.541634262498</v>
      </c>
      <c r="AK62" s="13">
        <f ca="1"/>
        <v>15077.273085177778</v>
      </c>
      <c r="AL62" s="56">
        <f ca="1"/>
        <v>15172.616572057084</v>
      </c>
      <c r="AM62" s="10"/>
    </row>
    <row r="63" spans="2:39" ht="15" hidden="1">
      <c r="B63" s="10"/>
      <c r="C63" s="11" t="str">
        <f>"EL 4: " &amp; INDEX(_doName,7,5)</f>
        <v>EL 4: EL 4</v>
      </c>
      <c r="D63" s="12"/>
      <c r="E63" s="13">
        <f t="array" aca="1" ref="E63:AL63" ca="1">tlccEubc4</f>
        <v>10396.342907022934</v>
      </c>
      <c r="F63" s="13">
        <f ca="1"/>
        <v>10480.701431896161</v>
      </c>
      <c r="G63" s="13">
        <f ca="1"/>
        <v>10562.53283047791</v>
      </c>
      <c r="H63" s="13">
        <f ca="1"/>
        <v>10636.367949783064</v>
      </c>
      <c r="I63" s="13">
        <f ca="1"/>
        <v>10703.365350154432</v>
      </c>
      <c r="J63" s="13">
        <f ca="1"/>
        <v>10770.793757218396</v>
      </c>
      <c r="K63" s="13">
        <f ca="1"/>
        <v>10838.656009347573</v>
      </c>
      <c r="L63" s="13">
        <f ca="1"/>
        <v>10906.954964075296</v>
      </c>
      <c r="M63" s="13">
        <f ca="1"/>
        <v>10975.693498228162</v>
      </c>
      <c r="N63" s="13">
        <f ca="1"/>
        <v>11044.874508059625</v>
      </c>
      <c r="O63" s="13">
        <f ca="1"/>
        <v>11114.500909384466</v>
      </c>
      <c r="P63" s="13">
        <f ca="1"/>
        <v>11184.57563771431</v>
      </c>
      <c r="Q63" s="13">
        <f ca="1"/>
        <v>11255.101648393957</v>
      </c>
      <c r="R63" s="13">
        <f ca="1"/>
        <v>11326.081916738856</v>
      </c>
      <c r="S63" s="13">
        <f ca="1"/>
        <v>11397.519438173387</v>
      </c>
      <c r="T63" s="13">
        <f ca="1"/>
        <v>11469.417228370272</v>
      </c>
      <c r="U63" s="13">
        <f ca="1"/>
        <v>11541.778323390847</v>
      </c>
      <c r="V63" s="13">
        <f ca="1"/>
        <v>11614.605779826417</v>
      </c>
      <c r="W63" s="13">
        <f ca="1"/>
        <v>11687.902674940608</v>
      </c>
      <c r="X63" s="13">
        <f ca="1"/>
        <v>11761.672106812646</v>
      </c>
      <c r="Y63" s="13">
        <f ca="1"/>
        <v>11835.917194481779</v>
      </c>
      <c r="Z63" s="13">
        <f ca="1"/>
        <v>11910.641078092622</v>
      </c>
      <c r="AA63" s="13">
        <f ca="1"/>
        <v>11985.846919041585</v>
      </c>
      <c r="AB63" s="13">
        <f ca="1"/>
        <v>12061.537900124325</v>
      </c>
      <c r="AC63" s="13">
        <f ca="1"/>
        <v>12137.717225684273</v>
      </c>
      <c r="AD63" s="13">
        <f ca="1"/>
        <v>12214.388121762146</v>
      </c>
      <c r="AE63" s="13">
        <f ca="1"/>
        <v>12291.553836246632</v>
      </c>
      <c r="AF63" s="13">
        <f ca="1"/>
        <v>12369.217639026019</v>
      </c>
      <c r="AG63" s="13">
        <f ca="1"/>
        <v>12447.382822141028</v>
      </c>
      <c r="AH63" s="13">
        <f ca="1"/>
        <v>12526.05269993862</v>
      </c>
      <c r="AI63" s="13">
        <f ca="1"/>
        <v>12605.23060922697</v>
      </c>
      <c r="AJ63" s="13">
        <f ca="1"/>
        <v>12684.919909431541</v>
      </c>
      <c r="AK63" s="13">
        <f ca="1"/>
        <v>12765.123982752228</v>
      </c>
      <c r="AL63" s="56">
        <f ca="1"/>
        <v>12845.846234321622</v>
      </c>
      <c r="AM63" s="10"/>
    </row>
    <row r="64" spans="2:39" ht="15" hidden="1">
      <c r="B64" s="10"/>
      <c r="C64" s="11" t="str">
        <f>"EL 5: " &amp; INDEX(_doName,7,6)</f>
        <v>EL 5: EL 5</v>
      </c>
      <c r="D64" s="12"/>
      <c r="E64" s="13">
        <f t="array" aca="1" ref="E64:AL64" ca="1">tlccEubc5</f>
        <v>8474.5562467790351</v>
      </c>
      <c r="F64" s="13">
        <f ca="1"/>
        <v>8543.3209143479107</v>
      </c>
      <c r="G64" s="13">
        <f ca="1"/>
        <v>8610.0256004318144</v>
      </c>
      <c r="H64" s="13">
        <f ca="1"/>
        <v>8670.21213690287</v>
      </c>
      <c r="I64" s="13">
        <f ca="1"/>
        <v>8724.8249216977692</v>
      </c>
      <c r="J64" s="13">
        <f ca="1"/>
        <v>8779.7890406581137</v>
      </c>
      <c r="K64" s="13">
        <f ca="1"/>
        <v>8835.1068074771974</v>
      </c>
      <c r="L64" s="13">
        <f ca="1"/>
        <v>8890.7805514670508</v>
      </c>
      <c r="M64" s="13">
        <f ca="1"/>
        <v>8946.812617666601</v>
      </c>
      <c r="N64" s="13">
        <f ca="1"/>
        <v>9003.2053669505476</v>
      </c>
      <c r="O64" s="13">
        <f ca="1"/>
        <v>9059.9611761389515</v>
      </c>
      <c r="P64" s="13">
        <f ca="1"/>
        <v>9117.0824381077073</v>
      </c>
      <c r="Q64" s="13">
        <f ca="1"/>
        <v>9174.5715618996765</v>
      </c>
      <c r="R64" s="13">
        <f ca="1"/>
        <v>9232.4309728367607</v>
      </c>
      <c r="S64" s="13">
        <f ca="1"/>
        <v>9290.6631126326211</v>
      </c>
      <c r="T64" s="13">
        <f ca="1"/>
        <v>9349.2704395062774</v>
      </c>
      <c r="U64" s="13">
        <f ca="1"/>
        <v>9408.255428296532</v>
      </c>
      <c r="V64" s="13">
        <f ca="1"/>
        <v>9467.6205705771154</v>
      </c>
      <c r="W64" s="13">
        <f ca="1"/>
        <v>9527.3683747727446</v>
      </c>
      <c r="X64" s="13">
        <f ca="1"/>
        <v>9587.5013662759611</v>
      </c>
      <c r="Y64" s="13">
        <f ca="1"/>
        <v>9648.022087564801</v>
      </c>
      <c r="Z64" s="13">
        <f ca="1"/>
        <v>9708.9330983212858</v>
      </c>
      <c r="AA64" s="13">
        <f ca="1"/>
        <v>9770.2369755508262</v>
      </c>
      <c r="AB64" s="13">
        <f ca="1"/>
        <v>9831.936313702352</v>
      </c>
      <c r="AC64" s="13">
        <f ca="1"/>
        <v>9894.0337247894131</v>
      </c>
      <c r="AD64" s="13">
        <f ca="1"/>
        <v>9956.5318385120718</v>
      </c>
      <c r="AE64" s="13">
        <f ca="1"/>
        <v>10019.43330237971</v>
      </c>
      <c r="AF64" s="13">
        <f ca="1"/>
        <v>10082.74078183464</v>
      </c>
      <c r="AG64" s="13">
        <f ca="1"/>
        <v>10146.45696037665</v>
      </c>
      <c r="AH64" s="13">
        <f ca="1"/>
        <v>10210.584539688456</v>
      </c>
      <c r="AI64" s="13">
        <f ca="1"/>
        <v>10275.126239761981</v>
      </c>
      <c r="AJ64" s="13">
        <f ca="1"/>
        <v>10340.084799025548</v>
      </c>
      <c r="AK64" s="13">
        <f ca="1"/>
        <v>10405.462974472002</v>
      </c>
      <c r="AL64" s="56">
        <f ca="1"/>
        <v>10471.263541787786</v>
      </c>
      <c r="AM64" s="10"/>
    </row>
    <row r="65" spans="2:39" ht="15" hidden="1">
      <c r="B65" s="10"/>
      <c r="C65" s="21" t="str">
        <f>"EL 6: " &amp; INDEX(_doName,7,7)</f>
        <v>EL 6: EL 6</v>
      </c>
      <c r="D65" s="18"/>
      <c r="E65" s="58">
        <f t="array" aca="1" ref="E65:AL65" ca="1">tlccEubc6</f>
        <v>7282.3562138607331</v>
      </c>
      <c r="F65" s="58">
        <f ca="1"/>
        <v>7341.4470723767317</v>
      </c>
      <c r="G65" s="58">
        <f ca="1"/>
        <v>7398.7677474718303</v>
      </c>
      <c r="H65" s="58">
        <f ca="1"/>
        <v>7450.4872458263671</v>
      </c>
      <c r="I65" s="58">
        <f ca="1"/>
        <v>7497.4171075354698</v>
      </c>
      <c r="J65" s="58">
        <f ca="1"/>
        <v>7544.6488777420118</v>
      </c>
      <c r="K65" s="58">
        <f ca="1"/>
        <v>7592.184544649047</v>
      </c>
      <c r="L65" s="58">
        <f ca="1"/>
        <v>7640.0261098811425</v>
      </c>
      <c r="M65" s="58">
        <f ca="1"/>
        <v>7688.17558857732</v>
      </c>
      <c r="N65" s="58">
        <f ca="1"/>
        <v>7736.6350094845466</v>
      </c>
      <c r="O65" s="58">
        <f ca="1"/>
        <v>7785.4064150520016</v>
      </c>
      <c r="P65" s="58">
        <f ca="1"/>
        <v>7834.4918615259448</v>
      </c>
      <c r="Q65" s="58">
        <f ca="1"/>
        <v>7883.8934190452501</v>
      </c>
      <c r="R65" s="58">
        <f ca="1"/>
        <v>7933.613171737692</v>
      </c>
      <c r="S65" s="58">
        <f ca="1"/>
        <v>7983.6532178167927</v>
      </c>
      <c r="T65" s="58">
        <f ca="1"/>
        <v>8034.0156696794975</v>
      </c>
      <c r="U65" s="58">
        <f ca="1"/>
        <v>8084.7026540044235</v>
      </c>
      <c r="V65" s="58">
        <f ca="1"/>
        <v>8135.7163118508779</v>
      </c>
      <c r="W65" s="58">
        <f ca="1"/>
        <v>8187.0587987585513</v>
      </c>
      <c r="X65" s="58">
        <f ca="1"/>
        <v>8238.7322848479216</v>
      </c>
      <c r="Y65" s="58">
        <f ca="1"/>
        <v>8290.7389549213603</v>
      </c>
      <c r="Z65" s="58">
        <f ca="1"/>
        <v>8343.0810085650228</v>
      </c>
      <c r="AA65" s="58">
        <f ca="1"/>
        <v>8395.7606602513151</v>
      </c>
      <c r="AB65" s="58">
        <f ca="1"/>
        <v>8448.780139442295</v>
      </c>
      <c r="AC65" s="58">
        <f ca="1"/>
        <v>8502.141690693592</v>
      </c>
      <c r="AD65" s="58">
        <f ca="1"/>
        <v>8555.8475737592416</v>
      </c>
      <c r="AE65" s="58">
        <f ca="1"/>
        <v>8609.9000636971705</v>
      </c>
      <c r="AF65" s="58">
        <f ca="1"/>
        <v>8664.3014509754303</v>
      </c>
      <c r="AG65" s="58">
        <f ca="1"/>
        <v>8719.0540415792475</v>
      </c>
      <c r="AH65" s="58">
        <f ca="1"/>
        <v>8774.1601571187712</v>
      </c>
      <c r="AI65" s="58">
        <f ca="1"/>
        <v>8829.6221349376265</v>
      </c>
      <c r="AJ65" s="58">
        <f ca="1"/>
        <v>8885.4423282222306</v>
      </c>
      <c r="AK65" s="58">
        <f ca="1"/>
        <v>8941.623106111856</v>
      </c>
      <c r="AL65" s="59">
        <f ca="1"/>
        <v>8998.1668538095309</v>
      </c>
      <c r="AM65" s="10"/>
    </row>
    <row r="66" spans="2:39" ht="15" hidden="1">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2:39" ht="15" hidden="1">
      <c r="B67" s="10"/>
      <c r="C67" s="22" t="s">
        <v>87</v>
      </c>
      <c r="D67" s="23"/>
      <c r="E67" s="24">
        <f t="array" ref="E67:AL67">_yS</f>
        <v>2019</v>
      </c>
      <c r="F67" s="24">
        <v>2020</v>
      </c>
      <c r="G67" s="24">
        <v>2021</v>
      </c>
      <c r="H67" s="24">
        <v>2022</v>
      </c>
      <c r="I67" s="24">
        <v>2023</v>
      </c>
      <c r="J67" s="24">
        <v>2024</v>
      </c>
      <c r="K67" s="24">
        <v>2025</v>
      </c>
      <c r="L67" s="24">
        <v>2026</v>
      </c>
      <c r="M67" s="24">
        <v>2027</v>
      </c>
      <c r="N67" s="24">
        <v>2028</v>
      </c>
      <c r="O67" s="24">
        <v>2029</v>
      </c>
      <c r="P67" s="24">
        <v>2030</v>
      </c>
      <c r="Q67" s="24">
        <v>2031</v>
      </c>
      <c r="R67" s="24">
        <v>2032</v>
      </c>
      <c r="S67" s="24">
        <v>2033</v>
      </c>
      <c r="T67" s="24">
        <v>2034</v>
      </c>
      <c r="U67" s="24">
        <v>2035</v>
      </c>
      <c r="V67" s="24">
        <v>2036</v>
      </c>
      <c r="W67" s="24">
        <v>2037</v>
      </c>
      <c r="X67" s="24">
        <v>2038</v>
      </c>
      <c r="Y67" s="24">
        <v>2039</v>
      </c>
      <c r="Z67" s="24">
        <v>2040</v>
      </c>
      <c r="AA67" s="24">
        <v>2041</v>
      </c>
      <c r="AB67" s="24">
        <v>2042</v>
      </c>
      <c r="AC67" s="24">
        <v>2043</v>
      </c>
      <c r="AD67" s="24">
        <v>2044</v>
      </c>
      <c r="AE67" s="24">
        <v>2045</v>
      </c>
      <c r="AF67" s="24">
        <v>2046</v>
      </c>
      <c r="AG67" s="24">
        <v>2047</v>
      </c>
      <c r="AH67" s="24">
        <v>2048</v>
      </c>
      <c r="AI67" s="24">
        <v>2049</v>
      </c>
      <c r="AJ67" s="24">
        <v>2050</v>
      </c>
      <c r="AK67" s="24">
        <v>2051</v>
      </c>
      <c r="AL67" s="25">
        <v>2052</v>
      </c>
      <c r="AM67" s="10"/>
    </row>
    <row r="68" spans="2:39" ht="15" hidden="1">
      <c r="B68" s="10"/>
      <c r="C68" s="11" t="str">
        <f>"EL 0: " &amp; INDEX(_doName,7,1)</f>
        <v>EL 0: EL 6</v>
      </c>
      <c r="D68" s="12"/>
      <c r="E68" s="13">
        <f t="array" aca="1" ref="E68:AL68" ca="1">tlccFubcElec0</f>
        <v>3024.0221419434456</v>
      </c>
      <c r="F68" s="13">
        <f ca="1"/>
        <v>3004.0176644662088</v>
      </c>
      <c r="G68" s="13">
        <f ca="1"/>
        <v>2986.3617812607899</v>
      </c>
      <c r="H68" s="13">
        <f ca="1"/>
        <v>2969.5804774095313</v>
      </c>
      <c r="I68" s="13">
        <f ca="1"/>
        <v>2954.8791253204599</v>
      </c>
      <c r="J68" s="13">
        <f ca="1"/>
        <v>2943.4088347743041</v>
      </c>
      <c r="K68" s="13">
        <f ca="1"/>
        <v>2933.8260812835883</v>
      </c>
      <c r="L68" s="13">
        <f ca="1"/>
        <v>2924.1807005221158</v>
      </c>
      <c r="M68" s="13">
        <f ca="1"/>
        <v>2916.4028419359006</v>
      </c>
      <c r="N68" s="13">
        <f ca="1"/>
        <v>2910.9556106819173</v>
      </c>
      <c r="O68" s="13">
        <f ca="1"/>
        <v>2906.9226586484324</v>
      </c>
      <c r="P68" s="13">
        <f ca="1"/>
        <v>2903.4896356120798</v>
      </c>
      <c r="Q68" s="13">
        <f ca="1"/>
        <v>2900.9181651945819</v>
      </c>
      <c r="R68" s="13">
        <f ca="1"/>
        <v>2898.9215298172439</v>
      </c>
      <c r="S68" s="13">
        <f ca="1"/>
        <v>2898.5361402306553</v>
      </c>
      <c r="T68" s="13">
        <f ca="1"/>
        <v>2898.8838496095423</v>
      </c>
      <c r="U68" s="13">
        <f ca="1"/>
        <v>2899.473029641812</v>
      </c>
      <c r="V68" s="13">
        <f ca="1"/>
        <v>2900.3711379271822</v>
      </c>
      <c r="W68" s="13">
        <f ca="1"/>
        <v>2901.2312611894336</v>
      </c>
      <c r="X68" s="13">
        <f ca="1"/>
        <v>2901.9440582449397</v>
      </c>
      <c r="Y68" s="13">
        <f ca="1"/>
        <v>2902.4219679845914</v>
      </c>
      <c r="Z68" s="13">
        <f ca="1"/>
        <v>2902.751411459305</v>
      </c>
      <c r="AA68" s="13">
        <f ca="1"/>
        <v>2902.751411459305</v>
      </c>
      <c r="AB68" s="13">
        <f ca="1"/>
        <v>2902.751411459305</v>
      </c>
      <c r="AC68" s="13">
        <f ca="1"/>
        <v>2902.751411459305</v>
      </c>
      <c r="AD68" s="13">
        <f ca="1"/>
        <v>2902.751411459305</v>
      </c>
      <c r="AE68" s="13">
        <f ca="1"/>
        <v>2902.751411459305</v>
      </c>
      <c r="AF68" s="13">
        <f ca="1"/>
        <v>2902.751411459305</v>
      </c>
      <c r="AG68" s="13">
        <f ca="1"/>
        <v>2902.751411459305</v>
      </c>
      <c r="AH68" s="13">
        <f ca="1"/>
        <v>2902.751411459305</v>
      </c>
      <c r="AI68" s="13">
        <f ca="1"/>
        <v>2902.751411459305</v>
      </c>
      <c r="AJ68" s="13">
        <f ca="1"/>
        <v>2902.751411459305</v>
      </c>
      <c r="AK68" s="13">
        <f ca="1"/>
        <v>2902.751411459305</v>
      </c>
      <c r="AL68" s="56">
        <f ca="1"/>
        <v>2902.751411459305</v>
      </c>
      <c r="AM68" s="10"/>
    </row>
    <row r="69" spans="2:39" ht="15" hidden="1">
      <c r="B69" s="10"/>
      <c r="C69" s="11" t="str">
        <f>"EL 1: " &amp; INDEX(_doName,7,2)</f>
        <v>EL 1: EL 1</v>
      </c>
      <c r="D69" s="12"/>
      <c r="E69" s="13">
        <f t="array" aca="1" ref="E69:AL69" ca="1">tlccFubcElec1</f>
        <v>2914.861927377463</v>
      </c>
      <c r="F69" s="13">
        <f ca="1"/>
        <v>2895.57956533166</v>
      </c>
      <c r="G69" s="13">
        <f ca="1"/>
        <v>2878.5610187291463</v>
      </c>
      <c r="H69" s="13">
        <f ca="1"/>
        <v>2862.3854811861743</v>
      </c>
      <c r="I69" s="13">
        <f ca="1"/>
        <v>2848.2148139509577</v>
      </c>
      <c r="J69" s="13">
        <f ca="1"/>
        <v>2837.1585743999271</v>
      </c>
      <c r="K69" s="13">
        <f ca="1"/>
        <v>2827.9217361763881</v>
      </c>
      <c r="L69" s="13">
        <f ca="1"/>
        <v>2818.6245313819127</v>
      </c>
      <c r="M69" s="13">
        <f ca="1"/>
        <v>2811.1274355256919</v>
      </c>
      <c r="N69" s="13">
        <f ca="1"/>
        <v>2805.8768367381936</v>
      </c>
      <c r="O69" s="13">
        <f ca="1"/>
        <v>2801.9894649579765</v>
      </c>
      <c r="P69" s="13">
        <f ca="1"/>
        <v>2798.6803661237846</v>
      </c>
      <c r="Q69" s="13">
        <f ca="1"/>
        <v>2796.2017198488852</v>
      </c>
      <c r="R69" s="13">
        <f ca="1"/>
        <v>2794.2771583969256</v>
      </c>
      <c r="S69" s="13">
        <f ca="1"/>
        <v>2793.9056804842562</v>
      </c>
      <c r="T69" s="13">
        <f ca="1"/>
        <v>2794.2408383576894</v>
      </c>
      <c r="U69" s="13">
        <f ca="1"/>
        <v>2794.8087503516576</v>
      </c>
      <c r="V69" s="13">
        <f ca="1"/>
        <v>2795.6744390023382</v>
      </c>
      <c r="W69" s="13">
        <f ca="1"/>
        <v>2796.5035138014987</v>
      </c>
      <c r="X69" s="13">
        <f ca="1"/>
        <v>2797.1905805296897</v>
      </c>
      <c r="Y69" s="13">
        <f ca="1"/>
        <v>2797.6512388315955</v>
      </c>
      <c r="Z69" s="13">
        <f ca="1"/>
        <v>2797.9687901578063</v>
      </c>
      <c r="AA69" s="13">
        <f ca="1"/>
        <v>2797.9687901578063</v>
      </c>
      <c r="AB69" s="13">
        <f ca="1"/>
        <v>2797.9687901578063</v>
      </c>
      <c r="AC69" s="13">
        <f ca="1"/>
        <v>2797.9687901578063</v>
      </c>
      <c r="AD69" s="13">
        <f ca="1"/>
        <v>2797.9687901578063</v>
      </c>
      <c r="AE69" s="13">
        <f ca="1"/>
        <v>2797.9687901578063</v>
      </c>
      <c r="AF69" s="13">
        <f ca="1"/>
        <v>2797.9687901578063</v>
      </c>
      <c r="AG69" s="13">
        <f ca="1"/>
        <v>2797.9687901578063</v>
      </c>
      <c r="AH69" s="13">
        <f ca="1"/>
        <v>2797.9687901578063</v>
      </c>
      <c r="AI69" s="13">
        <f ca="1"/>
        <v>2797.9687901578063</v>
      </c>
      <c r="AJ69" s="13">
        <f ca="1"/>
        <v>2797.9687901578063</v>
      </c>
      <c r="AK69" s="13">
        <f ca="1"/>
        <v>2797.9687901578063</v>
      </c>
      <c r="AL69" s="56">
        <f ca="1"/>
        <v>2797.9687901578063</v>
      </c>
      <c r="AM69" s="10"/>
    </row>
    <row r="70" spans="2:39" ht="15" hidden="1">
      <c r="B70" s="10"/>
      <c r="C70" s="11" t="str">
        <f>"EL 2: " &amp; INDEX(_doName,7,3)</f>
        <v>EL 2: EL 2</v>
      </c>
      <c r="D70" s="12"/>
      <c r="E70" s="13">
        <f t="array" aca="1" ref="E70:AL70" ca="1">tlccFubcElec2</f>
        <v>2541.1928889245009</v>
      </c>
      <c r="F70" s="13">
        <f ca="1"/>
        <v>2524.3824181257874</v>
      </c>
      <c r="G70" s="13">
        <f ca="1"/>
        <v>2509.5455542592886</v>
      </c>
      <c r="H70" s="13">
        <f ca="1"/>
        <v>2495.4436303936477</v>
      </c>
      <c r="I70" s="13">
        <f ca="1"/>
        <v>2483.0895636465325</v>
      </c>
      <c r="J70" s="13">
        <f ca="1"/>
        <v>2473.4506723284094</v>
      </c>
      <c r="K70" s="13">
        <f ca="1"/>
        <v>2465.3979452371741</v>
      </c>
      <c r="L70" s="13">
        <f ca="1"/>
        <v>2457.2925902326392</v>
      </c>
      <c r="M70" s="13">
        <f ca="1"/>
        <v>2450.7565802424324</v>
      </c>
      <c r="N70" s="13">
        <f ca="1"/>
        <v>2446.1790789288825</v>
      </c>
      <c r="O70" s="13">
        <f ca="1"/>
        <v>2442.7900465250796</v>
      </c>
      <c r="P70" s="13">
        <f ca="1"/>
        <v>2439.9051557015332</v>
      </c>
      <c r="Q70" s="13">
        <f ca="1"/>
        <v>2437.74425805188</v>
      </c>
      <c r="R70" s="13">
        <f ca="1"/>
        <v>2436.066414641843</v>
      </c>
      <c r="S70" s="13">
        <f ca="1"/>
        <v>2435.7425581252783</v>
      </c>
      <c r="T70" s="13">
        <f ca="1"/>
        <v>2436.0347506290245</v>
      </c>
      <c r="U70" s="13">
        <f ca="1"/>
        <v>2436.5298594734786</v>
      </c>
      <c r="V70" s="13">
        <f ca="1"/>
        <v>2437.2845716684096</v>
      </c>
      <c r="W70" s="13">
        <f ca="1"/>
        <v>2438.0073637033342</v>
      </c>
      <c r="X70" s="13">
        <f ca="1"/>
        <v>2438.6063523097914</v>
      </c>
      <c r="Y70" s="13">
        <f ca="1"/>
        <v>2439.007956787188</v>
      </c>
      <c r="Z70" s="13">
        <f ca="1"/>
        <v>2439.2847998048474</v>
      </c>
      <c r="AA70" s="13">
        <f ca="1"/>
        <v>2439.2847998048474</v>
      </c>
      <c r="AB70" s="13">
        <f ca="1"/>
        <v>2439.2847998048474</v>
      </c>
      <c r="AC70" s="13">
        <f ca="1"/>
        <v>2439.2847998048474</v>
      </c>
      <c r="AD70" s="13">
        <f ca="1"/>
        <v>2439.2847998048474</v>
      </c>
      <c r="AE70" s="13">
        <f ca="1"/>
        <v>2439.2847998048474</v>
      </c>
      <c r="AF70" s="13">
        <f ca="1"/>
        <v>2439.2847998048474</v>
      </c>
      <c r="AG70" s="13">
        <f ca="1"/>
        <v>2439.2847998048474</v>
      </c>
      <c r="AH70" s="13">
        <f ca="1"/>
        <v>2439.2847998048474</v>
      </c>
      <c r="AI70" s="13">
        <f ca="1"/>
        <v>2439.2847998048474</v>
      </c>
      <c r="AJ70" s="13">
        <f ca="1"/>
        <v>2439.2847998048474</v>
      </c>
      <c r="AK70" s="13">
        <f ca="1"/>
        <v>2439.2847998048474</v>
      </c>
      <c r="AL70" s="56">
        <f ca="1"/>
        <v>2439.2847998048474</v>
      </c>
      <c r="AM70" s="10"/>
    </row>
    <row r="71" spans="2:39" ht="15" hidden="1">
      <c r="B71" s="10"/>
      <c r="C71" s="11" t="str">
        <f>"EL 3: " &amp; INDEX(_doName,7,4)</f>
        <v>EL 3: EL 3</v>
      </c>
      <c r="D71" s="12"/>
      <c r="E71" s="13">
        <f t="array" aca="1" ref="E71:AL71" ca="1">tlccFubcElec3</f>
        <v>2598.4810934565517</v>
      </c>
      <c r="F71" s="13">
        <f ca="1"/>
        <v>2581.2916503674642</v>
      </c>
      <c r="G71" s="13">
        <f ca="1"/>
        <v>2566.1203068573691</v>
      </c>
      <c r="H71" s="13">
        <f ca="1"/>
        <v>2551.7004717059572</v>
      </c>
      <c r="I71" s="13">
        <f ca="1"/>
        <v>2539.0678970558424</v>
      </c>
      <c r="J71" s="13">
        <f ca="1"/>
        <v>2529.2117082709669</v>
      </c>
      <c r="K71" s="13">
        <f ca="1"/>
        <v>2520.9774419197029</v>
      </c>
      <c r="L71" s="13">
        <f ca="1"/>
        <v>2512.6893612207409</v>
      </c>
      <c r="M71" s="13">
        <f ca="1"/>
        <v>2506.0060045734672</v>
      </c>
      <c r="N71" s="13">
        <f ca="1"/>
        <v>2501.3253088772167</v>
      </c>
      <c r="O71" s="13">
        <f ca="1"/>
        <v>2497.8598747243132</v>
      </c>
      <c r="P71" s="13">
        <f ca="1"/>
        <v>2494.9099474305831</v>
      </c>
      <c r="Q71" s="13">
        <f ca="1"/>
        <v>2492.700334885234</v>
      </c>
      <c r="R71" s="13">
        <f ca="1"/>
        <v>2490.9846664691277</v>
      </c>
      <c r="S71" s="13">
        <f ca="1"/>
        <v>2490.6535089883423</v>
      </c>
      <c r="T71" s="13">
        <f ca="1"/>
        <v>2490.9522886283862</v>
      </c>
      <c r="U71" s="13">
        <f ca="1"/>
        <v>2491.4585591193527</v>
      </c>
      <c r="V71" s="13">
        <f ca="1"/>
        <v>2492.2302854129675</v>
      </c>
      <c r="W71" s="13">
        <f ca="1"/>
        <v>2492.9693719441152</v>
      </c>
      <c r="X71" s="13">
        <f ca="1"/>
        <v>2493.581864044128</v>
      </c>
      <c r="Y71" s="13">
        <f ca="1"/>
        <v>2493.9925222220691</v>
      </c>
      <c r="Z71" s="13">
        <f ca="1"/>
        <v>2494.2756063399174</v>
      </c>
      <c r="AA71" s="13">
        <f ca="1"/>
        <v>2494.2756063399174</v>
      </c>
      <c r="AB71" s="13">
        <f ca="1"/>
        <v>2494.2756063399174</v>
      </c>
      <c r="AC71" s="13">
        <f ca="1"/>
        <v>2494.2756063399174</v>
      </c>
      <c r="AD71" s="13">
        <f ca="1"/>
        <v>2494.2756063399174</v>
      </c>
      <c r="AE71" s="13">
        <f ca="1"/>
        <v>2494.2756063399174</v>
      </c>
      <c r="AF71" s="13">
        <f ca="1"/>
        <v>2494.2756063399174</v>
      </c>
      <c r="AG71" s="13">
        <f ca="1"/>
        <v>2494.2756063399174</v>
      </c>
      <c r="AH71" s="13">
        <f ca="1"/>
        <v>2494.2756063399174</v>
      </c>
      <c r="AI71" s="13">
        <f ca="1"/>
        <v>2494.2756063399174</v>
      </c>
      <c r="AJ71" s="13">
        <f ca="1"/>
        <v>2494.2756063399174</v>
      </c>
      <c r="AK71" s="13">
        <f ca="1"/>
        <v>2494.2756063399174</v>
      </c>
      <c r="AL71" s="56">
        <f ca="1"/>
        <v>2494.2756063399174</v>
      </c>
      <c r="AM71" s="10"/>
    </row>
    <row r="72" spans="2:39" ht="15" hidden="1">
      <c r="B72" s="10"/>
      <c r="C72" s="11" t="str">
        <f>"EL 4: " &amp; INDEX(_doName,7,5)</f>
        <v>EL 4: EL 4</v>
      </c>
      <c r="D72" s="12"/>
      <c r="E72" s="13">
        <f t="array" aca="1" ref="E72:AL72" ca="1">tlccFubcElec4</f>
        <v>2199.9955255449531</v>
      </c>
      <c r="F72" s="13">
        <f ca="1"/>
        <v>2185.4421397312831</v>
      </c>
      <c r="G72" s="13">
        <f ca="1"/>
        <v>2172.5973713307103</v>
      </c>
      <c r="H72" s="13">
        <f ca="1"/>
        <v>2160.3888650259742</v>
      </c>
      <c r="I72" s="13">
        <f ca="1"/>
        <v>2149.6935369836233</v>
      </c>
      <c r="J72" s="13">
        <f ca="1"/>
        <v>2141.3488269604263</v>
      </c>
      <c r="K72" s="13">
        <f ca="1"/>
        <v>2134.37731226496</v>
      </c>
      <c r="L72" s="13">
        <f ca="1"/>
        <v>2127.3602358278872</v>
      </c>
      <c r="M72" s="13">
        <f ca="1"/>
        <v>2121.701793764696</v>
      </c>
      <c r="N72" s="13">
        <f ca="1"/>
        <v>2117.7388980506885</v>
      </c>
      <c r="O72" s="13">
        <f ca="1"/>
        <v>2114.804899550697</v>
      </c>
      <c r="P72" s="13">
        <f ca="1"/>
        <v>2112.3073532482695</v>
      </c>
      <c r="Q72" s="13">
        <f ca="1"/>
        <v>2110.4365920080986</v>
      </c>
      <c r="R72" s="13">
        <f ca="1"/>
        <v>2108.9840269506667</v>
      </c>
      <c r="S72" s="13">
        <f ca="1"/>
        <v>2108.7036535518323</v>
      </c>
      <c r="T72" s="13">
        <f ca="1"/>
        <v>2108.9566143576185</v>
      </c>
      <c r="U72" s="13">
        <f ca="1"/>
        <v>2109.3852466142266</v>
      </c>
      <c r="V72" s="13">
        <f ca="1"/>
        <v>2110.0386261585973</v>
      </c>
      <c r="W72" s="13">
        <f ca="1"/>
        <v>2110.6643713547464</v>
      </c>
      <c r="X72" s="13">
        <f ca="1"/>
        <v>2111.1829357895053</v>
      </c>
      <c r="Y72" s="13">
        <f ca="1"/>
        <v>2111.5306181937658</v>
      </c>
      <c r="Z72" s="13">
        <f ca="1"/>
        <v>2111.7702904369803</v>
      </c>
      <c r="AA72" s="13">
        <f ca="1"/>
        <v>2111.7702904369803</v>
      </c>
      <c r="AB72" s="13">
        <f ca="1"/>
        <v>2111.7702904369803</v>
      </c>
      <c r="AC72" s="13">
        <f ca="1"/>
        <v>2111.7702904369803</v>
      </c>
      <c r="AD72" s="13">
        <f ca="1"/>
        <v>2111.7702904369803</v>
      </c>
      <c r="AE72" s="13">
        <f ca="1"/>
        <v>2111.7702904369803</v>
      </c>
      <c r="AF72" s="13">
        <f ca="1"/>
        <v>2111.7702904369803</v>
      </c>
      <c r="AG72" s="13">
        <f ca="1"/>
        <v>2111.7702904369803</v>
      </c>
      <c r="AH72" s="13">
        <f ca="1"/>
        <v>2111.7702904369803</v>
      </c>
      <c r="AI72" s="13">
        <f ca="1"/>
        <v>2111.7702904369803</v>
      </c>
      <c r="AJ72" s="13">
        <f ca="1"/>
        <v>2111.7702904369803</v>
      </c>
      <c r="AK72" s="13">
        <f ca="1"/>
        <v>2111.7702904369803</v>
      </c>
      <c r="AL72" s="56">
        <f ca="1"/>
        <v>2111.7702904369803</v>
      </c>
      <c r="AM72" s="10"/>
    </row>
    <row r="73" spans="2:39" ht="15" hidden="1">
      <c r="B73" s="10"/>
      <c r="C73" s="11" t="str">
        <f>"EL 5: " &amp; INDEX(_doName,7,6)</f>
        <v>EL 5: EL 5</v>
      </c>
      <c r="D73" s="12"/>
      <c r="E73" s="13">
        <f t="array" aca="1" ref="E73:AL73" ca="1">tlccFubcElec5</f>
        <v>1793.3215545726705</v>
      </c>
      <c r="F73" s="13">
        <f ca="1"/>
        <v>1781.4583938668306</v>
      </c>
      <c r="G73" s="13">
        <f ca="1"/>
        <v>1770.988008918873</v>
      </c>
      <c r="H73" s="13">
        <f ca="1"/>
        <v>1761.036271630682</v>
      </c>
      <c r="I73" s="13">
        <f ca="1"/>
        <v>1752.3179983029113</v>
      </c>
      <c r="J73" s="13">
        <f ca="1"/>
        <v>1745.5158261268789</v>
      </c>
      <c r="K73" s="13">
        <f ca="1"/>
        <v>1739.8330111273785</v>
      </c>
      <c r="L73" s="13">
        <f ca="1"/>
        <v>1734.1130565735757</v>
      </c>
      <c r="M73" s="13">
        <f ca="1"/>
        <v>1729.5005898665318</v>
      </c>
      <c r="N73" s="13">
        <f ca="1"/>
        <v>1726.2702440681269</v>
      </c>
      <c r="O73" s="13">
        <f ca="1"/>
        <v>1723.8786015897563</v>
      </c>
      <c r="P73" s="13">
        <f ca="1"/>
        <v>1721.8427321683507</v>
      </c>
      <c r="Q73" s="13">
        <f ca="1"/>
        <v>1720.317785223458</v>
      </c>
      <c r="R73" s="13">
        <f ca="1"/>
        <v>1719.1337299848606</v>
      </c>
      <c r="S73" s="13">
        <f ca="1"/>
        <v>1718.9051842202805</v>
      </c>
      <c r="T73" s="13">
        <f ca="1"/>
        <v>1719.1113846694227</v>
      </c>
      <c r="U73" s="13">
        <f ca="1"/>
        <v>1719.4607833185723</v>
      </c>
      <c r="V73" s="13">
        <f ca="1"/>
        <v>1719.9933842291794</v>
      </c>
      <c r="W73" s="13">
        <f ca="1"/>
        <v>1720.5034590611028</v>
      </c>
      <c r="X73" s="13">
        <f ca="1"/>
        <v>1720.9261657291347</v>
      </c>
      <c r="Y73" s="13">
        <f ca="1"/>
        <v>1721.2095782826905</v>
      </c>
      <c r="Z73" s="13">
        <f ca="1"/>
        <v>1721.4049465890341</v>
      </c>
      <c r="AA73" s="13">
        <f ca="1"/>
        <v>1721.4049465890341</v>
      </c>
      <c r="AB73" s="13">
        <f ca="1"/>
        <v>1721.4049465890341</v>
      </c>
      <c r="AC73" s="13">
        <f ca="1"/>
        <v>1721.4049465890341</v>
      </c>
      <c r="AD73" s="13">
        <f ca="1"/>
        <v>1721.4049465890341</v>
      </c>
      <c r="AE73" s="13">
        <f ca="1"/>
        <v>1721.4049465890341</v>
      </c>
      <c r="AF73" s="13">
        <f ca="1"/>
        <v>1721.4049465890341</v>
      </c>
      <c r="AG73" s="13">
        <f ca="1"/>
        <v>1721.4049465890341</v>
      </c>
      <c r="AH73" s="13">
        <f ca="1"/>
        <v>1721.4049465890341</v>
      </c>
      <c r="AI73" s="13">
        <f ca="1"/>
        <v>1721.4049465890341</v>
      </c>
      <c r="AJ73" s="13">
        <f ca="1"/>
        <v>1721.4049465890341</v>
      </c>
      <c r="AK73" s="13">
        <f ca="1"/>
        <v>1721.4049465890341</v>
      </c>
      <c r="AL73" s="56">
        <f ca="1"/>
        <v>1721.4049465890341</v>
      </c>
      <c r="AM73" s="10"/>
    </row>
    <row r="74" spans="2:39" ht="15" hidden="1">
      <c r="B74" s="10"/>
      <c r="C74" s="21" t="str">
        <f>"EL 6: " &amp; INDEX(_doName,7,7)</f>
        <v>EL 6: EL 6</v>
      </c>
      <c r="D74" s="18"/>
      <c r="E74" s="58">
        <f t="array" aca="1" ref="E74:AL74" ca="1">tlccFubcElec6</f>
        <v>1541.0371925204097</v>
      </c>
      <c r="F74" s="58">
        <f ca="1"/>
        <v>1530.8429405069157</v>
      </c>
      <c r="G74" s="58">
        <f ca="1"/>
        <v>1521.845528646412</v>
      </c>
      <c r="H74" s="58">
        <f ca="1"/>
        <v>1513.2938011259398</v>
      </c>
      <c r="I74" s="58">
        <f ca="1"/>
        <v>1505.8020139345149</v>
      </c>
      <c r="J74" s="58">
        <f ca="1"/>
        <v>1499.9567709068692</v>
      </c>
      <c r="K74" s="58">
        <f ca="1"/>
        <v>1495.0734139594701</v>
      </c>
      <c r="L74" s="58">
        <f ca="1"/>
        <v>1490.1581422479021</v>
      </c>
      <c r="M74" s="58">
        <f ca="1"/>
        <v>1486.1945570633638</v>
      </c>
      <c r="N74" s="58">
        <f ca="1"/>
        <v>1483.4186561060867</v>
      </c>
      <c r="O74" s="58">
        <f ca="1"/>
        <v>1481.3634697392117</v>
      </c>
      <c r="P74" s="58">
        <f ca="1"/>
        <v>1479.6140062983127</v>
      </c>
      <c r="Q74" s="58">
        <f ca="1"/>
        <v>1478.3035887924796</v>
      </c>
      <c r="R74" s="58">
        <f ca="1"/>
        <v>1477.286106369417</v>
      </c>
      <c r="S74" s="58">
        <f ca="1"/>
        <v>1477.0897124084383</v>
      </c>
      <c r="T74" s="58">
        <f ca="1"/>
        <v>1477.2669045915313</v>
      </c>
      <c r="U74" s="58">
        <f ca="1"/>
        <v>1477.5671498609772</v>
      </c>
      <c r="V74" s="58">
        <f ca="1"/>
        <v>1478.0248245094099</v>
      </c>
      <c r="W74" s="58">
        <f ca="1"/>
        <v>1478.4631420464732</v>
      </c>
      <c r="X74" s="58">
        <f ca="1"/>
        <v>1478.8263823673751</v>
      </c>
      <c r="Y74" s="58">
        <f ca="1"/>
        <v>1479.0699244609518</v>
      </c>
      <c r="Z74" s="58">
        <f ca="1"/>
        <v>1479.237808366405</v>
      </c>
      <c r="AA74" s="58">
        <f ca="1"/>
        <v>1479.237808366405</v>
      </c>
      <c r="AB74" s="58">
        <f ca="1"/>
        <v>1479.237808366405</v>
      </c>
      <c r="AC74" s="58">
        <f ca="1"/>
        <v>1479.237808366405</v>
      </c>
      <c r="AD74" s="58">
        <f ca="1"/>
        <v>1479.237808366405</v>
      </c>
      <c r="AE74" s="58">
        <f ca="1"/>
        <v>1479.237808366405</v>
      </c>
      <c r="AF74" s="58">
        <f ca="1"/>
        <v>1479.237808366405</v>
      </c>
      <c r="AG74" s="58">
        <f ca="1"/>
        <v>1479.237808366405</v>
      </c>
      <c r="AH74" s="58">
        <f ca="1"/>
        <v>1479.237808366405</v>
      </c>
      <c r="AI74" s="58">
        <f ca="1"/>
        <v>1479.237808366405</v>
      </c>
      <c r="AJ74" s="58">
        <f ca="1"/>
        <v>1479.237808366405</v>
      </c>
      <c r="AK74" s="58">
        <f ca="1"/>
        <v>1479.237808366405</v>
      </c>
      <c r="AL74" s="59">
        <f ca="1"/>
        <v>1479.237808366405</v>
      </c>
      <c r="AM74" s="10"/>
    </row>
    <row r="75" spans="2:39" ht="15" hidden="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2:39" ht="15" hidden="1">
      <c r="B76" s="10"/>
      <c r="C76" s="22" t="s">
        <v>86</v>
      </c>
      <c r="D76" s="23"/>
      <c r="E76" s="24">
        <f t="array" ref="E76:AL76">_yS</f>
        <v>2019</v>
      </c>
      <c r="F76" s="24">
        <v>2020</v>
      </c>
      <c r="G76" s="24">
        <v>2021</v>
      </c>
      <c r="H76" s="24">
        <v>2022</v>
      </c>
      <c r="I76" s="24">
        <v>2023</v>
      </c>
      <c r="J76" s="24">
        <v>2024</v>
      </c>
      <c r="K76" s="24">
        <v>2025</v>
      </c>
      <c r="L76" s="24">
        <v>2026</v>
      </c>
      <c r="M76" s="24">
        <v>2027</v>
      </c>
      <c r="N76" s="24">
        <v>2028</v>
      </c>
      <c r="O76" s="24">
        <v>2029</v>
      </c>
      <c r="P76" s="24">
        <v>2030</v>
      </c>
      <c r="Q76" s="24">
        <v>2031</v>
      </c>
      <c r="R76" s="24">
        <v>2032</v>
      </c>
      <c r="S76" s="24">
        <v>2033</v>
      </c>
      <c r="T76" s="24">
        <v>2034</v>
      </c>
      <c r="U76" s="24">
        <v>2035</v>
      </c>
      <c r="V76" s="24">
        <v>2036</v>
      </c>
      <c r="W76" s="24">
        <v>2037</v>
      </c>
      <c r="X76" s="24">
        <v>2038</v>
      </c>
      <c r="Y76" s="24">
        <v>2039</v>
      </c>
      <c r="Z76" s="24">
        <v>2040</v>
      </c>
      <c r="AA76" s="24">
        <v>2041</v>
      </c>
      <c r="AB76" s="24">
        <v>2042</v>
      </c>
      <c r="AC76" s="24">
        <v>2043</v>
      </c>
      <c r="AD76" s="24">
        <v>2044</v>
      </c>
      <c r="AE76" s="24">
        <v>2045</v>
      </c>
      <c r="AF76" s="24">
        <v>2046</v>
      </c>
      <c r="AG76" s="24">
        <v>2047</v>
      </c>
      <c r="AH76" s="24">
        <v>2048</v>
      </c>
      <c r="AI76" s="24">
        <v>2049</v>
      </c>
      <c r="AJ76" s="24">
        <v>2050</v>
      </c>
      <c r="AK76" s="24">
        <v>2051</v>
      </c>
      <c r="AL76" s="25">
        <v>2052</v>
      </c>
      <c r="AM76" s="10"/>
    </row>
    <row r="77" spans="2:39" ht="15" hidden="1">
      <c r="B77" s="10"/>
      <c r="C77" s="11" t="str">
        <f>"EL 0: " &amp; INDEX(_doName,7,1)</f>
        <v>EL 0: EL 6</v>
      </c>
      <c r="D77" s="12"/>
      <c r="E77" s="13">
        <f t="array" aca="1" ref="E77:AL77" ca="1">tlccQupol0</f>
        <v>0</v>
      </c>
      <c r="F77" s="13">
        <f ca="1"/>
        <v>0</v>
      </c>
      <c r="G77" s="13">
        <f ca="1"/>
        <v>0</v>
      </c>
      <c r="H77" s="13">
        <f ca="1"/>
        <v>0</v>
      </c>
      <c r="I77" s="13">
        <f ca="1"/>
        <v>0</v>
      </c>
      <c r="J77" s="13">
        <f ca="1"/>
        <v>0</v>
      </c>
      <c r="K77" s="13">
        <f ca="1"/>
        <v>0</v>
      </c>
      <c r="L77" s="13">
        <f ca="1"/>
        <v>0</v>
      </c>
      <c r="M77" s="13">
        <f ca="1"/>
        <v>0</v>
      </c>
      <c r="N77" s="13">
        <f ca="1"/>
        <v>0</v>
      </c>
      <c r="O77" s="13">
        <f ca="1"/>
        <v>0</v>
      </c>
      <c r="P77" s="13">
        <f ca="1"/>
        <v>0</v>
      </c>
      <c r="Q77" s="13">
        <f ca="1"/>
        <v>0</v>
      </c>
      <c r="R77" s="13">
        <f ca="1"/>
        <v>0</v>
      </c>
      <c r="S77" s="13">
        <f ca="1"/>
        <v>0</v>
      </c>
      <c r="T77" s="13">
        <f ca="1"/>
        <v>0</v>
      </c>
      <c r="U77" s="13">
        <f ca="1"/>
        <v>0</v>
      </c>
      <c r="V77" s="13">
        <f ca="1"/>
        <v>0</v>
      </c>
      <c r="W77" s="13">
        <f ca="1"/>
        <v>0</v>
      </c>
      <c r="X77" s="13">
        <f ca="1"/>
        <v>0</v>
      </c>
      <c r="Y77" s="13">
        <f ca="1"/>
        <v>0</v>
      </c>
      <c r="Z77" s="13">
        <f ca="1"/>
        <v>0</v>
      </c>
      <c r="AA77" s="13">
        <f ca="1"/>
        <v>0</v>
      </c>
      <c r="AB77" s="13">
        <f ca="1"/>
        <v>0</v>
      </c>
      <c r="AC77" s="13">
        <f ca="1"/>
        <v>0</v>
      </c>
      <c r="AD77" s="13">
        <f ca="1"/>
        <v>0</v>
      </c>
      <c r="AE77" s="13">
        <f ca="1"/>
        <v>0</v>
      </c>
      <c r="AF77" s="13">
        <f ca="1"/>
        <v>0</v>
      </c>
      <c r="AG77" s="13">
        <f ca="1"/>
        <v>0</v>
      </c>
      <c r="AH77" s="13">
        <f ca="1"/>
        <v>0</v>
      </c>
      <c r="AI77" s="13">
        <f ca="1"/>
        <v>0</v>
      </c>
      <c r="AJ77" s="13">
        <f ca="1"/>
        <v>0</v>
      </c>
      <c r="AK77" s="13">
        <f ca="1"/>
        <v>0</v>
      </c>
      <c r="AL77" s="56">
        <f ca="1"/>
        <v>0</v>
      </c>
      <c r="AM77" s="10"/>
    </row>
    <row r="78" spans="2:39" ht="15" hidden="1">
      <c r="B78" s="10"/>
      <c r="C78" s="11" t="str">
        <f>"EL 1: " &amp; INDEX(_doName,7,2)</f>
        <v>EL 1: EL 1</v>
      </c>
      <c r="D78" s="12"/>
      <c r="E78" s="13">
        <f t="array" aca="1" ref="E78:AL78" ca="1">tlccQupol1</f>
        <v>0</v>
      </c>
      <c r="F78" s="13">
        <f ca="1"/>
        <v>0</v>
      </c>
      <c r="G78" s="13">
        <f ca="1"/>
        <v>0</v>
      </c>
      <c r="H78" s="13">
        <f ca="1"/>
        <v>0</v>
      </c>
      <c r="I78" s="13">
        <f ca="1"/>
        <v>0</v>
      </c>
      <c r="J78" s="13">
        <f ca="1"/>
        <v>0</v>
      </c>
      <c r="K78" s="13">
        <f ca="1"/>
        <v>0</v>
      </c>
      <c r="L78" s="13">
        <f ca="1"/>
        <v>0</v>
      </c>
      <c r="M78" s="13">
        <f ca="1"/>
        <v>0</v>
      </c>
      <c r="N78" s="13">
        <f ca="1"/>
        <v>0</v>
      </c>
      <c r="O78" s="13">
        <f ca="1"/>
        <v>0</v>
      </c>
      <c r="P78" s="13">
        <f ca="1"/>
        <v>0</v>
      </c>
      <c r="Q78" s="13">
        <f ca="1"/>
        <v>0</v>
      </c>
      <c r="R78" s="13">
        <f ca="1"/>
        <v>0</v>
      </c>
      <c r="S78" s="13">
        <f ca="1"/>
        <v>0</v>
      </c>
      <c r="T78" s="13">
        <f ca="1"/>
        <v>0</v>
      </c>
      <c r="U78" s="13">
        <f ca="1"/>
        <v>0</v>
      </c>
      <c r="V78" s="13">
        <f ca="1"/>
        <v>0</v>
      </c>
      <c r="W78" s="13">
        <f ca="1"/>
        <v>0</v>
      </c>
      <c r="X78" s="13">
        <f ca="1"/>
        <v>0</v>
      </c>
      <c r="Y78" s="13">
        <f ca="1"/>
        <v>0</v>
      </c>
      <c r="Z78" s="13">
        <f ca="1"/>
        <v>0</v>
      </c>
      <c r="AA78" s="13">
        <f ca="1"/>
        <v>0</v>
      </c>
      <c r="AB78" s="13">
        <f ca="1"/>
        <v>0</v>
      </c>
      <c r="AC78" s="13">
        <f ca="1"/>
        <v>0</v>
      </c>
      <c r="AD78" s="13">
        <f ca="1"/>
        <v>0</v>
      </c>
      <c r="AE78" s="13">
        <f ca="1"/>
        <v>0</v>
      </c>
      <c r="AF78" s="13">
        <f ca="1"/>
        <v>0</v>
      </c>
      <c r="AG78" s="13">
        <f ca="1"/>
        <v>0</v>
      </c>
      <c r="AH78" s="13">
        <f ca="1"/>
        <v>0</v>
      </c>
      <c r="AI78" s="13">
        <f ca="1"/>
        <v>0</v>
      </c>
      <c r="AJ78" s="13">
        <f ca="1"/>
        <v>0</v>
      </c>
      <c r="AK78" s="13">
        <f ca="1"/>
        <v>0</v>
      </c>
      <c r="AL78" s="56">
        <f ca="1"/>
        <v>0</v>
      </c>
      <c r="AM78" s="10"/>
    </row>
    <row r="79" spans="2:39" ht="15" hidden="1">
      <c r="B79" s="10"/>
      <c r="C79" s="11" t="str">
        <f>"EL 2: " &amp; INDEX(_doName,7,3)</f>
        <v>EL 2: EL 2</v>
      </c>
      <c r="D79" s="12"/>
      <c r="E79" s="13">
        <f t="array" aca="1" ref="E79:AL79" ca="1">tlccQupol2</f>
        <v>0</v>
      </c>
      <c r="F79" s="13">
        <f ca="1"/>
        <v>0</v>
      </c>
      <c r="G79" s="13">
        <f ca="1"/>
        <v>0</v>
      </c>
      <c r="H79" s="13">
        <f ca="1"/>
        <v>0</v>
      </c>
      <c r="I79" s="13">
        <f ca="1"/>
        <v>0</v>
      </c>
      <c r="J79" s="13">
        <f ca="1"/>
        <v>0</v>
      </c>
      <c r="K79" s="13">
        <f ca="1"/>
        <v>0</v>
      </c>
      <c r="L79" s="13">
        <f ca="1"/>
        <v>0</v>
      </c>
      <c r="M79" s="13">
        <f ca="1"/>
        <v>0</v>
      </c>
      <c r="N79" s="13">
        <f ca="1"/>
        <v>0</v>
      </c>
      <c r="O79" s="13">
        <f ca="1"/>
        <v>0</v>
      </c>
      <c r="P79" s="13">
        <f ca="1"/>
        <v>0</v>
      </c>
      <c r="Q79" s="13">
        <f ca="1"/>
        <v>0</v>
      </c>
      <c r="R79" s="13">
        <f ca="1"/>
        <v>0</v>
      </c>
      <c r="S79" s="13">
        <f ca="1"/>
        <v>0</v>
      </c>
      <c r="T79" s="13">
        <f ca="1"/>
        <v>0</v>
      </c>
      <c r="U79" s="13">
        <f ca="1"/>
        <v>0</v>
      </c>
      <c r="V79" s="13">
        <f ca="1"/>
        <v>0</v>
      </c>
      <c r="W79" s="13">
        <f ca="1"/>
        <v>0</v>
      </c>
      <c r="X79" s="13">
        <f ca="1"/>
        <v>0</v>
      </c>
      <c r="Y79" s="13">
        <f ca="1"/>
        <v>0</v>
      </c>
      <c r="Z79" s="13">
        <f ca="1"/>
        <v>0</v>
      </c>
      <c r="AA79" s="13">
        <f ca="1"/>
        <v>0</v>
      </c>
      <c r="AB79" s="13">
        <f ca="1"/>
        <v>0</v>
      </c>
      <c r="AC79" s="13">
        <f ca="1"/>
        <v>0</v>
      </c>
      <c r="AD79" s="13">
        <f ca="1"/>
        <v>0</v>
      </c>
      <c r="AE79" s="13">
        <f ca="1"/>
        <v>0</v>
      </c>
      <c r="AF79" s="13">
        <f ca="1"/>
        <v>0</v>
      </c>
      <c r="AG79" s="13">
        <f ca="1"/>
        <v>0</v>
      </c>
      <c r="AH79" s="13">
        <f ca="1"/>
        <v>0</v>
      </c>
      <c r="AI79" s="13">
        <f ca="1"/>
        <v>0</v>
      </c>
      <c r="AJ79" s="13">
        <f ca="1"/>
        <v>0</v>
      </c>
      <c r="AK79" s="13">
        <f ca="1"/>
        <v>0</v>
      </c>
      <c r="AL79" s="56">
        <f ca="1"/>
        <v>0</v>
      </c>
      <c r="AM79" s="10"/>
    </row>
    <row r="80" spans="2:39" ht="15" hidden="1">
      <c r="B80" s="10"/>
      <c r="C80" s="11" t="str">
        <f>"EL 3: " &amp; INDEX(_doName,7,4)</f>
        <v>EL 3: EL 3</v>
      </c>
      <c r="D80" s="12"/>
      <c r="E80" s="13">
        <f t="array" aca="1" ref="E80:AL80" ca="1">tlccQupol3</f>
        <v>0</v>
      </c>
      <c r="F80" s="13">
        <f ca="1"/>
        <v>0</v>
      </c>
      <c r="G80" s="13">
        <f ca="1"/>
        <v>0</v>
      </c>
      <c r="H80" s="13">
        <f ca="1"/>
        <v>0</v>
      </c>
      <c r="I80" s="13">
        <f ca="1"/>
        <v>0</v>
      </c>
      <c r="J80" s="13">
        <f ca="1"/>
        <v>0</v>
      </c>
      <c r="K80" s="13">
        <f ca="1"/>
        <v>0</v>
      </c>
      <c r="L80" s="13">
        <f ca="1"/>
        <v>0</v>
      </c>
      <c r="M80" s="13">
        <f ca="1"/>
        <v>0</v>
      </c>
      <c r="N80" s="13">
        <f ca="1"/>
        <v>0</v>
      </c>
      <c r="O80" s="13">
        <f ca="1"/>
        <v>0</v>
      </c>
      <c r="P80" s="13">
        <f ca="1"/>
        <v>0</v>
      </c>
      <c r="Q80" s="13">
        <f ca="1"/>
        <v>0</v>
      </c>
      <c r="R80" s="13">
        <f ca="1"/>
        <v>0</v>
      </c>
      <c r="S80" s="13">
        <f ca="1"/>
        <v>0</v>
      </c>
      <c r="T80" s="13">
        <f ca="1"/>
        <v>0</v>
      </c>
      <c r="U80" s="13">
        <f ca="1"/>
        <v>0</v>
      </c>
      <c r="V80" s="13">
        <f ca="1"/>
        <v>0</v>
      </c>
      <c r="W80" s="13">
        <f ca="1"/>
        <v>0</v>
      </c>
      <c r="X80" s="13">
        <f ca="1"/>
        <v>0</v>
      </c>
      <c r="Y80" s="13">
        <f ca="1"/>
        <v>0</v>
      </c>
      <c r="Z80" s="13">
        <f ca="1"/>
        <v>0</v>
      </c>
      <c r="AA80" s="13">
        <f ca="1"/>
        <v>0</v>
      </c>
      <c r="AB80" s="13">
        <f ca="1"/>
        <v>0</v>
      </c>
      <c r="AC80" s="13">
        <f ca="1"/>
        <v>0</v>
      </c>
      <c r="AD80" s="13">
        <f ca="1"/>
        <v>0</v>
      </c>
      <c r="AE80" s="13">
        <f ca="1"/>
        <v>0</v>
      </c>
      <c r="AF80" s="13">
        <f ca="1"/>
        <v>0</v>
      </c>
      <c r="AG80" s="13">
        <f ca="1"/>
        <v>0</v>
      </c>
      <c r="AH80" s="13">
        <f ca="1"/>
        <v>0</v>
      </c>
      <c r="AI80" s="13">
        <f ca="1"/>
        <v>0</v>
      </c>
      <c r="AJ80" s="13">
        <f ca="1"/>
        <v>0</v>
      </c>
      <c r="AK80" s="13">
        <f ca="1"/>
        <v>0</v>
      </c>
      <c r="AL80" s="56">
        <f ca="1"/>
        <v>0</v>
      </c>
      <c r="AM80" s="10"/>
    </row>
    <row r="81" spans="2:39" ht="15" hidden="1">
      <c r="B81" s="10"/>
      <c r="C81" s="11" t="str">
        <f>"EL 4: " &amp; INDEX(_doName,7,5)</f>
        <v>EL 4: EL 4</v>
      </c>
      <c r="D81" s="12"/>
      <c r="E81" s="13">
        <f t="array" aca="1" ref="E81:AL81" ca="1">tlccQupol4</f>
        <v>0</v>
      </c>
      <c r="F81" s="13">
        <f ca="1"/>
        <v>0</v>
      </c>
      <c r="G81" s="13">
        <f ca="1"/>
        <v>0</v>
      </c>
      <c r="H81" s="13">
        <f ca="1"/>
        <v>0</v>
      </c>
      <c r="I81" s="13">
        <f ca="1"/>
        <v>0</v>
      </c>
      <c r="J81" s="13">
        <f ca="1"/>
        <v>0</v>
      </c>
      <c r="K81" s="13">
        <f ca="1"/>
        <v>0</v>
      </c>
      <c r="L81" s="13">
        <f ca="1"/>
        <v>0</v>
      </c>
      <c r="M81" s="13">
        <f ca="1"/>
        <v>0</v>
      </c>
      <c r="N81" s="13">
        <f ca="1"/>
        <v>0</v>
      </c>
      <c r="O81" s="13">
        <f ca="1"/>
        <v>0</v>
      </c>
      <c r="P81" s="13">
        <f ca="1"/>
        <v>0</v>
      </c>
      <c r="Q81" s="13">
        <f ca="1"/>
        <v>0</v>
      </c>
      <c r="R81" s="13">
        <f ca="1"/>
        <v>0</v>
      </c>
      <c r="S81" s="13">
        <f ca="1"/>
        <v>0</v>
      </c>
      <c r="T81" s="13">
        <f ca="1"/>
        <v>0</v>
      </c>
      <c r="U81" s="13">
        <f ca="1"/>
        <v>0</v>
      </c>
      <c r="V81" s="13">
        <f ca="1"/>
        <v>0</v>
      </c>
      <c r="W81" s="13">
        <f ca="1"/>
        <v>0</v>
      </c>
      <c r="X81" s="13">
        <f ca="1"/>
        <v>0</v>
      </c>
      <c r="Y81" s="13">
        <f ca="1"/>
        <v>0</v>
      </c>
      <c r="Z81" s="13">
        <f ca="1"/>
        <v>0</v>
      </c>
      <c r="AA81" s="13">
        <f ca="1"/>
        <v>0</v>
      </c>
      <c r="AB81" s="13">
        <f ca="1"/>
        <v>0</v>
      </c>
      <c r="AC81" s="13">
        <f ca="1"/>
        <v>0</v>
      </c>
      <c r="AD81" s="13">
        <f ca="1"/>
        <v>0</v>
      </c>
      <c r="AE81" s="13">
        <f ca="1"/>
        <v>0</v>
      </c>
      <c r="AF81" s="13">
        <f ca="1"/>
        <v>0</v>
      </c>
      <c r="AG81" s="13">
        <f ca="1"/>
        <v>0</v>
      </c>
      <c r="AH81" s="13">
        <f ca="1"/>
        <v>0</v>
      </c>
      <c r="AI81" s="13">
        <f ca="1"/>
        <v>0</v>
      </c>
      <c r="AJ81" s="13">
        <f ca="1"/>
        <v>0</v>
      </c>
      <c r="AK81" s="13">
        <f ca="1"/>
        <v>0</v>
      </c>
      <c r="AL81" s="56">
        <f ca="1"/>
        <v>0</v>
      </c>
      <c r="AM81" s="10"/>
    </row>
    <row r="82" spans="2:39" ht="15" hidden="1">
      <c r="B82" s="10"/>
      <c r="C82" s="11" t="str">
        <f>"EL 5: " &amp; INDEX(_doName,7,6)</f>
        <v>EL 5: EL 5</v>
      </c>
      <c r="D82" s="12"/>
      <c r="E82" s="13">
        <f t="array" aca="1" ref="E82:AL82" ca="1">tlccQupol5</f>
        <v>3824.0208259036499</v>
      </c>
      <c r="F82" s="13">
        <f ca="1"/>
        <v>3824.0208259036499</v>
      </c>
      <c r="G82" s="13">
        <f ca="1"/>
        <v>3824.0208259036499</v>
      </c>
      <c r="H82" s="13">
        <f ca="1"/>
        <v>3824.0208259036499</v>
      </c>
      <c r="I82" s="13">
        <f ca="1"/>
        <v>3824.0208259036499</v>
      </c>
      <c r="J82" s="13">
        <f ca="1"/>
        <v>3824.0208259036499</v>
      </c>
      <c r="K82" s="13">
        <f ca="1"/>
        <v>3824.0208259036499</v>
      </c>
      <c r="L82" s="13">
        <f ca="1"/>
        <v>3824.0208259036499</v>
      </c>
      <c r="M82" s="13">
        <f ca="1"/>
        <v>3824.0208259036499</v>
      </c>
      <c r="N82" s="13">
        <f ca="1"/>
        <v>3824.0208259036499</v>
      </c>
      <c r="O82" s="13">
        <f ca="1"/>
        <v>3824.0208259036499</v>
      </c>
      <c r="P82" s="13">
        <f ca="1"/>
        <v>3824.0208259036499</v>
      </c>
      <c r="Q82" s="13">
        <f ca="1"/>
        <v>3824.0208259036499</v>
      </c>
      <c r="R82" s="13">
        <f ca="1"/>
        <v>3824.0208259036499</v>
      </c>
      <c r="S82" s="13">
        <f ca="1"/>
        <v>3824.0208259036499</v>
      </c>
      <c r="T82" s="13">
        <f ca="1"/>
        <v>3824.0208259036499</v>
      </c>
      <c r="U82" s="13">
        <f ca="1"/>
        <v>3824.0208259036499</v>
      </c>
      <c r="V82" s="13">
        <f ca="1"/>
        <v>3824.0208259036499</v>
      </c>
      <c r="W82" s="13">
        <f ca="1"/>
        <v>3824.0208259036499</v>
      </c>
      <c r="X82" s="13">
        <f ca="1"/>
        <v>3824.0208259036499</v>
      </c>
      <c r="Y82" s="13">
        <f ca="1"/>
        <v>3824.0208259036499</v>
      </c>
      <c r="Z82" s="13">
        <f ca="1"/>
        <v>3824.0208259036499</v>
      </c>
      <c r="AA82" s="13">
        <f ca="1"/>
        <v>3824.0208259036499</v>
      </c>
      <c r="AB82" s="13">
        <f ca="1"/>
        <v>3824.0208259036499</v>
      </c>
      <c r="AC82" s="13">
        <f ca="1"/>
        <v>3824.0208259036499</v>
      </c>
      <c r="AD82" s="13">
        <f ca="1"/>
        <v>3824.0208259036499</v>
      </c>
      <c r="AE82" s="13">
        <f ca="1"/>
        <v>3824.0208259036499</v>
      </c>
      <c r="AF82" s="13">
        <f ca="1"/>
        <v>3824.0208259036499</v>
      </c>
      <c r="AG82" s="13">
        <f ca="1"/>
        <v>3824.0208259036499</v>
      </c>
      <c r="AH82" s="13">
        <f ca="1"/>
        <v>3824.0208259036499</v>
      </c>
      <c r="AI82" s="13">
        <f ca="1"/>
        <v>3824.0208259036499</v>
      </c>
      <c r="AJ82" s="13">
        <f ca="1"/>
        <v>3824.0208259036499</v>
      </c>
      <c r="AK82" s="13">
        <f ca="1"/>
        <v>3824.0208259036499</v>
      </c>
      <c r="AL82" s="56">
        <f ca="1"/>
        <v>3824.0208259036499</v>
      </c>
      <c r="AM82" s="10"/>
    </row>
    <row r="83" spans="2:39" ht="15" hidden="1">
      <c r="B83" s="10"/>
      <c r="C83" s="21" t="str">
        <f>"EL 6: " &amp; INDEX(_doName,7,7)</f>
        <v>EL 6: EL 6</v>
      </c>
      <c r="D83" s="18"/>
      <c r="E83" s="58">
        <f t="array" aca="1" ref="E83:AL83" ca="1">tlccQupol6</f>
        <v>3821.84135460993</v>
      </c>
      <c r="F83" s="58">
        <f ca="1"/>
        <v>3821.84135460993</v>
      </c>
      <c r="G83" s="58">
        <f ca="1"/>
        <v>3821.84135460993</v>
      </c>
      <c r="H83" s="58">
        <f ca="1"/>
        <v>3821.84135460993</v>
      </c>
      <c r="I83" s="58">
        <f ca="1"/>
        <v>3821.84135460993</v>
      </c>
      <c r="J83" s="58">
        <f ca="1"/>
        <v>3821.84135460993</v>
      </c>
      <c r="K83" s="58">
        <f ca="1"/>
        <v>3821.84135460993</v>
      </c>
      <c r="L83" s="58">
        <f ca="1"/>
        <v>3821.84135460993</v>
      </c>
      <c r="M83" s="58">
        <f ca="1"/>
        <v>3821.84135460993</v>
      </c>
      <c r="N83" s="58">
        <f ca="1"/>
        <v>3821.84135460993</v>
      </c>
      <c r="O83" s="58">
        <f ca="1"/>
        <v>3821.84135460993</v>
      </c>
      <c r="P83" s="58">
        <f ca="1"/>
        <v>3821.84135460993</v>
      </c>
      <c r="Q83" s="58">
        <f ca="1"/>
        <v>3821.84135460993</v>
      </c>
      <c r="R83" s="58">
        <f ca="1"/>
        <v>3821.84135460993</v>
      </c>
      <c r="S83" s="58">
        <f ca="1"/>
        <v>3821.84135460993</v>
      </c>
      <c r="T83" s="58">
        <f ca="1"/>
        <v>3821.84135460993</v>
      </c>
      <c r="U83" s="58">
        <f ca="1"/>
        <v>3821.84135460993</v>
      </c>
      <c r="V83" s="58">
        <f ca="1"/>
        <v>3821.84135460993</v>
      </c>
      <c r="W83" s="58">
        <f ca="1"/>
        <v>3821.84135460993</v>
      </c>
      <c r="X83" s="58">
        <f ca="1"/>
        <v>3821.84135460993</v>
      </c>
      <c r="Y83" s="58">
        <f ca="1"/>
        <v>3821.84135460993</v>
      </c>
      <c r="Z83" s="58">
        <f ca="1"/>
        <v>3821.84135460993</v>
      </c>
      <c r="AA83" s="58">
        <f ca="1"/>
        <v>3821.84135460993</v>
      </c>
      <c r="AB83" s="58">
        <f ca="1"/>
        <v>3821.84135460993</v>
      </c>
      <c r="AC83" s="58">
        <f ca="1"/>
        <v>3821.84135460993</v>
      </c>
      <c r="AD83" s="58">
        <f ca="1"/>
        <v>3821.84135460993</v>
      </c>
      <c r="AE83" s="58">
        <f ca="1"/>
        <v>3821.84135460993</v>
      </c>
      <c r="AF83" s="58">
        <f ca="1"/>
        <v>3821.84135460993</v>
      </c>
      <c r="AG83" s="58">
        <f ca="1"/>
        <v>3821.84135460993</v>
      </c>
      <c r="AH83" s="58">
        <f ca="1"/>
        <v>3821.84135460993</v>
      </c>
      <c r="AI83" s="58">
        <f ca="1"/>
        <v>3821.84135460993</v>
      </c>
      <c r="AJ83" s="58">
        <f ca="1"/>
        <v>3821.84135460993</v>
      </c>
      <c r="AK83" s="58">
        <f ca="1"/>
        <v>3821.84135460993</v>
      </c>
      <c r="AL83" s="59">
        <f ca="1"/>
        <v>3821.84135460993</v>
      </c>
      <c r="AM83" s="10"/>
    </row>
    <row r="84" spans="2:39" ht="15" hidden="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2:39" ht="15" hidden="1">
      <c r="B85" s="10"/>
      <c r="C85" s="22" t="s">
        <v>85</v>
      </c>
      <c r="D85" s="23"/>
      <c r="E85" s="24">
        <f t="array" ref="E85:AL85">_yS</f>
        <v>2019</v>
      </c>
      <c r="F85" s="24">
        <v>2020</v>
      </c>
      <c r="G85" s="24">
        <v>2021</v>
      </c>
      <c r="H85" s="24">
        <v>2022</v>
      </c>
      <c r="I85" s="24">
        <v>2023</v>
      </c>
      <c r="J85" s="24">
        <v>2024</v>
      </c>
      <c r="K85" s="24">
        <v>2025</v>
      </c>
      <c r="L85" s="24">
        <v>2026</v>
      </c>
      <c r="M85" s="24">
        <v>2027</v>
      </c>
      <c r="N85" s="24">
        <v>2028</v>
      </c>
      <c r="O85" s="24">
        <v>2029</v>
      </c>
      <c r="P85" s="24">
        <v>2030</v>
      </c>
      <c r="Q85" s="24">
        <v>2031</v>
      </c>
      <c r="R85" s="24">
        <v>2032</v>
      </c>
      <c r="S85" s="24">
        <v>2033</v>
      </c>
      <c r="T85" s="24">
        <v>2034</v>
      </c>
      <c r="U85" s="24">
        <v>2035</v>
      </c>
      <c r="V85" s="24">
        <v>2036</v>
      </c>
      <c r="W85" s="24">
        <v>2037</v>
      </c>
      <c r="X85" s="24">
        <v>2038</v>
      </c>
      <c r="Y85" s="24">
        <v>2039</v>
      </c>
      <c r="Z85" s="24">
        <v>2040</v>
      </c>
      <c r="AA85" s="24">
        <v>2041</v>
      </c>
      <c r="AB85" s="24">
        <v>2042</v>
      </c>
      <c r="AC85" s="24">
        <v>2043</v>
      </c>
      <c r="AD85" s="24">
        <v>2044</v>
      </c>
      <c r="AE85" s="24">
        <v>2045</v>
      </c>
      <c r="AF85" s="24">
        <v>2046</v>
      </c>
      <c r="AG85" s="24">
        <v>2047</v>
      </c>
      <c r="AH85" s="24">
        <v>2048</v>
      </c>
      <c r="AI85" s="24">
        <v>2049</v>
      </c>
      <c r="AJ85" s="24">
        <v>2050</v>
      </c>
      <c r="AK85" s="24">
        <v>2051</v>
      </c>
      <c r="AL85" s="25">
        <v>2052</v>
      </c>
      <c r="AM85" s="10"/>
    </row>
    <row r="86" spans="2:39" ht="15" hidden="1">
      <c r="B86" s="10"/>
      <c r="C86" s="11" t="str">
        <f>"EL 0: " &amp; INDEX(_doName,7,1)</f>
        <v>EL 0: EL 6</v>
      </c>
      <c r="D86" s="12"/>
      <c r="E86" s="13">
        <f t="array" aca="1" ref="E86:AL86" ca="1">tlccEupol0</f>
        <v>0</v>
      </c>
      <c r="F86" s="13">
        <f ca="1"/>
        <v>0</v>
      </c>
      <c r="G86" s="13">
        <f ca="1"/>
        <v>0</v>
      </c>
      <c r="H86" s="13">
        <f ca="1"/>
        <v>0</v>
      </c>
      <c r="I86" s="13">
        <f ca="1"/>
        <v>0</v>
      </c>
      <c r="J86" s="13">
        <f ca="1"/>
        <v>0</v>
      </c>
      <c r="K86" s="13">
        <f ca="1"/>
        <v>0</v>
      </c>
      <c r="L86" s="13">
        <f ca="1"/>
        <v>0</v>
      </c>
      <c r="M86" s="13">
        <f ca="1"/>
        <v>0</v>
      </c>
      <c r="N86" s="13">
        <f ca="1"/>
        <v>0</v>
      </c>
      <c r="O86" s="13">
        <f ca="1"/>
        <v>0</v>
      </c>
      <c r="P86" s="13">
        <f ca="1"/>
        <v>0</v>
      </c>
      <c r="Q86" s="13">
        <f ca="1"/>
        <v>0</v>
      </c>
      <c r="R86" s="13">
        <f ca="1"/>
        <v>0</v>
      </c>
      <c r="S86" s="13">
        <f ca="1"/>
        <v>0</v>
      </c>
      <c r="T86" s="13">
        <f ca="1"/>
        <v>0</v>
      </c>
      <c r="U86" s="13">
        <f ca="1"/>
        <v>0</v>
      </c>
      <c r="V86" s="13">
        <f ca="1"/>
        <v>0</v>
      </c>
      <c r="W86" s="13">
        <f ca="1"/>
        <v>0</v>
      </c>
      <c r="X86" s="13">
        <f ca="1"/>
        <v>0</v>
      </c>
      <c r="Y86" s="13">
        <f ca="1"/>
        <v>0</v>
      </c>
      <c r="Z86" s="13">
        <f ca="1"/>
        <v>0</v>
      </c>
      <c r="AA86" s="13">
        <f ca="1"/>
        <v>0</v>
      </c>
      <c r="AB86" s="13">
        <f ca="1"/>
        <v>0</v>
      </c>
      <c r="AC86" s="13">
        <f ca="1"/>
        <v>0</v>
      </c>
      <c r="AD86" s="13">
        <f ca="1"/>
        <v>0</v>
      </c>
      <c r="AE86" s="13">
        <f ca="1"/>
        <v>0</v>
      </c>
      <c r="AF86" s="13">
        <f ca="1"/>
        <v>0</v>
      </c>
      <c r="AG86" s="13">
        <f ca="1"/>
        <v>0</v>
      </c>
      <c r="AH86" s="13">
        <f ca="1"/>
        <v>0</v>
      </c>
      <c r="AI86" s="13">
        <f ca="1"/>
        <v>0</v>
      </c>
      <c r="AJ86" s="13">
        <f ca="1"/>
        <v>0</v>
      </c>
      <c r="AK86" s="13">
        <f ca="1"/>
        <v>0</v>
      </c>
      <c r="AL86" s="56">
        <f ca="1"/>
        <v>0</v>
      </c>
      <c r="AM86" s="10"/>
    </row>
    <row r="87" spans="2:39" ht="15" hidden="1">
      <c r="B87" s="10"/>
      <c r="C87" s="11" t="str">
        <f>"EL 1: " &amp; INDEX(_doName,7,2)</f>
        <v>EL 1: EL 1</v>
      </c>
      <c r="D87" s="12"/>
      <c r="E87" s="13">
        <f t="array" aca="1" ref="E87:AL87" ca="1">tlccEupol1</f>
        <v>0</v>
      </c>
      <c r="F87" s="13">
        <f ca="1"/>
        <v>0</v>
      </c>
      <c r="G87" s="13">
        <f ca="1"/>
        <v>0</v>
      </c>
      <c r="H87" s="13">
        <f ca="1"/>
        <v>0</v>
      </c>
      <c r="I87" s="13">
        <f ca="1"/>
        <v>0</v>
      </c>
      <c r="J87" s="13">
        <f ca="1"/>
        <v>0</v>
      </c>
      <c r="K87" s="13">
        <f ca="1"/>
        <v>0</v>
      </c>
      <c r="L87" s="13">
        <f ca="1"/>
        <v>0</v>
      </c>
      <c r="M87" s="13">
        <f ca="1"/>
        <v>0</v>
      </c>
      <c r="N87" s="13">
        <f ca="1"/>
        <v>0</v>
      </c>
      <c r="O87" s="13">
        <f ca="1"/>
        <v>0</v>
      </c>
      <c r="P87" s="13">
        <f ca="1"/>
        <v>0</v>
      </c>
      <c r="Q87" s="13">
        <f ca="1"/>
        <v>0</v>
      </c>
      <c r="R87" s="13">
        <f ca="1"/>
        <v>0</v>
      </c>
      <c r="S87" s="13">
        <f ca="1"/>
        <v>0</v>
      </c>
      <c r="T87" s="13">
        <f ca="1"/>
        <v>0</v>
      </c>
      <c r="U87" s="13">
        <f ca="1"/>
        <v>0</v>
      </c>
      <c r="V87" s="13">
        <f ca="1"/>
        <v>0</v>
      </c>
      <c r="W87" s="13">
        <f ca="1"/>
        <v>0</v>
      </c>
      <c r="X87" s="13">
        <f ca="1"/>
        <v>0</v>
      </c>
      <c r="Y87" s="13">
        <f ca="1"/>
        <v>0</v>
      </c>
      <c r="Z87" s="13">
        <f ca="1"/>
        <v>0</v>
      </c>
      <c r="AA87" s="13">
        <f ca="1"/>
        <v>0</v>
      </c>
      <c r="AB87" s="13">
        <f ca="1"/>
        <v>0</v>
      </c>
      <c r="AC87" s="13">
        <f ca="1"/>
        <v>0</v>
      </c>
      <c r="AD87" s="13">
        <f ca="1"/>
        <v>0</v>
      </c>
      <c r="AE87" s="13">
        <f ca="1"/>
        <v>0</v>
      </c>
      <c r="AF87" s="13">
        <f ca="1"/>
        <v>0</v>
      </c>
      <c r="AG87" s="13">
        <f ca="1"/>
        <v>0</v>
      </c>
      <c r="AH87" s="13">
        <f ca="1"/>
        <v>0</v>
      </c>
      <c r="AI87" s="13">
        <f ca="1"/>
        <v>0</v>
      </c>
      <c r="AJ87" s="13">
        <f ca="1"/>
        <v>0</v>
      </c>
      <c r="AK87" s="13">
        <f ca="1"/>
        <v>0</v>
      </c>
      <c r="AL87" s="56">
        <f ca="1"/>
        <v>0</v>
      </c>
      <c r="AM87" s="10"/>
    </row>
    <row r="88" spans="2:39" ht="15" hidden="1">
      <c r="B88" s="10"/>
      <c r="C88" s="11" t="str">
        <f>"EL 2: " &amp; INDEX(_doName,7,3)</f>
        <v>EL 2: EL 2</v>
      </c>
      <c r="D88" s="12"/>
      <c r="E88" s="13">
        <f t="array" aca="1" ref="E88:AL88" ca="1">tlccEupol2</f>
        <v>0</v>
      </c>
      <c r="F88" s="13">
        <f ca="1"/>
        <v>0</v>
      </c>
      <c r="G88" s="13">
        <f ca="1"/>
        <v>0</v>
      </c>
      <c r="H88" s="13">
        <f ca="1"/>
        <v>0</v>
      </c>
      <c r="I88" s="13">
        <f ca="1"/>
        <v>0</v>
      </c>
      <c r="J88" s="13">
        <f ca="1"/>
        <v>0</v>
      </c>
      <c r="K88" s="13">
        <f ca="1"/>
        <v>0</v>
      </c>
      <c r="L88" s="13">
        <f ca="1"/>
        <v>0</v>
      </c>
      <c r="M88" s="13">
        <f ca="1"/>
        <v>0</v>
      </c>
      <c r="N88" s="13">
        <f ca="1"/>
        <v>0</v>
      </c>
      <c r="O88" s="13">
        <f ca="1"/>
        <v>0</v>
      </c>
      <c r="P88" s="13">
        <f ca="1"/>
        <v>0</v>
      </c>
      <c r="Q88" s="13">
        <f ca="1"/>
        <v>0</v>
      </c>
      <c r="R88" s="13">
        <f ca="1"/>
        <v>0</v>
      </c>
      <c r="S88" s="13">
        <f ca="1"/>
        <v>0</v>
      </c>
      <c r="T88" s="13">
        <f ca="1"/>
        <v>0</v>
      </c>
      <c r="U88" s="13">
        <f ca="1"/>
        <v>0</v>
      </c>
      <c r="V88" s="13">
        <f ca="1"/>
        <v>0</v>
      </c>
      <c r="W88" s="13">
        <f ca="1"/>
        <v>0</v>
      </c>
      <c r="X88" s="13">
        <f ca="1"/>
        <v>0</v>
      </c>
      <c r="Y88" s="13">
        <f ca="1"/>
        <v>0</v>
      </c>
      <c r="Z88" s="13">
        <f ca="1"/>
        <v>0</v>
      </c>
      <c r="AA88" s="13">
        <f ca="1"/>
        <v>0</v>
      </c>
      <c r="AB88" s="13">
        <f ca="1"/>
        <v>0</v>
      </c>
      <c r="AC88" s="13">
        <f ca="1"/>
        <v>0</v>
      </c>
      <c r="AD88" s="13">
        <f ca="1"/>
        <v>0</v>
      </c>
      <c r="AE88" s="13">
        <f ca="1"/>
        <v>0</v>
      </c>
      <c r="AF88" s="13">
        <f ca="1"/>
        <v>0</v>
      </c>
      <c r="AG88" s="13">
        <f ca="1"/>
        <v>0</v>
      </c>
      <c r="AH88" s="13">
        <f ca="1"/>
        <v>0</v>
      </c>
      <c r="AI88" s="13">
        <f ca="1"/>
        <v>0</v>
      </c>
      <c r="AJ88" s="13">
        <f ca="1"/>
        <v>0</v>
      </c>
      <c r="AK88" s="13">
        <f ca="1"/>
        <v>0</v>
      </c>
      <c r="AL88" s="56">
        <f ca="1"/>
        <v>0</v>
      </c>
      <c r="AM88" s="10"/>
    </row>
    <row r="89" spans="2:39" ht="15" hidden="1">
      <c r="B89" s="10"/>
      <c r="C89" s="11" t="str">
        <f>"EL 3: " &amp; INDEX(_doName,7,4)</f>
        <v>EL 3: EL 3</v>
      </c>
      <c r="D89" s="12"/>
      <c r="E89" s="13">
        <f t="array" aca="1" ref="E89:AL89" ca="1">tlccEupol3</f>
        <v>0</v>
      </c>
      <c r="F89" s="13">
        <f ca="1"/>
        <v>0</v>
      </c>
      <c r="G89" s="13">
        <f ca="1"/>
        <v>0</v>
      </c>
      <c r="H89" s="13">
        <f ca="1"/>
        <v>0</v>
      </c>
      <c r="I89" s="13">
        <f ca="1"/>
        <v>0</v>
      </c>
      <c r="J89" s="13">
        <f ca="1"/>
        <v>0</v>
      </c>
      <c r="K89" s="13">
        <f ca="1"/>
        <v>0</v>
      </c>
      <c r="L89" s="13">
        <f ca="1"/>
        <v>0</v>
      </c>
      <c r="M89" s="13">
        <f ca="1"/>
        <v>0</v>
      </c>
      <c r="N89" s="13">
        <f ca="1"/>
        <v>0</v>
      </c>
      <c r="O89" s="13">
        <f ca="1"/>
        <v>0</v>
      </c>
      <c r="P89" s="13">
        <f ca="1"/>
        <v>0</v>
      </c>
      <c r="Q89" s="13">
        <f ca="1"/>
        <v>0</v>
      </c>
      <c r="R89" s="13">
        <f ca="1"/>
        <v>0</v>
      </c>
      <c r="S89" s="13">
        <f ca="1"/>
        <v>0</v>
      </c>
      <c r="T89" s="13">
        <f ca="1"/>
        <v>0</v>
      </c>
      <c r="U89" s="13">
        <f ca="1"/>
        <v>0</v>
      </c>
      <c r="V89" s="13">
        <f ca="1"/>
        <v>0</v>
      </c>
      <c r="W89" s="13">
        <f ca="1"/>
        <v>0</v>
      </c>
      <c r="X89" s="13">
        <f ca="1"/>
        <v>0</v>
      </c>
      <c r="Y89" s="13">
        <f ca="1"/>
        <v>0</v>
      </c>
      <c r="Z89" s="13">
        <f ca="1"/>
        <v>0</v>
      </c>
      <c r="AA89" s="13">
        <f ca="1"/>
        <v>0</v>
      </c>
      <c r="AB89" s="13">
        <f ca="1"/>
        <v>0</v>
      </c>
      <c r="AC89" s="13">
        <f ca="1"/>
        <v>0</v>
      </c>
      <c r="AD89" s="13">
        <f ca="1"/>
        <v>0</v>
      </c>
      <c r="AE89" s="13">
        <f ca="1"/>
        <v>0</v>
      </c>
      <c r="AF89" s="13">
        <f ca="1"/>
        <v>0</v>
      </c>
      <c r="AG89" s="13">
        <f ca="1"/>
        <v>0</v>
      </c>
      <c r="AH89" s="13">
        <f ca="1"/>
        <v>0</v>
      </c>
      <c r="AI89" s="13">
        <f ca="1"/>
        <v>0</v>
      </c>
      <c r="AJ89" s="13">
        <f ca="1"/>
        <v>0</v>
      </c>
      <c r="AK89" s="13">
        <f ca="1"/>
        <v>0</v>
      </c>
      <c r="AL89" s="56">
        <f ca="1"/>
        <v>0</v>
      </c>
      <c r="AM89" s="10"/>
    </row>
    <row r="90" spans="2:39" ht="15" hidden="1">
      <c r="B90" s="10"/>
      <c r="C90" s="11" t="str">
        <f>"EL 4: " &amp; INDEX(_doName,7,5)</f>
        <v>EL 4: EL 4</v>
      </c>
      <c r="D90" s="12"/>
      <c r="E90" s="13">
        <f t="array" aca="1" ref="E90:AL90" ca="1">tlccEupol4</f>
        <v>0</v>
      </c>
      <c r="F90" s="13">
        <f ca="1"/>
        <v>0</v>
      </c>
      <c r="G90" s="13">
        <f ca="1"/>
        <v>0</v>
      </c>
      <c r="H90" s="13">
        <f ca="1"/>
        <v>0</v>
      </c>
      <c r="I90" s="13">
        <f ca="1"/>
        <v>0</v>
      </c>
      <c r="J90" s="13">
        <f ca="1"/>
        <v>0</v>
      </c>
      <c r="K90" s="13">
        <f ca="1"/>
        <v>0</v>
      </c>
      <c r="L90" s="13">
        <f ca="1"/>
        <v>0</v>
      </c>
      <c r="M90" s="13">
        <f ca="1"/>
        <v>0</v>
      </c>
      <c r="N90" s="13">
        <f ca="1"/>
        <v>0</v>
      </c>
      <c r="O90" s="13">
        <f ca="1"/>
        <v>0</v>
      </c>
      <c r="P90" s="13">
        <f ca="1"/>
        <v>0</v>
      </c>
      <c r="Q90" s="13">
        <f ca="1"/>
        <v>0</v>
      </c>
      <c r="R90" s="13">
        <f ca="1"/>
        <v>0</v>
      </c>
      <c r="S90" s="13">
        <f ca="1"/>
        <v>0</v>
      </c>
      <c r="T90" s="13">
        <f ca="1"/>
        <v>0</v>
      </c>
      <c r="U90" s="13">
        <f ca="1"/>
        <v>0</v>
      </c>
      <c r="V90" s="13">
        <f ca="1"/>
        <v>0</v>
      </c>
      <c r="W90" s="13">
        <f ca="1"/>
        <v>0</v>
      </c>
      <c r="X90" s="13">
        <f ca="1"/>
        <v>0</v>
      </c>
      <c r="Y90" s="13">
        <f ca="1"/>
        <v>0</v>
      </c>
      <c r="Z90" s="13">
        <f ca="1"/>
        <v>0</v>
      </c>
      <c r="AA90" s="13">
        <f ca="1"/>
        <v>0</v>
      </c>
      <c r="AB90" s="13">
        <f ca="1"/>
        <v>0</v>
      </c>
      <c r="AC90" s="13">
        <f ca="1"/>
        <v>0</v>
      </c>
      <c r="AD90" s="13">
        <f ca="1"/>
        <v>0</v>
      </c>
      <c r="AE90" s="13">
        <f ca="1"/>
        <v>0</v>
      </c>
      <c r="AF90" s="13">
        <f ca="1"/>
        <v>0</v>
      </c>
      <c r="AG90" s="13">
        <f ca="1"/>
        <v>0</v>
      </c>
      <c r="AH90" s="13">
        <f ca="1"/>
        <v>0</v>
      </c>
      <c r="AI90" s="13">
        <f ca="1"/>
        <v>0</v>
      </c>
      <c r="AJ90" s="13">
        <f ca="1"/>
        <v>0</v>
      </c>
      <c r="AK90" s="13">
        <f ca="1"/>
        <v>0</v>
      </c>
      <c r="AL90" s="56">
        <f ca="1"/>
        <v>0</v>
      </c>
      <c r="AM90" s="10"/>
    </row>
    <row r="91" spans="2:39" ht="15" hidden="1">
      <c r="B91" s="10"/>
      <c r="C91" s="11" t="str">
        <f>"EL 5: " &amp; INDEX(_doName,7,6)</f>
        <v>EL 5: EL 5</v>
      </c>
      <c r="D91" s="12"/>
      <c r="E91" s="13">
        <f t="array" aca="1" ref="E91:AL91" ca="1">tlccEupol5</f>
        <v>9393.0844671831073</v>
      </c>
      <c r="F91" s="13">
        <f ca="1"/>
        <v>9469.302302314909</v>
      </c>
      <c r="G91" s="13">
        <f ca="1"/>
        <v>9543.2368816011349</v>
      </c>
      <c r="H91" s="13">
        <f ca="1"/>
        <v>9609.9468312902045</v>
      </c>
      <c r="I91" s="13">
        <f ca="1"/>
        <v>9670.4789093871004</v>
      </c>
      <c r="J91" s="13">
        <f ca="1"/>
        <v>9731.4004015602259</v>
      </c>
      <c r="K91" s="13">
        <f ca="1"/>
        <v>9792.7138722761756</v>
      </c>
      <c r="L91" s="13">
        <f ca="1"/>
        <v>9854.4219033131649</v>
      </c>
      <c r="M91" s="13">
        <f ca="1"/>
        <v>9916.5270938809081</v>
      </c>
      <c r="N91" s="13">
        <f ca="1"/>
        <v>9979.0320607412232</v>
      </c>
      <c r="O91" s="13">
        <f ca="1"/>
        <v>10041.939438329591</v>
      </c>
      <c r="P91" s="13">
        <f ca="1"/>
        <v>10105.251878877552</v>
      </c>
      <c r="Q91" s="13">
        <f ca="1"/>
        <v>10168.972052535915</v>
      </c>
      <c r="R91" s="13">
        <f ca="1"/>
        <v>10233.102647498932</v>
      </c>
      <c r="S91" s="13">
        <f ca="1"/>
        <v>10297.646370129278</v>
      </c>
      <c r="T91" s="13">
        <f ca="1"/>
        <v>10362.605945083928</v>
      </c>
      <c r="U91" s="13">
        <f ca="1"/>
        <v>10427.984115441028</v>
      </c>
      <c r="V91" s="13">
        <f ca="1"/>
        <v>10493.783642827459</v>
      </c>
      <c r="W91" s="13">
        <f ca="1"/>
        <v>10560.007307547558</v>
      </c>
      <c r="X91" s="13">
        <f ca="1"/>
        <v>10626.657908712516</v>
      </c>
      <c r="Y91" s="13">
        <f ca="1"/>
        <v>10693.738264370904</v>
      </c>
      <c r="Z91" s="13">
        <f ca="1"/>
        <v>10761.251211639934</v>
      </c>
      <c r="AA91" s="13">
        <f ca="1"/>
        <v>10829.199606837821</v>
      </c>
      <c r="AB91" s="13">
        <f ca="1"/>
        <v>10897.58632561697</v>
      </c>
      <c r="AC91" s="13">
        <f ca="1"/>
        <v>10966.414263098162</v>
      </c>
      <c r="AD91" s="13">
        <f ca="1"/>
        <v>11035.686334005673</v>
      </c>
      <c r="AE91" s="13">
        <f ca="1"/>
        <v>11105.405472803383</v>
      </c>
      <c r="AF91" s="13">
        <f ca="1"/>
        <v>11175.574633831793</v>
      </c>
      <c r="AG91" s="13">
        <f ca="1"/>
        <v>11246.196791446093</v>
      </c>
      <c r="AH91" s="13">
        <f ca="1"/>
        <v>11317.27494015515</v>
      </c>
      <c r="AI91" s="13">
        <f ca="1"/>
        <v>11388.812094761508</v>
      </c>
      <c r="AJ91" s="13">
        <f ca="1"/>
        <v>11460.811290502421</v>
      </c>
      <c r="AK91" s="13">
        <f ca="1"/>
        <v>11533.275583191762</v>
      </c>
      <c r="AL91" s="56">
        <f ca="1"/>
        <v>11606.208049363144</v>
      </c>
      <c r="AM91" s="10"/>
    </row>
    <row r="92" spans="2:39" ht="15" hidden="1">
      <c r="B92" s="10"/>
      <c r="C92" s="21" t="str">
        <f>"EL 6: " &amp; INDEX(_doName,7,7)</f>
        <v>EL 6: EL 6</v>
      </c>
      <c r="D92" s="18"/>
      <c r="E92" s="58">
        <f t="array" aca="1" ref="E92:AL92" ca="1">tlccEupol6</f>
        <v>7282.3562138607331</v>
      </c>
      <c r="F92" s="58">
        <f ca="1"/>
        <v>7341.4470723767317</v>
      </c>
      <c r="G92" s="58">
        <f ca="1"/>
        <v>7398.7677474718303</v>
      </c>
      <c r="H92" s="58">
        <f ca="1"/>
        <v>7450.4872458263671</v>
      </c>
      <c r="I92" s="58">
        <f ca="1"/>
        <v>7497.4171075354698</v>
      </c>
      <c r="J92" s="58">
        <f ca="1"/>
        <v>7544.6488777420118</v>
      </c>
      <c r="K92" s="58">
        <f ca="1"/>
        <v>7592.184544649047</v>
      </c>
      <c r="L92" s="58">
        <f ca="1"/>
        <v>7640.0261098811425</v>
      </c>
      <c r="M92" s="58">
        <f ca="1"/>
        <v>7688.17558857732</v>
      </c>
      <c r="N92" s="58">
        <f ca="1"/>
        <v>7736.6350094845466</v>
      </c>
      <c r="O92" s="58">
        <f ca="1"/>
        <v>7785.4064150520016</v>
      </c>
      <c r="P92" s="58">
        <f ca="1"/>
        <v>7834.4918615259448</v>
      </c>
      <c r="Q92" s="58">
        <f ca="1"/>
        <v>7883.8934190452501</v>
      </c>
      <c r="R92" s="58">
        <f ca="1"/>
        <v>7933.613171737692</v>
      </c>
      <c r="S92" s="58">
        <f ca="1"/>
        <v>7983.6532178167927</v>
      </c>
      <c r="T92" s="58">
        <f ca="1"/>
        <v>8034.0156696794975</v>
      </c>
      <c r="U92" s="58">
        <f ca="1"/>
        <v>8084.7026540044235</v>
      </c>
      <c r="V92" s="58">
        <f ca="1"/>
        <v>8135.7163118508779</v>
      </c>
      <c r="W92" s="58">
        <f ca="1"/>
        <v>8187.0587987585513</v>
      </c>
      <c r="X92" s="58">
        <f ca="1"/>
        <v>8238.7322848479216</v>
      </c>
      <c r="Y92" s="58">
        <f ca="1"/>
        <v>8290.7389549213603</v>
      </c>
      <c r="Z92" s="58">
        <f ca="1"/>
        <v>8343.0810085650228</v>
      </c>
      <c r="AA92" s="58">
        <f ca="1"/>
        <v>8395.7606602513151</v>
      </c>
      <c r="AB92" s="58">
        <f ca="1"/>
        <v>8448.780139442295</v>
      </c>
      <c r="AC92" s="58">
        <f ca="1"/>
        <v>8502.141690693592</v>
      </c>
      <c r="AD92" s="58">
        <f ca="1"/>
        <v>8555.8475737592416</v>
      </c>
      <c r="AE92" s="58">
        <f ca="1"/>
        <v>8609.9000636971705</v>
      </c>
      <c r="AF92" s="58">
        <f ca="1"/>
        <v>8664.3014509754303</v>
      </c>
      <c r="AG92" s="58">
        <f ca="1"/>
        <v>8719.0540415792475</v>
      </c>
      <c r="AH92" s="58">
        <f ca="1"/>
        <v>8774.1601571187712</v>
      </c>
      <c r="AI92" s="58">
        <f ca="1"/>
        <v>8829.6221349376265</v>
      </c>
      <c r="AJ92" s="58">
        <f ca="1"/>
        <v>8885.4423282222306</v>
      </c>
      <c r="AK92" s="58">
        <f ca="1"/>
        <v>8941.623106111856</v>
      </c>
      <c r="AL92" s="59">
        <f ca="1"/>
        <v>8998.1668538095309</v>
      </c>
      <c r="AM92" s="10"/>
    </row>
    <row r="93" spans="2:39" ht="15" hidden="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row>
    <row r="94" spans="2:39" ht="15" hidden="1">
      <c r="B94" s="10"/>
      <c r="C94" s="22" t="s">
        <v>84</v>
      </c>
      <c r="D94" s="23"/>
      <c r="E94" s="24">
        <f t="array" ref="E94:AL94">_yS</f>
        <v>2019</v>
      </c>
      <c r="F94" s="24">
        <v>2020</v>
      </c>
      <c r="G94" s="24">
        <v>2021</v>
      </c>
      <c r="H94" s="24">
        <v>2022</v>
      </c>
      <c r="I94" s="24">
        <v>2023</v>
      </c>
      <c r="J94" s="24">
        <v>2024</v>
      </c>
      <c r="K94" s="24">
        <v>2025</v>
      </c>
      <c r="L94" s="24">
        <v>2026</v>
      </c>
      <c r="M94" s="24">
        <v>2027</v>
      </c>
      <c r="N94" s="24">
        <v>2028</v>
      </c>
      <c r="O94" s="24">
        <v>2029</v>
      </c>
      <c r="P94" s="24">
        <v>2030</v>
      </c>
      <c r="Q94" s="24">
        <v>2031</v>
      </c>
      <c r="R94" s="24">
        <v>2032</v>
      </c>
      <c r="S94" s="24">
        <v>2033</v>
      </c>
      <c r="T94" s="24">
        <v>2034</v>
      </c>
      <c r="U94" s="24">
        <v>2035</v>
      </c>
      <c r="V94" s="24">
        <v>2036</v>
      </c>
      <c r="W94" s="24">
        <v>2037</v>
      </c>
      <c r="X94" s="24">
        <v>2038</v>
      </c>
      <c r="Y94" s="24">
        <v>2039</v>
      </c>
      <c r="Z94" s="24">
        <v>2040</v>
      </c>
      <c r="AA94" s="24">
        <v>2041</v>
      </c>
      <c r="AB94" s="24">
        <v>2042</v>
      </c>
      <c r="AC94" s="24">
        <v>2043</v>
      </c>
      <c r="AD94" s="24">
        <v>2044</v>
      </c>
      <c r="AE94" s="24">
        <v>2045</v>
      </c>
      <c r="AF94" s="24">
        <v>2046</v>
      </c>
      <c r="AG94" s="24">
        <v>2047</v>
      </c>
      <c r="AH94" s="24">
        <v>2048</v>
      </c>
      <c r="AI94" s="24">
        <v>2049</v>
      </c>
      <c r="AJ94" s="24">
        <v>2050</v>
      </c>
      <c r="AK94" s="24">
        <v>2051</v>
      </c>
      <c r="AL94" s="25">
        <v>2052</v>
      </c>
      <c r="AM94" s="10"/>
    </row>
    <row r="95" spans="2:39" ht="15" hidden="1">
      <c r="B95" s="10"/>
      <c r="C95" s="11" t="str">
        <f>"EL 0: " &amp; INDEX(_doName,7,1)</f>
        <v>EL 0: EL 6</v>
      </c>
      <c r="D95" s="12"/>
      <c r="E95" s="13">
        <f t="array" aca="1" ref="E95:AL95" ca="1">tlccFupolElec0</f>
        <v>0</v>
      </c>
      <c r="F95" s="13">
        <f ca="1"/>
        <v>0</v>
      </c>
      <c r="G95" s="13">
        <f ca="1"/>
        <v>0</v>
      </c>
      <c r="H95" s="13">
        <f ca="1"/>
        <v>0</v>
      </c>
      <c r="I95" s="13">
        <f ca="1"/>
        <v>0</v>
      </c>
      <c r="J95" s="13">
        <f ca="1"/>
        <v>0</v>
      </c>
      <c r="K95" s="13">
        <f ca="1"/>
        <v>0</v>
      </c>
      <c r="L95" s="13">
        <f ca="1"/>
        <v>0</v>
      </c>
      <c r="M95" s="13">
        <f ca="1"/>
        <v>0</v>
      </c>
      <c r="N95" s="13">
        <f ca="1"/>
        <v>0</v>
      </c>
      <c r="O95" s="13">
        <f ca="1"/>
        <v>0</v>
      </c>
      <c r="P95" s="13">
        <f ca="1"/>
        <v>0</v>
      </c>
      <c r="Q95" s="13">
        <f ca="1"/>
        <v>0</v>
      </c>
      <c r="R95" s="13">
        <f ca="1"/>
        <v>0</v>
      </c>
      <c r="S95" s="13">
        <f ca="1"/>
        <v>0</v>
      </c>
      <c r="T95" s="13">
        <f ca="1"/>
        <v>0</v>
      </c>
      <c r="U95" s="13">
        <f ca="1"/>
        <v>0</v>
      </c>
      <c r="V95" s="13">
        <f ca="1"/>
        <v>0</v>
      </c>
      <c r="W95" s="13">
        <f ca="1"/>
        <v>0</v>
      </c>
      <c r="X95" s="13">
        <f ca="1"/>
        <v>0</v>
      </c>
      <c r="Y95" s="13">
        <f ca="1"/>
        <v>0</v>
      </c>
      <c r="Z95" s="13">
        <f ca="1"/>
        <v>0</v>
      </c>
      <c r="AA95" s="13">
        <f ca="1"/>
        <v>0</v>
      </c>
      <c r="AB95" s="13">
        <f ca="1"/>
        <v>0</v>
      </c>
      <c r="AC95" s="13">
        <f ca="1"/>
        <v>0</v>
      </c>
      <c r="AD95" s="13">
        <f ca="1"/>
        <v>0</v>
      </c>
      <c r="AE95" s="13">
        <f ca="1"/>
        <v>0</v>
      </c>
      <c r="AF95" s="13">
        <f ca="1"/>
        <v>0</v>
      </c>
      <c r="AG95" s="13">
        <f ca="1"/>
        <v>0</v>
      </c>
      <c r="AH95" s="13">
        <f ca="1"/>
        <v>0</v>
      </c>
      <c r="AI95" s="13">
        <f ca="1"/>
        <v>0</v>
      </c>
      <c r="AJ95" s="13">
        <f ca="1"/>
        <v>0</v>
      </c>
      <c r="AK95" s="13">
        <f ca="1"/>
        <v>0</v>
      </c>
      <c r="AL95" s="56">
        <f ca="1"/>
        <v>0</v>
      </c>
      <c r="AM95" s="10"/>
    </row>
    <row r="96" spans="2:39" ht="15" hidden="1">
      <c r="B96" s="10"/>
      <c r="C96" s="11" t="str">
        <f>"EL 1: " &amp; INDEX(_doName,7,2)</f>
        <v>EL 1: EL 1</v>
      </c>
      <c r="D96" s="12"/>
      <c r="E96" s="13">
        <f t="array" aca="1" ref="E96:AL96" ca="1">tlccFupolElec1</f>
        <v>0</v>
      </c>
      <c r="F96" s="13">
        <f ca="1"/>
        <v>0</v>
      </c>
      <c r="G96" s="13">
        <f ca="1"/>
        <v>0</v>
      </c>
      <c r="H96" s="13">
        <f ca="1"/>
        <v>0</v>
      </c>
      <c r="I96" s="13">
        <f ca="1"/>
        <v>0</v>
      </c>
      <c r="J96" s="13">
        <f ca="1"/>
        <v>0</v>
      </c>
      <c r="K96" s="13">
        <f ca="1"/>
        <v>0</v>
      </c>
      <c r="L96" s="13">
        <f ca="1"/>
        <v>0</v>
      </c>
      <c r="M96" s="13">
        <f ca="1"/>
        <v>0</v>
      </c>
      <c r="N96" s="13">
        <f ca="1"/>
        <v>0</v>
      </c>
      <c r="O96" s="13">
        <f ca="1"/>
        <v>0</v>
      </c>
      <c r="P96" s="13">
        <f ca="1"/>
        <v>0</v>
      </c>
      <c r="Q96" s="13">
        <f ca="1"/>
        <v>0</v>
      </c>
      <c r="R96" s="13">
        <f ca="1"/>
        <v>0</v>
      </c>
      <c r="S96" s="13">
        <f ca="1"/>
        <v>0</v>
      </c>
      <c r="T96" s="13">
        <f ca="1"/>
        <v>0</v>
      </c>
      <c r="U96" s="13">
        <f ca="1"/>
        <v>0</v>
      </c>
      <c r="V96" s="13">
        <f ca="1"/>
        <v>0</v>
      </c>
      <c r="W96" s="13">
        <f ca="1"/>
        <v>0</v>
      </c>
      <c r="X96" s="13">
        <f ca="1"/>
        <v>0</v>
      </c>
      <c r="Y96" s="13">
        <f ca="1"/>
        <v>0</v>
      </c>
      <c r="Z96" s="13">
        <f ca="1"/>
        <v>0</v>
      </c>
      <c r="AA96" s="13">
        <f ca="1"/>
        <v>0</v>
      </c>
      <c r="AB96" s="13">
        <f ca="1"/>
        <v>0</v>
      </c>
      <c r="AC96" s="13">
        <f ca="1"/>
        <v>0</v>
      </c>
      <c r="AD96" s="13">
        <f ca="1"/>
        <v>0</v>
      </c>
      <c r="AE96" s="13">
        <f ca="1"/>
        <v>0</v>
      </c>
      <c r="AF96" s="13">
        <f ca="1"/>
        <v>0</v>
      </c>
      <c r="AG96" s="13">
        <f ca="1"/>
        <v>0</v>
      </c>
      <c r="AH96" s="13">
        <f ca="1"/>
        <v>0</v>
      </c>
      <c r="AI96" s="13">
        <f ca="1"/>
        <v>0</v>
      </c>
      <c r="AJ96" s="13">
        <f ca="1"/>
        <v>0</v>
      </c>
      <c r="AK96" s="13">
        <f ca="1"/>
        <v>0</v>
      </c>
      <c r="AL96" s="56">
        <f ca="1"/>
        <v>0</v>
      </c>
      <c r="AM96" s="10"/>
    </row>
    <row r="97" spans="2:39" ht="15" hidden="1">
      <c r="B97" s="10"/>
      <c r="C97" s="11" t="str">
        <f>"EL 2: " &amp; INDEX(_doName,7,3)</f>
        <v>EL 2: EL 2</v>
      </c>
      <c r="D97" s="12"/>
      <c r="E97" s="13">
        <f t="array" aca="1" ref="E97:AL97" ca="1">tlccFupolElec2</f>
        <v>0</v>
      </c>
      <c r="F97" s="13">
        <f ca="1"/>
        <v>0</v>
      </c>
      <c r="G97" s="13">
        <f ca="1"/>
        <v>0</v>
      </c>
      <c r="H97" s="13">
        <f ca="1"/>
        <v>0</v>
      </c>
      <c r="I97" s="13">
        <f ca="1"/>
        <v>0</v>
      </c>
      <c r="J97" s="13">
        <f ca="1"/>
        <v>0</v>
      </c>
      <c r="K97" s="13">
        <f ca="1"/>
        <v>0</v>
      </c>
      <c r="L97" s="13">
        <f ca="1"/>
        <v>0</v>
      </c>
      <c r="M97" s="13">
        <f ca="1"/>
        <v>0</v>
      </c>
      <c r="N97" s="13">
        <f ca="1"/>
        <v>0</v>
      </c>
      <c r="O97" s="13">
        <f ca="1"/>
        <v>0</v>
      </c>
      <c r="P97" s="13">
        <f ca="1"/>
        <v>0</v>
      </c>
      <c r="Q97" s="13">
        <f ca="1"/>
        <v>0</v>
      </c>
      <c r="R97" s="13">
        <f ca="1"/>
        <v>0</v>
      </c>
      <c r="S97" s="13">
        <f ca="1"/>
        <v>0</v>
      </c>
      <c r="T97" s="13">
        <f ca="1"/>
        <v>0</v>
      </c>
      <c r="U97" s="13">
        <f ca="1"/>
        <v>0</v>
      </c>
      <c r="V97" s="13">
        <f ca="1"/>
        <v>0</v>
      </c>
      <c r="W97" s="13">
        <f ca="1"/>
        <v>0</v>
      </c>
      <c r="X97" s="13">
        <f ca="1"/>
        <v>0</v>
      </c>
      <c r="Y97" s="13">
        <f ca="1"/>
        <v>0</v>
      </c>
      <c r="Z97" s="13">
        <f ca="1"/>
        <v>0</v>
      </c>
      <c r="AA97" s="13">
        <f ca="1"/>
        <v>0</v>
      </c>
      <c r="AB97" s="13">
        <f ca="1"/>
        <v>0</v>
      </c>
      <c r="AC97" s="13">
        <f ca="1"/>
        <v>0</v>
      </c>
      <c r="AD97" s="13">
        <f ca="1"/>
        <v>0</v>
      </c>
      <c r="AE97" s="13">
        <f ca="1"/>
        <v>0</v>
      </c>
      <c r="AF97" s="13">
        <f ca="1"/>
        <v>0</v>
      </c>
      <c r="AG97" s="13">
        <f ca="1"/>
        <v>0</v>
      </c>
      <c r="AH97" s="13">
        <f ca="1"/>
        <v>0</v>
      </c>
      <c r="AI97" s="13">
        <f ca="1"/>
        <v>0</v>
      </c>
      <c r="AJ97" s="13">
        <f ca="1"/>
        <v>0</v>
      </c>
      <c r="AK97" s="13">
        <f ca="1"/>
        <v>0</v>
      </c>
      <c r="AL97" s="56">
        <f ca="1"/>
        <v>0</v>
      </c>
      <c r="AM97" s="10"/>
    </row>
    <row r="98" spans="2:39" ht="15" hidden="1">
      <c r="B98" s="10"/>
      <c r="C98" s="11" t="str">
        <f>"EL 3: " &amp; INDEX(_doName,7,4)</f>
        <v>EL 3: EL 3</v>
      </c>
      <c r="D98" s="12"/>
      <c r="E98" s="13">
        <f t="array" aca="1" ref="E98:AL98" ca="1">tlccFupolElec3</f>
        <v>0</v>
      </c>
      <c r="F98" s="13">
        <f ca="1"/>
        <v>0</v>
      </c>
      <c r="G98" s="13">
        <f ca="1"/>
        <v>0</v>
      </c>
      <c r="H98" s="13">
        <f ca="1"/>
        <v>0</v>
      </c>
      <c r="I98" s="13">
        <f ca="1"/>
        <v>0</v>
      </c>
      <c r="J98" s="13">
        <f ca="1"/>
        <v>0</v>
      </c>
      <c r="K98" s="13">
        <f ca="1"/>
        <v>0</v>
      </c>
      <c r="L98" s="13">
        <f ca="1"/>
        <v>0</v>
      </c>
      <c r="M98" s="13">
        <f ca="1"/>
        <v>0</v>
      </c>
      <c r="N98" s="13">
        <f ca="1"/>
        <v>0</v>
      </c>
      <c r="O98" s="13">
        <f ca="1"/>
        <v>0</v>
      </c>
      <c r="P98" s="13">
        <f ca="1"/>
        <v>0</v>
      </c>
      <c r="Q98" s="13">
        <f ca="1"/>
        <v>0</v>
      </c>
      <c r="R98" s="13">
        <f ca="1"/>
        <v>0</v>
      </c>
      <c r="S98" s="13">
        <f ca="1"/>
        <v>0</v>
      </c>
      <c r="T98" s="13">
        <f ca="1"/>
        <v>0</v>
      </c>
      <c r="U98" s="13">
        <f ca="1"/>
        <v>0</v>
      </c>
      <c r="V98" s="13">
        <f ca="1"/>
        <v>0</v>
      </c>
      <c r="W98" s="13">
        <f ca="1"/>
        <v>0</v>
      </c>
      <c r="X98" s="13">
        <f ca="1"/>
        <v>0</v>
      </c>
      <c r="Y98" s="13">
        <f ca="1"/>
        <v>0</v>
      </c>
      <c r="Z98" s="13">
        <f ca="1"/>
        <v>0</v>
      </c>
      <c r="AA98" s="13">
        <f ca="1"/>
        <v>0</v>
      </c>
      <c r="AB98" s="13">
        <f ca="1"/>
        <v>0</v>
      </c>
      <c r="AC98" s="13">
        <f ca="1"/>
        <v>0</v>
      </c>
      <c r="AD98" s="13">
        <f ca="1"/>
        <v>0</v>
      </c>
      <c r="AE98" s="13">
        <f ca="1"/>
        <v>0</v>
      </c>
      <c r="AF98" s="13">
        <f ca="1"/>
        <v>0</v>
      </c>
      <c r="AG98" s="13">
        <f ca="1"/>
        <v>0</v>
      </c>
      <c r="AH98" s="13">
        <f ca="1"/>
        <v>0</v>
      </c>
      <c r="AI98" s="13">
        <f ca="1"/>
        <v>0</v>
      </c>
      <c r="AJ98" s="13">
        <f ca="1"/>
        <v>0</v>
      </c>
      <c r="AK98" s="13">
        <f ca="1"/>
        <v>0</v>
      </c>
      <c r="AL98" s="56">
        <f ca="1"/>
        <v>0</v>
      </c>
      <c r="AM98" s="10"/>
    </row>
    <row r="99" spans="2:39" ht="15" hidden="1">
      <c r="B99" s="10"/>
      <c r="C99" s="11" t="str">
        <f>"EL 4: " &amp; INDEX(_doName,7,5)</f>
        <v>EL 4: EL 4</v>
      </c>
      <c r="D99" s="12"/>
      <c r="E99" s="13">
        <f t="array" aca="1" ref="E99:AL99" ca="1">tlccFupolElec4</f>
        <v>0</v>
      </c>
      <c r="F99" s="13">
        <f ca="1"/>
        <v>0</v>
      </c>
      <c r="G99" s="13">
        <f ca="1"/>
        <v>0</v>
      </c>
      <c r="H99" s="13">
        <f ca="1"/>
        <v>0</v>
      </c>
      <c r="I99" s="13">
        <f ca="1"/>
        <v>0</v>
      </c>
      <c r="J99" s="13">
        <f ca="1"/>
        <v>0</v>
      </c>
      <c r="K99" s="13">
        <f ca="1"/>
        <v>0</v>
      </c>
      <c r="L99" s="13">
        <f ca="1"/>
        <v>0</v>
      </c>
      <c r="M99" s="13">
        <f ca="1"/>
        <v>0</v>
      </c>
      <c r="N99" s="13">
        <f ca="1"/>
        <v>0</v>
      </c>
      <c r="O99" s="13">
        <f ca="1"/>
        <v>0</v>
      </c>
      <c r="P99" s="13">
        <f ca="1"/>
        <v>0</v>
      </c>
      <c r="Q99" s="13">
        <f ca="1"/>
        <v>0</v>
      </c>
      <c r="R99" s="13">
        <f ca="1"/>
        <v>0</v>
      </c>
      <c r="S99" s="13">
        <f ca="1"/>
        <v>0</v>
      </c>
      <c r="T99" s="13">
        <f ca="1"/>
        <v>0</v>
      </c>
      <c r="U99" s="13">
        <f ca="1"/>
        <v>0</v>
      </c>
      <c r="V99" s="13">
        <f ca="1"/>
        <v>0</v>
      </c>
      <c r="W99" s="13">
        <f ca="1"/>
        <v>0</v>
      </c>
      <c r="X99" s="13">
        <f ca="1"/>
        <v>0</v>
      </c>
      <c r="Y99" s="13">
        <f ca="1"/>
        <v>0</v>
      </c>
      <c r="Z99" s="13">
        <f ca="1"/>
        <v>0</v>
      </c>
      <c r="AA99" s="13">
        <f ca="1"/>
        <v>0</v>
      </c>
      <c r="AB99" s="13">
        <f ca="1"/>
        <v>0</v>
      </c>
      <c r="AC99" s="13">
        <f ca="1"/>
        <v>0</v>
      </c>
      <c r="AD99" s="13">
        <f ca="1"/>
        <v>0</v>
      </c>
      <c r="AE99" s="13">
        <f ca="1"/>
        <v>0</v>
      </c>
      <c r="AF99" s="13">
        <f ca="1"/>
        <v>0</v>
      </c>
      <c r="AG99" s="13">
        <f ca="1"/>
        <v>0</v>
      </c>
      <c r="AH99" s="13">
        <f ca="1"/>
        <v>0</v>
      </c>
      <c r="AI99" s="13">
        <f ca="1"/>
        <v>0</v>
      </c>
      <c r="AJ99" s="13">
        <f ca="1"/>
        <v>0</v>
      </c>
      <c r="AK99" s="13">
        <f ca="1"/>
        <v>0</v>
      </c>
      <c r="AL99" s="56">
        <f ca="1"/>
        <v>0</v>
      </c>
      <c r="AM99" s="10"/>
    </row>
    <row r="100" spans="2:39" ht="15" hidden="1">
      <c r="B100" s="10"/>
      <c r="C100" s="11" t="str">
        <f>"EL 5: " &amp; INDEX(_doName,7,6)</f>
        <v>EL 5: EL 5</v>
      </c>
      <c r="D100" s="12"/>
      <c r="E100" s="13">
        <f t="array" aca="1" ref="E100:AL100" ca="1">tlccFupolElec5</f>
        <v>1987.6935556741971</v>
      </c>
      <c r="F100" s="13">
        <f ca="1"/>
        <v>1974.5445874789514</v>
      </c>
      <c r="G100" s="13">
        <f ca="1"/>
        <v>1962.9393532512042</v>
      </c>
      <c r="H100" s="13">
        <f ca="1"/>
        <v>1951.9089811324604</v>
      </c>
      <c r="I100" s="13">
        <f ca="1"/>
        <v>1942.2457639218999</v>
      </c>
      <c r="J100" s="13">
        <f ca="1"/>
        <v>1934.7063275255603</v>
      </c>
      <c r="K100" s="13">
        <f ca="1"/>
        <v>1928.4075716087568</v>
      </c>
      <c r="L100" s="13">
        <f ca="1"/>
        <v>1922.0676507081505</v>
      </c>
      <c r="M100" s="13">
        <f ca="1"/>
        <v>1916.9552544811741</v>
      </c>
      <c r="N100" s="13">
        <f ca="1"/>
        <v>1913.3747825297182</v>
      </c>
      <c r="O100" s="13">
        <f ca="1"/>
        <v>1910.723918087916</v>
      </c>
      <c r="P100" s="13">
        <f ca="1"/>
        <v>1908.4673877301541</v>
      </c>
      <c r="Q100" s="13">
        <f ca="1"/>
        <v>1906.7771569919023</v>
      </c>
      <c r="R100" s="13">
        <f ca="1"/>
        <v>1905.4647660482253</v>
      </c>
      <c r="S100" s="13">
        <f ca="1"/>
        <v>1905.211448988452</v>
      </c>
      <c r="T100" s="13">
        <f ca="1"/>
        <v>1905.4399988003315</v>
      </c>
      <c r="U100" s="13">
        <f ca="1"/>
        <v>1905.8272675762546</v>
      </c>
      <c r="V100" s="13">
        <f ca="1"/>
        <v>1906.4175952813225</v>
      </c>
      <c r="W100" s="13">
        <f ca="1"/>
        <v>1906.98295538294</v>
      </c>
      <c r="X100" s="13">
        <f ca="1"/>
        <v>1907.4514777836466</v>
      </c>
      <c r="Y100" s="13">
        <f ca="1"/>
        <v>1907.7656084563437</v>
      </c>
      <c r="Z100" s="13">
        <f ca="1"/>
        <v>1907.9821520664464</v>
      </c>
      <c r="AA100" s="13">
        <f ca="1"/>
        <v>1907.9821520664464</v>
      </c>
      <c r="AB100" s="13">
        <f ca="1"/>
        <v>1907.9821520664464</v>
      </c>
      <c r="AC100" s="13">
        <f ca="1"/>
        <v>1907.9821520664464</v>
      </c>
      <c r="AD100" s="13">
        <f ca="1"/>
        <v>1907.9821520664464</v>
      </c>
      <c r="AE100" s="13">
        <f ca="1"/>
        <v>1907.9821520664464</v>
      </c>
      <c r="AF100" s="13">
        <f ca="1"/>
        <v>1907.9821520664464</v>
      </c>
      <c r="AG100" s="13">
        <f ca="1"/>
        <v>1907.9821520664464</v>
      </c>
      <c r="AH100" s="13">
        <f ca="1"/>
        <v>1907.9821520664464</v>
      </c>
      <c r="AI100" s="13">
        <f ca="1"/>
        <v>1907.9821520664464</v>
      </c>
      <c r="AJ100" s="13">
        <f ca="1"/>
        <v>1907.9821520664464</v>
      </c>
      <c r="AK100" s="13">
        <f ca="1"/>
        <v>1907.9821520664464</v>
      </c>
      <c r="AL100" s="56">
        <f ca="1"/>
        <v>1907.9821520664464</v>
      </c>
      <c r="AM100" s="10"/>
    </row>
    <row r="101" spans="2:39" ht="15" hidden="1">
      <c r="B101" s="10"/>
      <c r="C101" s="21" t="str">
        <f>"EL 6: " &amp; INDEX(_doName,7,7)</f>
        <v>EL 6: EL 6</v>
      </c>
      <c r="D101" s="18"/>
      <c r="E101" s="58">
        <f t="array" aca="1" ref="E101:AL101" ca="1">tlccFupolElec6</f>
        <v>1541.0371925204097</v>
      </c>
      <c r="F101" s="58">
        <f ca="1"/>
        <v>1530.8429405069157</v>
      </c>
      <c r="G101" s="58">
        <f ca="1"/>
        <v>1521.845528646412</v>
      </c>
      <c r="H101" s="58">
        <f ca="1"/>
        <v>1513.2938011259398</v>
      </c>
      <c r="I101" s="58">
        <f ca="1"/>
        <v>1505.8020139345149</v>
      </c>
      <c r="J101" s="58">
        <f ca="1"/>
        <v>1499.9567709068692</v>
      </c>
      <c r="K101" s="58">
        <f ca="1"/>
        <v>1495.0734139594701</v>
      </c>
      <c r="L101" s="58">
        <f ca="1"/>
        <v>1490.1581422479021</v>
      </c>
      <c r="M101" s="58">
        <f ca="1"/>
        <v>1486.1945570633638</v>
      </c>
      <c r="N101" s="58">
        <f ca="1"/>
        <v>1483.4186561060867</v>
      </c>
      <c r="O101" s="58">
        <f ca="1"/>
        <v>1481.3634697392117</v>
      </c>
      <c r="P101" s="58">
        <f ca="1"/>
        <v>1479.6140062983127</v>
      </c>
      <c r="Q101" s="58">
        <f ca="1"/>
        <v>1478.3035887924796</v>
      </c>
      <c r="R101" s="58">
        <f ca="1"/>
        <v>1477.286106369417</v>
      </c>
      <c r="S101" s="58">
        <f ca="1"/>
        <v>1477.0897124084383</v>
      </c>
      <c r="T101" s="58">
        <f ca="1"/>
        <v>1477.2669045915313</v>
      </c>
      <c r="U101" s="58">
        <f ca="1"/>
        <v>1477.5671498609772</v>
      </c>
      <c r="V101" s="58">
        <f ca="1"/>
        <v>1478.0248245094099</v>
      </c>
      <c r="W101" s="58">
        <f ca="1"/>
        <v>1478.4631420464732</v>
      </c>
      <c r="X101" s="58">
        <f ca="1"/>
        <v>1478.8263823673751</v>
      </c>
      <c r="Y101" s="58">
        <f ca="1"/>
        <v>1479.0699244609518</v>
      </c>
      <c r="Z101" s="58">
        <f ca="1"/>
        <v>1479.237808366405</v>
      </c>
      <c r="AA101" s="58">
        <f ca="1"/>
        <v>1479.237808366405</v>
      </c>
      <c r="AB101" s="58">
        <f ca="1"/>
        <v>1479.237808366405</v>
      </c>
      <c r="AC101" s="58">
        <f ca="1"/>
        <v>1479.237808366405</v>
      </c>
      <c r="AD101" s="58">
        <f ca="1"/>
        <v>1479.237808366405</v>
      </c>
      <c r="AE101" s="58">
        <f ca="1"/>
        <v>1479.237808366405</v>
      </c>
      <c r="AF101" s="58">
        <f ca="1"/>
        <v>1479.237808366405</v>
      </c>
      <c r="AG101" s="58">
        <f ca="1"/>
        <v>1479.237808366405</v>
      </c>
      <c r="AH101" s="58">
        <f ca="1"/>
        <v>1479.237808366405</v>
      </c>
      <c r="AI101" s="58">
        <f ca="1"/>
        <v>1479.237808366405</v>
      </c>
      <c r="AJ101" s="58">
        <f ca="1"/>
        <v>1479.237808366405</v>
      </c>
      <c r="AK101" s="58">
        <f ca="1"/>
        <v>1479.237808366405</v>
      </c>
      <c r="AL101" s="59">
        <f ca="1"/>
        <v>1479.237808366405</v>
      </c>
      <c r="AM101" s="10"/>
    </row>
    <row r="102" spans="2:39" ht="15" hidden="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row>
    <row r="103" spans="2:39" ht="15">
      <c r="B103" s="10"/>
      <c r="C103" s="22" t="s">
        <v>82</v>
      </c>
      <c r="D103" s="23"/>
      <c r="E103" s="24">
        <f t="array" ref="E103:AL103">_yS</f>
        <v>2019</v>
      </c>
      <c r="F103" s="24">
        <v>2020</v>
      </c>
      <c r="G103" s="24">
        <v>2021</v>
      </c>
      <c r="H103" s="24">
        <v>2022</v>
      </c>
      <c r="I103" s="24">
        <v>2023</v>
      </c>
      <c r="J103" s="24">
        <v>2024</v>
      </c>
      <c r="K103" s="24">
        <v>2025</v>
      </c>
      <c r="L103" s="24">
        <v>2026</v>
      </c>
      <c r="M103" s="24">
        <v>2027</v>
      </c>
      <c r="N103" s="24">
        <v>2028</v>
      </c>
      <c r="O103" s="24">
        <v>2029</v>
      </c>
      <c r="P103" s="24">
        <v>2030</v>
      </c>
      <c r="Q103" s="24">
        <v>2031</v>
      </c>
      <c r="R103" s="24">
        <v>2032</v>
      </c>
      <c r="S103" s="24">
        <v>2033</v>
      </c>
      <c r="T103" s="24">
        <v>2034</v>
      </c>
      <c r="U103" s="24">
        <v>2035</v>
      </c>
      <c r="V103" s="24">
        <v>2036</v>
      </c>
      <c r="W103" s="24">
        <v>2037</v>
      </c>
      <c r="X103" s="24">
        <v>2038</v>
      </c>
      <c r="Y103" s="24">
        <v>2039</v>
      </c>
      <c r="Z103" s="24">
        <v>2040</v>
      </c>
      <c r="AA103" s="24">
        <v>2041</v>
      </c>
      <c r="AB103" s="24">
        <v>2042</v>
      </c>
      <c r="AC103" s="24">
        <v>2043</v>
      </c>
      <c r="AD103" s="24">
        <v>2044</v>
      </c>
      <c r="AE103" s="24">
        <v>2045</v>
      </c>
      <c r="AF103" s="24">
        <v>2046</v>
      </c>
      <c r="AG103" s="24">
        <v>2047</v>
      </c>
      <c r="AH103" s="24">
        <v>2048</v>
      </c>
      <c r="AI103" s="24">
        <v>2049</v>
      </c>
      <c r="AJ103" s="24">
        <v>2050</v>
      </c>
      <c r="AK103" s="24">
        <v>2051</v>
      </c>
      <c r="AL103" s="25">
        <v>2052</v>
      </c>
      <c r="AM103" s="10"/>
    </row>
    <row r="104" spans="2:39" ht="15">
      <c r="B104" s="10"/>
      <c r="C104" s="27" t="str">
        <f>"BC (CSL 0): " &amp; INDEX(_doName,7,1)</f>
        <v>BC (CSL 0): EL 6</v>
      </c>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5"/>
      <c r="AM104" s="10"/>
    </row>
    <row r="105" spans="2:39" ht="15">
      <c r="B105" s="10"/>
      <c r="C105" s="57" t="str">
        <f>"EL 0: " &amp; INDEX(_doName,7,1)</f>
        <v>EL 0: EL 6</v>
      </c>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3"/>
      <c r="AM105" s="10"/>
    </row>
    <row r="106" spans="2:39" ht="15">
      <c r="B106" s="10"/>
      <c r="C106" s="16" t="s">
        <v>69</v>
      </c>
      <c r="D106" s="12" t="str">
        <f>_yearDol &amp; "$"</f>
        <v>2015$</v>
      </c>
      <c r="E106" s="13">
        <f t="array" ref="E106:AL106">INDEX(mspPRV,1,1)*tPIdxAll + INDEX(instPRV,1,1) + IF(bESav,SUMPRODUCT(dFactor,tpSurvPRV,INDEX(mrPRV,1,1)*allOnes),0)</f>
        <v>2958.2509241837502</v>
      </c>
      <c r="F106" s="13">
        <v>2958.2509241837502</v>
      </c>
      <c r="G106" s="13">
        <v>2958.2509241837502</v>
      </c>
      <c r="H106" s="13">
        <v>2958.2509241837502</v>
      </c>
      <c r="I106" s="13">
        <v>2958.2509241837502</v>
      </c>
      <c r="J106" s="13">
        <v>2958.2509241837502</v>
      </c>
      <c r="K106" s="13">
        <v>2958.2509241837502</v>
      </c>
      <c r="L106" s="13">
        <v>2958.2509241837502</v>
      </c>
      <c r="M106" s="13">
        <v>2958.2509241837502</v>
      </c>
      <c r="N106" s="13">
        <v>2958.2509241837502</v>
      </c>
      <c r="O106" s="13">
        <v>2958.2509241837502</v>
      </c>
      <c r="P106" s="13">
        <v>2958.2509241837502</v>
      </c>
      <c r="Q106" s="13">
        <v>2958.2509241837502</v>
      </c>
      <c r="R106" s="13">
        <v>2958.2509241837502</v>
      </c>
      <c r="S106" s="13">
        <v>2958.2509241837502</v>
      </c>
      <c r="T106" s="13">
        <v>2958.2509241837502</v>
      </c>
      <c r="U106" s="13">
        <v>2958.2509241837502</v>
      </c>
      <c r="V106" s="13">
        <v>2958.2509241837502</v>
      </c>
      <c r="W106" s="13">
        <v>2958.2509241837502</v>
      </c>
      <c r="X106" s="13">
        <v>2958.2509241837502</v>
      </c>
      <c r="Y106" s="13">
        <v>2958.2509241837502</v>
      </c>
      <c r="Z106" s="13">
        <v>2958.2509241837502</v>
      </c>
      <c r="AA106" s="13">
        <v>2958.2509241837502</v>
      </c>
      <c r="AB106" s="13">
        <v>2958.2509241837502</v>
      </c>
      <c r="AC106" s="13">
        <v>2958.2509241837502</v>
      </c>
      <c r="AD106" s="13">
        <v>2958.2509241837502</v>
      </c>
      <c r="AE106" s="13">
        <v>2958.2509241837502</v>
      </c>
      <c r="AF106" s="13">
        <v>2958.2509241837502</v>
      </c>
      <c r="AG106" s="13">
        <v>2958.2509241837502</v>
      </c>
      <c r="AH106" s="13">
        <v>2958.2509241837502</v>
      </c>
      <c r="AI106" s="13">
        <v>2958.2509241837502</v>
      </c>
      <c r="AJ106" s="13">
        <v>2958.2509241837502</v>
      </c>
      <c r="AK106" s="13">
        <v>2958.2509241837502</v>
      </c>
      <c r="AL106" s="56">
        <v>2958.2509241837502</v>
      </c>
      <c r="AM106" s="10"/>
    </row>
    <row r="107" spans="2:39" ht="15">
      <c r="B107" s="10"/>
      <c r="C107" s="16" t="str">
        <f>zEO&amp;" Costs"</f>
        <v>Operating Costs</v>
      </c>
      <c r="D107" s="12" t="str">
        <f>_yearDol &amp; "$"</f>
        <v>2015$</v>
      </c>
      <c r="E107" s="13">
        <f t="array" aca="1" ref="E107:AL107" ca="1">(tlccEFuElecbc0) + IF(bOSav,SUMPRODUCT(dFactor,tpSurvPRV,INDEX(mrPRV,1,1)*allOnes),0)</f>
        <v>14290.379585334129</v>
      </c>
      <c r="F107" s="13">
        <f ca="1"/>
        <v>14406.335297114565</v>
      </c>
      <c r="G107" s="13">
        <f ca="1"/>
        <v>14518.817326438739</v>
      </c>
      <c r="H107" s="13">
        <f ca="1"/>
        <v>14620.308003596594</v>
      </c>
      <c r="I107" s="13">
        <f ca="1"/>
        <v>14712.399837340437</v>
      </c>
      <c r="J107" s="13">
        <f ca="1"/>
        <v>14805.084114917261</v>
      </c>
      <c r="K107" s="13">
        <f ca="1"/>
        <v>14898.364737835776</v>
      </c>
      <c r="L107" s="13">
        <f ca="1"/>
        <v>14992.24563394217</v>
      </c>
      <c r="M107" s="13">
        <f ca="1"/>
        <v>15086.730757602376</v>
      </c>
      <c r="N107" s="13">
        <f ca="1"/>
        <v>15181.824089885642</v>
      </c>
      <c r="O107" s="13">
        <f ca="1"/>
        <v>15277.529638749442</v>
      </c>
      <c r="P107" s="13">
        <f ca="1"/>
        <v>15373.851439225651</v>
      </c>
      <c r="Q107" s="13">
        <f ca="1"/>
        <v>15470.793553608071</v>
      </c>
      <c r="R107" s="13">
        <f ca="1"/>
        <v>15568.36007164128</v>
      </c>
      <c r="S107" s="13">
        <f ca="1"/>
        <v>15666.555110710769</v>
      </c>
      <c r="T107" s="13">
        <f ca="1"/>
        <v>15765.382816034537</v>
      </c>
      <c r="U107" s="13">
        <f ca="1"/>
        <v>15864.847360855969</v>
      </c>
      <c r="V107" s="13">
        <f ca="1"/>
        <v>15964.952946638026</v>
      </c>
      <c r="W107" s="13">
        <f ca="1"/>
        <v>16065.703803259017</v>
      </c>
      <c r="X107" s="13">
        <f ca="1"/>
        <v>16167.104189209529</v>
      </c>
      <c r="Y107" s="13">
        <f ca="1"/>
        <v>16269.158391790854</v>
      </c>
      <c r="Z107" s="13">
        <f ca="1"/>
        <v>16371.870727314903</v>
      </c>
      <c r="AA107" s="13">
        <f ca="1"/>
        <v>16475.245541305412</v>
      </c>
      <c r="AB107" s="13">
        <f ca="1"/>
        <v>16579.287208700607</v>
      </c>
      <c r="AC107" s="13">
        <f ca="1"/>
        <v>16684.000134057351</v>
      </c>
      <c r="AD107" s="13">
        <f ca="1"/>
        <v>16789.388751756793</v>
      </c>
      <c r="AE107" s="13">
        <f ca="1"/>
        <v>16895.457526211307</v>
      </c>
      <c r="AF107" s="13">
        <f ca="1"/>
        <v>17002.210952073037</v>
      </c>
      <c r="AG107" s="13">
        <f ca="1"/>
        <v>17109.653554443932</v>
      </c>
      <c r="AH107" s="13">
        <f ca="1"/>
        <v>17217.789889087137</v>
      </c>
      <c r="AI107" s="13">
        <f ca="1"/>
        <v>17326.624542640107</v>
      </c>
      <c r="AJ107" s="13">
        <f ca="1"/>
        <v>17436.162132829028</v>
      </c>
      <c r="AK107" s="13">
        <f ca="1"/>
        <v>17546.407308684888</v>
      </c>
      <c r="AL107" s="56">
        <f ca="1"/>
        <v>17657.364750761</v>
      </c>
      <c r="AM107" s="10"/>
    </row>
    <row r="108" spans="2:39" ht="15">
      <c r="B108" s="10"/>
      <c r="C108" s="28" t="str">
        <f>INDEX(_fuel,1)</f>
        <v>Electricity</v>
      </c>
      <c r="D108" s="12" t="str">
        <f>_yearDol &amp; "$"</f>
        <v>2015$</v>
      </c>
      <c r="E108" s="13">
        <f ca="1">SUMPRODUCT(dFactor,tpSurvPRV,INDEX(elecPRV,1,1)*allOnes,OFFSET(tPrcElec,0,0,1,_maxLT))</f>
        <v>14290.379585334129</v>
      </c>
      <c r="F108" s="13">
        <f ca="1">SUMPRODUCT(dFactor,tpSurvPRV,INDEX(elecPRV,1,1)*allOnes,OFFSET(tPrcElec,0,1,1,_maxLT))</f>
        <v>14406.335297114565</v>
      </c>
      <c r="G108" s="13">
        <f ca="1">SUMPRODUCT(dFactor,tpSurvPRV,INDEX(elecPRV,1,1)*allOnes,OFFSET(tPrcElec,0,2,1,_maxLT))</f>
        <v>14518.817326438739</v>
      </c>
      <c r="H108" s="13">
        <f ca="1">SUMPRODUCT(dFactor,tpSurvPRV,INDEX(elecPRV,1,1)*allOnes,OFFSET(tPrcElec,0,3,1,_maxLT))</f>
        <v>14620.308003596594</v>
      </c>
      <c r="I108" s="13">
        <f ca="1">SUMPRODUCT(dFactor,tpSurvPRV,INDEX(elecPRV,1,1)*allOnes,OFFSET(tPrcElec,0,4,1,_maxLT))</f>
        <v>14712.399837340437</v>
      </c>
      <c r="J108" s="13">
        <f ca="1">SUMPRODUCT(dFactor,tpSurvPRV,INDEX(elecPRV,1,1)*allOnes,OFFSET(tPrcElec,0,5,1,_maxLT))</f>
        <v>14805.084114917261</v>
      </c>
      <c r="K108" s="13">
        <f ca="1">SUMPRODUCT(dFactor,tpSurvPRV,INDEX(elecPRV,1,1)*allOnes,OFFSET(tPrcElec,0,6,1,_maxLT))</f>
        <v>14898.364737835776</v>
      </c>
      <c r="L108" s="13">
        <f ca="1">SUMPRODUCT(dFactor,tpSurvPRV,INDEX(elecPRV,1,1)*allOnes,OFFSET(tPrcElec,0,7,1,_maxLT))</f>
        <v>14992.24563394217</v>
      </c>
      <c r="M108" s="13">
        <f ca="1">SUMPRODUCT(dFactor,tpSurvPRV,INDEX(elecPRV,1,1)*allOnes,OFFSET(tPrcElec,0,8,1,_maxLT))</f>
        <v>15086.730757602376</v>
      </c>
      <c r="N108" s="13">
        <f ca="1">SUMPRODUCT(dFactor,tpSurvPRV,INDEX(elecPRV,1,1)*allOnes,OFFSET(tPrcElec,0,9,1,_maxLT))</f>
        <v>15181.824089885642</v>
      </c>
      <c r="O108" s="13">
        <f ca="1">SUMPRODUCT(dFactor,tpSurvPRV,INDEX(elecPRV,1,1)*allOnes,OFFSET(tPrcElec,0,10,1,_maxLT))</f>
        <v>15277.529638749442</v>
      </c>
      <c r="P108" s="13">
        <f ca="1">SUMPRODUCT(dFactor,tpSurvPRV,INDEX(elecPRV,1,1)*allOnes,OFFSET(tPrcElec,0,11,1,_maxLT))</f>
        <v>15373.851439225651</v>
      </c>
      <c r="Q108" s="13">
        <f ca="1">SUMPRODUCT(dFactor,tpSurvPRV,INDEX(elecPRV,1,1)*allOnes,OFFSET(tPrcElec,0,12,1,_maxLT))</f>
        <v>15470.793553608071</v>
      </c>
      <c r="R108" s="13">
        <f ca="1">SUMPRODUCT(dFactor,tpSurvPRV,INDEX(elecPRV,1,1)*allOnes,OFFSET(tPrcElec,0,13,1,_maxLT))</f>
        <v>15568.36007164128</v>
      </c>
      <c r="S108" s="13">
        <f ca="1">SUMPRODUCT(dFactor,tpSurvPRV,INDEX(elecPRV,1,1)*allOnes,OFFSET(tPrcElec,0,14,1,_maxLT))</f>
        <v>15666.555110710769</v>
      </c>
      <c r="T108" s="13">
        <f ca="1">SUMPRODUCT(dFactor,tpSurvPRV,INDEX(elecPRV,1,1)*allOnes,OFFSET(tPrcElec,0,15,1,_maxLT))</f>
        <v>15765.382816034537</v>
      </c>
      <c r="U108" s="13">
        <f ca="1">SUMPRODUCT(dFactor,tpSurvPRV,INDEX(elecPRV,1,1)*allOnes,OFFSET(tPrcElec,0,16,1,_maxLT))</f>
        <v>15864.847360855969</v>
      </c>
      <c r="V108" s="13">
        <f ca="1">SUMPRODUCT(dFactor,tpSurvPRV,INDEX(elecPRV,1,1)*allOnes,OFFSET(tPrcElec,0,17,1,_maxLT))</f>
        <v>15964.952946638026</v>
      </c>
      <c r="W108" s="13">
        <f ca="1">SUMPRODUCT(dFactor,tpSurvPRV,INDEX(elecPRV,1,1)*allOnes,OFFSET(tPrcElec,0,18,1,_maxLT))</f>
        <v>16065.703803259017</v>
      </c>
      <c r="X108" s="13">
        <f ca="1">SUMPRODUCT(dFactor,tpSurvPRV,INDEX(elecPRV,1,1)*allOnes,OFFSET(tPrcElec,0,19,1,_maxLT))</f>
        <v>16167.104189209529</v>
      </c>
      <c r="Y108" s="13">
        <f ca="1">SUMPRODUCT(dFactor,tpSurvPRV,INDEX(elecPRV,1,1)*allOnes,OFFSET(tPrcElec,0,20,1,_maxLT))</f>
        <v>16269.158391790854</v>
      </c>
      <c r="Z108" s="13">
        <f ca="1">SUMPRODUCT(dFactor,tpSurvPRV,INDEX(elecPRV,1,1)*allOnes,OFFSET(tPrcElec,0,21,1,_maxLT))</f>
        <v>16371.870727314903</v>
      </c>
      <c r="AA108" s="13">
        <f ca="1">SUMPRODUCT(dFactor,tpSurvPRV,INDEX(elecPRV,1,1)*allOnes,OFFSET(tPrcElec,0,22,1,_maxLT))</f>
        <v>16475.245541305412</v>
      </c>
      <c r="AB108" s="13">
        <f ca="1">SUMPRODUCT(dFactor,tpSurvPRV,INDEX(elecPRV,1,1)*allOnes,OFFSET(tPrcElec,0,23,1,_maxLT))</f>
        <v>16579.287208700607</v>
      </c>
      <c r="AC108" s="13">
        <f ca="1">SUMPRODUCT(dFactor,tpSurvPRV,INDEX(elecPRV,1,1)*allOnes,OFFSET(tPrcElec,0,24,1,_maxLT))</f>
        <v>16684.000134057351</v>
      </c>
      <c r="AD108" s="13">
        <f ca="1">SUMPRODUCT(dFactor,tpSurvPRV,INDEX(elecPRV,1,1)*allOnes,OFFSET(tPrcElec,0,25,1,_maxLT))</f>
        <v>16789.388751756793</v>
      </c>
      <c r="AE108" s="13">
        <f ca="1">SUMPRODUCT(dFactor,tpSurvPRV,INDEX(elecPRV,1,1)*allOnes,OFFSET(tPrcElec,0,26,1,_maxLT))</f>
        <v>16895.457526211307</v>
      </c>
      <c r="AF108" s="13">
        <f ca="1">SUMPRODUCT(dFactor,tpSurvPRV,INDEX(elecPRV,1,1)*allOnes,OFFSET(tPrcElec,0,27,1,_maxLT))</f>
        <v>17002.210952073037</v>
      </c>
      <c r="AG108" s="13">
        <f ca="1">SUMPRODUCT(dFactor,tpSurvPRV,INDEX(elecPRV,1,1)*allOnes,OFFSET(tPrcElec,0,28,1,_maxLT))</f>
        <v>17109.653554443932</v>
      </c>
      <c r="AH108" s="13">
        <f ca="1">SUMPRODUCT(dFactor,tpSurvPRV,INDEX(elecPRV,1,1)*allOnes,OFFSET(tPrcElec,0,29,1,_maxLT))</f>
        <v>17217.789889087137</v>
      </c>
      <c r="AI108" s="13">
        <f ca="1">SUMPRODUCT(dFactor,tpSurvPRV,INDEX(elecPRV,1,1)*allOnes,OFFSET(tPrcElec,0,30,1,_maxLT))</f>
        <v>17326.624542640107</v>
      </c>
      <c r="AJ108" s="13">
        <f ca="1">SUMPRODUCT(dFactor,tpSurvPRV,INDEX(elecPRV,1,1)*allOnes,OFFSET(tPrcElec,0,31,1,_maxLT))</f>
        <v>17436.162132829028</v>
      </c>
      <c r="AK108" s="13">
        <f ca="1">SUMPRODUCT(dFactor,tpSurvPRV,INDEX(elecPRV,1,1)*allOnes,OFFSET(tPrcElec,0,32,1,_maxLT))</f>
        <v>17546.407308684888</v>
      </c>
      <c r="AL108" s="56">
        <f ca="1">SUMPRODUCT(dFactor,tpSurvPRV,INDEX(elecPRV,1,1)*allOnes,OFFSET(tPrcElec,0,33,1,_maxLT))</f>
        <v>17657.364750761</v>
      </c>
      <c r="AM108" s="10"/>
    </row>
    <row r="109" spans="2:39" ht="15">
      <c r="B109" s="10"/>
      <c r="C109" s="16" t="s">
        <v>79</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5"/>
      <c r="AM109" s="10"/>
    </row>
    <row r="110" spans="2:39" ht="15">
      <c r="B110" s="10"/>
      <c r="C110" s="28" t="str">
        <f>INDEX(_fuel,1)</f>
        <v>Electricity</v>
      </c>
      <c r="D110" s="12" t="s">
        <v>83</v>
      </c>
      <c r="E110" s="39">
        <f ca="1">SUMPRODUCT(OFFSET(tConvElecPRV,0,0,1,_maxLT),INDEX(elecPRV,1,1)*allOnes,tpSurvPRV)</f>
        <v>3024.0221419434456</v>
      </c>
      <c r="F110" s="39">
        <f ca="1">SUMPRODUCT(OFFSET(tConvElecPRV,0,1,1,_maxLT),INDEX(elecPRV,1,1)*allOnes,tpSurvPRV)</f>
        <v>3004.0176644662088</v>
      </c>
      <c r="G110" s="39">
        <f ca="1">SUMPRODUCT(OFFSET(tConvElecPRV,0,2,1,_maxLT),INDEX(elecPRV,1,1)*allOnes,tpSurvPRV)</f>
        <v>2986.3617812607899</v>
      </c>
      <c r="H110" s="39">
        <f ca="1">SUMPRODUCT(OFFSET(tConvElecPRV,0,3,1,_maxLT),INDEX(elecPRV,1,1)*allOnes,tpSurvPRV)</f>
        <v>2969.5804774095313</v>
      </c>
      <c r="I110" s="39">
        <f ca="1">SUMPRODUCT(OFFSET(tConvElecPRV,0,4,1,_maxLT),INDEX(elecPRV,1,1)*allOnes,tpSurvPRV)</f>
        <v>2954.8791253204599</v>
      </c>
      <c r="J110" s="39">
        <f ca="1">SUMPRODUCT(OFFSET(tConvElecPRV,0,5,1,_maxLT),INDEX(elecPRV,1,1)*allOnes,tpSurvPRV)</f>
        <v>2943.4088347743041</v>
      </c>
      <c r="K110" s="39">
        <f ca="1">SUMPRODUCT(OFFSET(tConvElecPRV,0,6,1,_maxLT),INDEX(elecPRV,1,1)*allOnes,tpSurvPRV)</f>
        <v>2933.8260812835883</v>
      </c>
      <c r="L110" s="39">
        <f ca="1">SUMPRODUCT(OFFSET(tConvElecPRV,0,7,1,_maxLT),INDEX(elecPRV,1,1)*allOnes,tpSurvPRV)</f>
        <v>2924.1807005221158</v>
      </c>
      <c r="M110" s="39">
        <f ca="1">SUMPRODUCT(OFFSET(tConvElecPRV,0,8,1,_maxLT),INDEX(elecPRV,1,1)*allOnes,tpSurvPRV)</f>
        <v>2916.4028419359006</v>
      </c>
      <c r="N110" s="39">
        <f ca="1">SUMPRODUCT(OFFSET(tConvElecPRV,0,9,1,_maxLT),INDEX(elecPRV,1,1)*allOnes,tpSurvPRV)</f>
        <v>2910.9556106819173</v>
      </c>
      <c r="O110" s="39">
        <f ca="1">SUMPRODUCT(OFFSET(tConvElecPRV,0,10,1,_maxLT),INDEX(elecPRV,1,1)*allOnes,tpSurvPRV)</f>
        <v>2906.9226586484324</v>
      </c>
      <c r="P110" s="39">
        <f ca="1">SUMPRODUCT(OFFSET(tConvElecPRV,0,11,1,_maxLT),INDEX(elecPRV,1,1)*allOnes,tpSurvPRV)</f>
        <v>2903.4896356120798</v>
      </c>
      <c r="Q110" s="39">
        <f ca="1">SUMPRODUCT(OFFSET(tConvElecPRV,0,12,1,_maxLT),INDEX(elecPRV,1,1)*allOnes,tpSurvPRV)</f>
        <v>2900.9181651945819</v>
      </c>
      <c r="R110" s="39">
        <f ca="1">SUMPRODUCT(OFFSET(tConvElecPRV,0,13,1,_maxLT),INDEX(elecPRV,1,1)*allOnes,tpSurvPRV)</f>
        <v>2898.9215298172439</v>
      </c>
      <c r="S110" s="39">
        <f ca="1">SUMPRODUCT(OFFSET(tConvElecPRV,0,14,1,_maxLT),INDEX(elecPRV,1,1)*allOnes,tpSurvPRV)</f>
        <v>2898.5361402306553</v>
      </c>
      <c r="T110" s="39">
        <f ca="1">SUMPRODUCT(OFFSET(tConvElecPRV,0,15,1,_maxLT),INDEX(elecPRV,1,1)*allOnes,tpSurvPRV)</f>
        <v>2898.8838496095423</v>
      </c>
      <c r="U110" s="39">
        <f ca="1">SUMPRODUCT(OFFSET(tConvElecPRV,0,16,1,_maxLT),INDEX(elecPRV,1,1)*allOnes,tpSurvPRV)</f>
        <v>2899.473029641812</v>
      </c>
      <c r="V110" s="39">
        <f ca="1">SUMPRODUCT(OFFSET(tConvElecPRV,0,17,1,_maxLT),INDEX(elecPRV,1,1)*allOnes,tpSurvPRV)</f>
        <v>2900.3711379271822</v>
      </c>
      <c r="W110" s="39">
        <f ca="1">SUMPRODUCT(OFFSET(tConvElecPRV,0,18,1,_maxLT),INDEX(elecPRV,1,1)*allOnes,tpSurvPRV)</f>
        <v>2901.2312611894336</v>
      </c>
      <c r="X110" s="39">
        <f ca="1">SUMPRODUCT(OFFSET(tConvElecPRV,0,19,1,_maxLT),INDEX(elecPRV,1,1)*allOnes,tpSurvPRV)</f>
        <v>2901.9440582449397</v>
      </c>
      <c r="Y110" s="39">
        <f ca="1">SUMPRODUCT(OFFSET(tConvElecPRV,0,20,1,_maxLT),INDEX(elecPRV,1,1)*allOnes,tpSurvPRV)</f>
        <v>2902.4219679845914</v>
      </c>
      <c r="Z110" s="39">
        <f ca="1">SUMPRODUCT(OFFSET(tConvElecPRV,0,21,1,_maxLT),INDEX(elecPRV,1,1)*allOnes,tpSurvPRV)</f>
        <v>2902.751411459305</v>
      </c>
      <c r="AA110" s="39">
        <f ca="1">SUMPRODUCT(OFFSET(tConvElecPRV,0,22,1,_maxLT),INDEX(elecPRV,1,1)*allOnes,tpSurvPRV)</f>
        <v>2902.751411459305</v>
      </c>
      <c r="AB110" s="39">
        <f ca="1">SUMPRODUCT(OFFSET(tConvElecPRV,0,23,1,_maxLT),INDEX(elecPRV,1,1)*allOnes,tpSurvPRV)</f>
        <v>2902.751411459305</v>
      </c>
      <c r="AC110" s="39">
        <f ca="1">SUMPRODUCT(OFFSET(tConvElecPRV,0,24,1,_maxLT),INDEX(elecPRV,1,1)*allOnes,tpSurvPRV)</f>
        <v>2902.751411459305</v>
      </c>
      <c r="AD110" s="39">
        <f ca="1">SUMPRODUCT(OFFSET(tConvElecPRV,0,25,1,_maxLT),INDEX(elecPRV,1,1)*allOnes,tpSurvPRV)</f>
        <v>2902.751411459305</v>
      </c>
      <c r="AE110" s="39">
        <f ca="1">SUMPRODUCT(OFFSET(tConvElecPRV,0,26,1,_maxLT),INDEX(elecPRV,1,1)*allOnes,tpSurvPRV)</f>
        <v>2902.751411459305</v>
      </c>
      <c r="AF110" s="39">
        <f ca="1">SUMPRODUCT(OFFSET(tConvElecPRV,0,27,1,_maxLT),INDEX(elecPRV,1,1)*allOnes,tpSurvPRV)</f>
        <v>2902.751411459305</v>
      </c>
      <c r="AG110" s="39">
        <f ca="1">SUMPRODUCT(OFFSET(tConvElecPRV,0,28,1,_maxLT),INDEX(elecPRV,1,1)*allOnes,tpSurvPRV)</f>
        <v>2902.751411459305</v>
      </c>
      <c r="AH110" s="39">
        <f ca="1">SUMPRODUCT(OFFSET(tConvElecPRV,0,29,1,_maxLT),INDEX(elecPRV,1,1)*allOnes,tpSurvPRV)</f>
        <v>2902.751411459305</v>
      </c>
      <c r="AI110" s="39">
        <f ca="1">SUMPRODUCT(OFFSET(tConvElecPRV,0,30,1,_maxLT),INDEX(elecPRV,1,1)*allOnes,tpSurvPRV)</f>
        <v>2902.751411459305</v>
      </c>
      <c r="AJ110" s="39">
        <f ca="1">SUMPRODUCT(OFFSET(tConvElecPRV,0,31,1,_maxLT),INDEX(elecPRV,1,1)*allOnes,tpSurvPRV)</f>
        <v>2902.751411459305</v>
      </c>
      <c r="AK110" s="39">
        <f ca="1">SUMPRODUCT(OFFSET(tConvElecPRV,0,32,1,_maxLT),INDEX(elecPRV,1,1)*allOnes,tpSurvPRV)</f>
        <v>2902.751411459305</v>
      </c>
      <c r="AL110" s="40">
        <f ca="1">SUMPRODUCT(OFFSET(tConvElecPRV,0,33,1,_maxLT),INDEX(elecPRV,1,1)*allOnes,tpSurvPRV)</f>
        <v>2902.751411459305</v>
      </c>
      <c r="AM110" s="10"/>
    </row>
    <row r="111" spans="2:39" ht="15">
      <c r="B111" s="10"/>
      <c r="C111" s="57" t="str">
        <f>"EL 1: " &amp; INDEX(_doName,7,2)</f>
        <v>EL 1: EL 1</v>
      </c>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3"/>
      <c r="AM111" s="10"/>
    </row>
    <row r="112" spans="2:39" ht="15">
      <c r="B112" s="10"/>
      <c r="C112" s="16" t="s">
        <v>69</v>
      </c>
      <c r="D112" s="12" t="str">
        <f>_yearDol &amp; "$"</f>
        <v>2015$</v>
      </c>
      <c r="E112" s="13">
        <f t="array" ref="E112:AL112">INDEX(mspPRV,1,2)*tPIdxAll + INDEX(instPRV,1,2) + IF(bESav,SUMPRODUCT(dFactor,tpSurvPRV,INDEX(mrPRV,1,2)*allOnes),0)</f>
        <v>3457.4900352423101</v>
      </c>
      <c r="F112" s="13">
        <v>3457.4900352423101</v>
      </c>
      <c r="G112" s="13">
        <v>3457.4900352423101</v>
      </c>
      <c r="H112" s="13">
        <v>3457.4900352423101</v>
      </c>
      <c r="I112" s="13">
        <v>3457.4900352423101</v>
      </c>
      <c r="J112" s="13">
        <v>3457.4900352423101</v>
      </c>
      <c r="K112" s="13">
        <v>3457.4900352423101</v>
      </c>
      <c r="L112" s="13">
        <v>3457.4900352423101</v>
      </c>
      <c r="M112" s="13">
        <v>3457.4900352423101</v>
      </c>
      <c r="N112" s="13">
        <v>3457.4900352423101</v>
      </c>
      <c r="O112" s="13">
        <v>3457.4900352423101</v>
      </c>
      <c r="P112" s="13">
        <v>3457.4900352423101</v>
      </c>
      <c r="Q112" s="13">
        <v>3457.4900352423101</v>
      </c>
      <c r="R112" s="13">
        <v>3457.4900352423101</v>
      </c>
      <c r="S112" s="13">
        <v>3457.4900352423101</v>
      </c>
      <c r="T112" s="13">
        <v>3457.4900352423101</v>
      </c>
      <c r="U112" s="13">
        <v>3457.4900352423101</v>
      </c>
      <c r="V112" s="13">
        <v>3457.4900352423101</v>
      </c>
      <c r="W112" s="13">
        <v>3457.4900352423101</v>
      </c>
      <c r="X112" s="13">
        <v>3457.4900352423101</v>
      </c>
      <c r="Y112" s="13">
        <v>3457.4900352423101</v>
      </c>
      <c r="Z112" s="13">
        <v>3457.4900352423101</v>
      </c>
      <c r="AA112" s="13">
        <v>3457.4900352423101</v>
      </c>
      <c r="AB112" s="13">
        <v>3457.4900352423101</v>
      </c>
      <c r="AC112" s="13">
        <v>3457.4900352423101</v>
      </c>
      <c r="AD112" s="13">
        <v>3457.4900352423101</v>
      </c>
      <c r="AE112" s="13">
        <v>3457.4900352423101</v>
      </c>
      <c r="AF112" s="13">
        <v>3457.4900352423101</v>
      </c>
      <c r="AG112" s="13">
        <v>3457.4900352423101</v>
      </c>
      <c r="AH112" s="13">
        <v>3457.4900352423101</v>
      </c>
      <c r="AI112" s="13">
        <v>3457.4900352423101</v>
      </c>
      <c r="AJ112" s="13">
        <v>3457.4900352423101</v>
      </c>
      <c r="AK112" s="13">
        <v>3457.4900352423101</v>
      </c>
      <c r="AL112" s="56">
        <v>3457.4900352423101</v>
      </c>
      <c r="AM112" s="10"/>
    </row>
    <row r="113" spans="2:39" ht="15">
      <c r="B113" s="10"/>
      <c r="C113" s="16" t="str">
        <f>zEO&amp;" Costs"</f>
        <v>Operating Costs</v>
      </c>
      <c r="D113" s="12" t="str">
        <f>_yearDol &amp; "$"</f>
        <v>2015$</v>
      </c>
      <c r="E113" s="13">
        <f t="array" aca="1" ref="E113:AL113" ca="1">(tlccEFuElecbc1) + IF(bOSav,SUMPRODUCT(dFactor,tpSurvPRV,INDEX(mrPRV,1,2)*allOnes),0)</f>
        <v>13774.529889616664</v>
      </c>
      <c r="F113" s="13">
        <f ca="1"/>
        <v>13886.299868031414</v>
      </c>
      <c r="G113" s="13">
        <f ca="1"/>
        <v>13994.721555903217</v>
      </c>
      <c r="H113" s="13">
        <f ca="1"/>
        <v>14092.548654034532</v>
      </c>
      <c r="I113" s="13">
        <f ca="1"/>
        <v>14181.316185290039</v>
      </c>
      <c r="J113" s="13">
        <f ca="1"/>
        <v>14270.654774524552</v>
      </c>
      <c r="K113" s="13">
        <f ca="1"/>
        <v>14360.568182411334</v>
      </c>
      <c r="L113" s="13">
        <f ca="1"/>
        <v>14451.060195010417</v>
      </c>
      <c r="M113" s="13">
        <f ca="1"/>
        <v>14542.134623944215</v>
      </c>
      <c r="N113" s="13">
        <f ca="1"/>
        <v>14633.795306574606</v>
      </c>
      <c r="O113" s="13">
        <f ca="1"/>
        <v>14726.046106181042</v>
      </c>
      <c r="P113" s="13">
        <f ca="1"/>
        <v>14818.890912140076</v>
      </c>
      <c r="Q113" s="13">
        <f ca="1"/>
        <v>14912.333640106086</v>
      </c>
      <c r="R113" s="13">
        <f ca="1"/>
        <v>15006.378232193298</v>
      </c>
      <c r="S113" s="13">
        <f ca="1"/>
        <v>15101.028657159122</v>
      </c>
      <c r="T113" s="13">
        <f ca="1"/>
        <v>15196.288910588746</v>
      </c>
      <c r="U113" s="13">
        <f ca="1"/>
        <v>15292.163015081102</v>
      </c>
      <c r="V113" s="13">
        <f ca="1"/>
        <v>15388.655020436077</v>
      </c>
      <c r="W113" s="13">
        <f ca="1"/>
        <v>15485.769003843108</v>
      </c>
      <c r="X113" s="13">
        <f ca="1"/>
        <v>15583.509070071104</v>
      </c>
      <c r="Y113" s="13">
        <f ca="1"/>
        <v>15681.879351659731</v>
      </c>
      <c r="Z113" s="13">
        <f ca="1"/>
        <v>15780.884009111962</v>
      </c>
      <c r="AA113" s="13">
        <f ca="1"/>
        <v>15880.527231088174</v>
      </c>
      <c r="AB113" s="13">
        <f ca="1"/>
        <v>15980.813234601424</v>
      </c>
      <c r="AC113" s="13">
        <f ca="1"/>
        <v>16081.746265214284</v>
      </c>
      <c r="AD113" s="13">
        <f ca="1"/>
        <v>16183.330597236936</v>
      </c>
      <c r="AE113" s="13">
        <f ca="1"/>
        <v>16285.570533926806</v>
      </c>
      <c r="AF113" s="13">
        <f ca="1"/>
        <v>16388.47040768947</v>
      </c>
      <c r="AG113" s="13">
        <f ca="1"/>
        <v>16492.034580281124</v>
      </c>
      <c r="AH113" s="13">
        <f ca="1"/>
        <v>16596.267443012439</v>
      </c>
      <c r="AI113" s="13">
        <f ca="1"/>
        <v>16701.173416953825</v>
      </c>
      <c r="AJ113" s="13">
        <f ca="1"/>
        <v>16806.756953142212</v>
      </c>
      <c r="AK113" s="13">
        <f ca="1"/>
        <v>16913.022532789291</v>
      </c>
      <c r="AL113" s="56">
        <f ca="1"/>
        <v>17019.974667491257</v>
      </c>
      <c r="AM113" s="10"/>
    </row>
    <row r="114" spans="2:39" ht="15">
      <c r="B114" s="10"/>
      <c r="C114" s="28" t="str">
        <f>INDEX(_fuel,1)</f>
        <v>Electricity</v>
      </c>
      <c r="D114" s="12" t="str">
        <f>_yearDol &amp; "$"</f>
        <v>2015$</v>
      </c>
      <c r="E114" s="13">
        <f ca="1">SUMPRODUCT(dFactor,tpSurvPRV,INDEX(elecPRV,1,2)*allOnes,OFFSET(tPrcElec,0,0,1,_maxLT))</f>
        <v>13774.529889616664</v>
      </c>
      <c r="F114" s="13">
        <f ca="1">SUMPRODUCT(dFactor,tpSurvPRV,INDEX(elecPRV,1,2)*allOnes,OFFSET(tPrcElec,0,1,1,_maxLT))</f>
        <v>13886.299868031414</v>
      </c>
      <c r="G114" s="13">
        <f ca="1">SUMPRODUCT(dFactor,tpSurvPRV,INDEX(elecPRV,1,2)*allOnes,OFFSET(tPrcElec,0,2,1,_maxLT))</f>
        <v>13994.721555903217</v>
      </c>
      <c r="H114" s="13">
        <f ca="1">SUMPRODUCT(dFactor,tpSurvPRV,INDEX(elecPRV,1,2)*allOnes,OFFSET(tPrcElec,0,3,1,_maxLT))</f>
        <v>14092.548654034532</v>
      </c>
      <c r="I114" s="13">
        <f ca="1">SUMPRODUCT(dFactor,tpSurvPRV,INDEX(elecPRV,1,2)*allOnes,OFFSET(tPrcElec,0,4,1,_maxLT))</f>
        <v>14181.316185290039</v>
      </c>
      <c r="J114" s="13">
        <f ca="1">SUMPRODUCT(dFactor,tpSurvPRV,INDEX(elecPRV,1,2)*allOnes,OFFSET(tPrcElec,0,5,1,_maxLT))</f>
        <v>14270.654774524552</v>
      </c>
      <c r="K114" s="13">
        <f ca="1">SUMPRODUCT(dFactor,tpSurvPRV,INDEX(elecPRV,1,2)*allOnes,OFFSET(tPrcElec,0,6,1,_maxLT))</f>
        <v>14360.568182411334</v>
      </c>
      <c r="L114" s="13">
        <f ca="1">SUMPRODUCT(dFactor,tpSurvPRV,INDEX(elecPRV,1,2)*allOnes,OFFSET(tPrcElec,0,7,1,_maxLT))</f>
        <v>14451.060195010417</v>
      </c>
      <c r="M114" s="13">
        <f ca="1">SUMPRODUCT(dFactor,tpSurvPRV,INDEX(elecPRV,1,2)*allOnes,OFFSET(tPrcElec,0,8,1,_maxLT))</f>
        <v>14542.134623944215</v>
      </c>
      <c r="N114" s="13">
        <f ca="1">SUMPRODUCT(dFactor,tpSurvPRV,INDEX(elecPRV,1,2)*allOnes,OFFSET(tPrcElec,0,9,1,_maxLT))</f>
        <v>14633.795306574606</v>
      </c>
      <c r="O114" s="13">
        <f ca="1">SUMPRODUCT(dFactor,tpSurvPRV,INDEX(elecPRV,1,2)*allOnes,OFFSET(tPrcElec,0,10,1,_maxLT))</f>
        <v>14726.046106181042</v>
      </c>
      <c r="P114" s="13">
        <f ca="1">SUMPRODUCT(dFactor,tpSurvPRV,INDEX(elecPRV,1,2)*allOnes,OFFSET(tPrcElec,0,11,1,_maxLT))</f>
        <v>14818.890912140076</v>
      </c>
      <c r="Q114" s="13">
        <f ca="1">SUMPRODUCT(dFactor,tpSurvPRV,INDEX(elecPRV,1,2)*allOnes,OFFSET(tPrcElec,0,12,1,_maxLT))</f>
        <v>14912.333640106086</v>
      </c>
      <c r="R114" s="13">
        <f ca="1">SUMPRODUCT(dFactor,tpSurvPRV,INDEX(elecPRV,1,2)*allOnes,OFFSET(tPrcElec,0,13,1,_maxLT))</f>
        <v>15006.378232193298</v>
      </c>
      <c r="S114" s="13">
        <f ca="1">SUMPRODUCT(dFactor,tpSurvPRV,INDEX(elecPRV,1,2)*allOnes,OFFSET(tPrcElec,0,14,1,_maxLT))</f>
        <v>15101.028657159122</v>
      </c>
      <c r="T114" s="13">
        <f ca="1">SUMPRODUCT(dFactor,tpSurvPRV,INDEX(elecPRV,1,2)*allOnes,OFFSET(tPrcElec,0,15,1,_maxLT))</f>
        <v>15196.288910588746</v>
      </c>
      <c r="U114" s="13">
        <f ca="1">SUMPRODUCT(dFactor,tpSurvPRV,INDEX(elecPRV,1,2)*allOnes,OFFSET(tPrcElec,0,16,1,_maxLT))</f>
        <v>15292.163015081102</v>
      </c>
      <c r="V114" s="13">
        <f ca="1">SUMPRODUCT(dFactor,tpSurvPRV,INDEX(elecPRV,1,2)*allOnes,OFFSET(tPrcElec,0,17,1,_maxLT))</f>
        <v>15388.655020436077</v>
      </c>
      <c r="W114" s="13">
        <f ca="1">SUMPRODUCT(dFactor,tpSurvPRV,INDEX(elecPRV,1,2)*allOnes,OFFSET(tPrcElec,0,18,1,_maxLT))</f>
        <v>15485.769003843108</v>
      </c>
      <c r="X114" s="13">
        <f ca="1">SUMPRODUCT(dFactor,tpSurvPRV,INDEX(elecPRV,1,2)*allOnes,OFFSET(tPrcElec,0,19,1,_maxLT))</f>
        <v>15583.509070071104</v>
      </c>
      <c r="Y114" s="13">
        <f ca="1">SUMPRODUCT(dFactor,tpSurvPRV,INDEX(elecPRV,1,2)*allOnes,OFFSET(tPrcElec,0,20,1,_maxLT))</f>
        <v>15681.879351659731</v>
      </c>
      <c r="Z114" s="13">
        <f ca="1">SUMPRODUCT(dFactor,tpSurvPRV,INDEX(elecPRV,1,2)*allOnes,OFFSET(tPrcElec,0,21,1,_maxLT))</f>
        <v>15780.884009111962</v>
      </c>
      <c r="AA114" s="13">
        <f ca="1">SUMPRODUCT(dFactor,tpSurvPRV,INDEX(elecPRV,1,2)*allOnes,OFFSET(tPrcElec,0,22,1,_maxLT))</f>
        <v>15880.527231088174</v>
      </c>
      <c r="AB114" s="13">
        <f ca="1">SUMPRODUCT(dFactor,tpSurvPRV,INDEX(elecPRV,1,2)*allOnes,OFFSET(tPrcElec,0,23,1,_maxLT))</f>
        <v>15980.813234601424</v>
      </c>
      <c r="AC114" s="13">
        <f ca="1">SUMPRODUCT(dFactor,tpSurvPRV,INDEX(elecPRV,1,2)*allOnes,OFFSET(tPrcElec,0,24,1,_maxLT))</f>
        <v>16081.746265214284</v>
      </c>
      <c r="AD114" s="13">
        <f ca="1">SUMPRODUCT(dFactor,tpSurvPRV,INDEX(elecPRV,1,2)*allOnes,OFFSET(tPrcElec,0,25,1,_maxLT))</f>
        <v>16183.330597236936</v>
      </c>
      <c r="AE114" s="13">
        <f ca="1">SUMPRODUCT(dFactor,tpSurvPRV,INDEX(elecPRV,1,2)*allOnes,OFFSET(tPrcElec,0,26,1,_maxLT))</f>
        <v>16285.570533926806</v>
      </c>
      <c r="AF114" s="13">
        <f ca="1">SUMPRODUCT(dFactor,tpSurvPRV,INDEX(elecPRV,1,2)*allOnes,OFFSET(tPrcElec,0,27,1,_maxLT))</f>
        <v>16388.47040768947</v>
      </c>
      <c r="AG114" s="13">
        <f ca="1">SUMPRODUCT(dFactor,tpSurvPRV,INDEX(elecPRV,1,2)*allOnes,OFFSET(tPrcElec,0,28,1,_maxLT))</f>
        <v>16492.034580281124</v>
      </c>
      <c r="AH114" s="13">
        <f ca="1">SUMPRODUCT(dFactor,tpSurvPRV,INDEX(elecPRV,1,2)*allOnes,OFFSET(tPrcElec,0,29,1,_maxLT))</f>
        <v>16596.267443012439</v>
      </c>
      <c r="AI114" s="13">
        <f ca="1">SUMPRODUCT(dFactor,tpSurvPRV,INDEX(elecPRV,1,2)*allOnes,OFFSET(tPrcElec,0,30,1,_maxLT))</f>
        <v>16701.173416953825</v>
      </c>
      <c r="AJ114" s="13">
        <f ca="1">SUMPRODUCT(dFactor,tpSurvPRV,INDEX(elecPRV,1,2)*allOnes,OFFSET(tPrcElec,0,31,1,_maxLT))</f>
        <v>16806.756953142212</v>
      </c>
      <c r="AK114" s="13">
        <f ca="1">SUMPRODUCT(dFactor,tpSurvPRV,INDEX(elecPRV,1,2)*allOnes,OFFSET(tPrcElec,0,32,1,_maxLT))</f>
        <v>16913.022532789291</v>
      </c>
      <c r="AL114" s="56">
        <f ca="1">SUMPRODUCT(dFactor,tpSurvPRV,INDEX(elecPRV,1,2)*allOnes,OFFSET(tPrcElec,0,33,1,_maxLT))</f>
        <v>17019.974667491257</v>
      </c>
      <c r="AM114" s="10"/>
    </row>
    <row r="115" spans="2:39" ht="15">
      <c r="B115" s="10"/>
      <c r="C115" s="16" t="s">
        <v>79</v>
      </c>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5"/>
      <c r="AM115" s="10"/>
    </row>
    <row r="116" spans="2:39" ht="15">
      <c r="B116" s="10"/>
      <c r="C116" s="28" t="str">
        <f>INDEX(_fuel,1)</f>
        <v>Electricity</v>
      </c>
      <c r="D116" s="12" t="s">
        <v>83</v>
      </c>
      <c r="E116" s="39">
        <f ca="1">SUMPRODUCT(OFFSET(tConvElecPRV,0,0,1,_maxLT),INDEX(elecPRV,1,2)*allOnes,tpSurvPRV)</f>
        <v>2914.861927377463</v>
      </c>
      <c r="F116" s="39">
        <f ca="1">SUMPRODUCT(OFFSET(tConvElecPRV,0,1,1,_maxLT),INDEX(elecPRV,1,2)*allOnes,tpSurvPRV)</f>
        <v>2895.57956533166</v>
      </c>
      <c r="G116" s="39">
        <f ca="1">SUMPRODUCT(OFFSET(tConvElecPRV,0,2,1,_maxLT),INDEX(elecPRV,1,2)*allOnes,tpSurvPRV)</f>
        <v>2878.5610187291463</v>
      </c>
      <c r="H116" s="39">
        <f ca="1">SUMPRODUCT(OFFSET(tConvElecPRV,0,3,1,_maxLT),INDEX(elecPRV,1,2)*allOnes,tpSurvPRV)</f>
        <v>2862.3854811861743</v>
      </c>
      <c r="I116" s="39">
        <f ca="1">SUMPRODUCT(OFFSET(tConvElecPRV,0,4,1,_maxLT),INDEX(elecPRV,1,2)*allOnes,tpSurvPRV)</f>
        <v>2848.2148139509577</v>
      </c>
      <c r="J116" s="39">
        <f ca="1">SUMPRODUCT(OFFSET(tConvElecPRV,0,5,1,_maxLT),INDEX(elecPRV,1,2)*allOnes,tpSurvPRV)</f>
        <v>2837.1585743999271</v>
      </c>
      <c r="K116" s="39">
        <f ca="1">SUMPRODUCT(OFFSET(tConvElecPRV,0,6,1,_maxLT),INDEX(elecPRV,1,2)*allOnes,tpSurvPRV)</f>
        <v>2827.9217361763881</v>
      </c>
      <c r="L116" s="39">
        <f ca="1">SUMPRODUCT(OFFSET(tConvElecPRV,0,7,1,_maxLT),INDEX(elecPRV,1,2)*allOnes,tpSurvPRV)</f>
        <v>2818.6245313819127</v>
      </c>
      <c r="M116" s="39">
        <f ca="1">SUMPRODUCT(OFFSET(tConvElecPRV,0,8,1,_maxLT),INDEX(elecPRV,1,2)*allOnes,tpSurvPRV)</f>
        <v>2811.1274355256919</v>
      </c>
      <c r="N116" s="39">
        <f ca="1">SUMPRODUCT(OFFSET(tConvElecPRV,0,9,1,_maxLT),INDEX(elecPRV,1,2)*allOnes,tpSurvPRV)</f>
        <v>2805.8768367381936</v>
      </c>
      <c r="O116" s="39">
        <f ca="1">SUMPRODUCT(OFFSET(tConvElecPRV,0,10,1,_maxLT),INDEX(elecPRV,1,2)*allOnes,tpSurvPRV)</f>
        <v>2801.9894649579765</v>
      </c>
      <c r="P116" s="39">
        <f ca="1">SUMPRODUCT(OFFSET(tConvElecPRV,0,11,1,_maxLT),INDEX(elecPRV,1,2)*allOnes,tpSurvPRV)</f>
        <v>2798.6803661237846</v>
      </c>
      <c r="Q116" s="39">
        <f ca="1">SUMPRODUCT(OFFSET(tConvElecPRV,0,12,1,_maxLT),INDEX(elecPRV,1,2)*allOnes,tpSurvPRV)</f>
        <v>2796.2017198488852</v>
      </c>
      <c r="R116" s="39">
        <f ca="1">SUMPRODUCT(OFFSET(tConvElecPRV,0,13,1,_maxLT),INDEX(elecPRV,1,2)*allOnes,tpSurvPRV)</f>
        <v>2794.2771583969256</v>
      </c>
      <c r="S116" s="39">
        <f ca="1">SUMPRODUCT(OFFSET(tConvElecPRV,0,14,1,_maxLT),INDEX(elecPRV,1,2)*allOnes,tpSurvPRV)</f>
        <v>2793.9056804842562</v>
      </c>
      <c r="T116" s="39">
        <f ca="1">SUMPRODUCT(OFFSET(tConvElecPRV,0,15,1,_maxLT),INDEX(elecPRV,1,2)*allOnes,tpSurvPRV)</f>
        <v>2794.2408383576894</v>
      </c>
      <c r="U116" s="39">
        <f ca="1">SUMPRODUCT(OFFSET(tConvElecPRV,0,16,1,_maxLT),INDEX(elecPRV,1,2)*allOnes,tpSurvPRV)</f>
        <v>2794.8087503516576</v>
      </c>
      <c r="V116" s="39">
        <f ca="1">SUMPRODUCT(OFFSET(tConvElecPRV,0,17,1,_maxLT),INDEX(elecPRV,1,2)*allOnes,tpSurvPRV)</f>
        <v>2795.6744390023382</v>
      </c>
      <c r="W116" s="39">
        <f ca="1">SUMPRODUCT(OFFSET(tConvElecPRV,0,18,1,_maxLT),INDEX(elecPRV,1,2)*allOnes,tpSurvPRV)</f>
        <v>2796.5035138014987</v>
      </c>
      <c r="X116" s="39">
        <f ca="1">SUMPRODUCT(OFFSET(tConvElecPRV,0,19,1,_maxLT),INDEX(elecPRV,1,2)*allOnes,tpSurvPRV)</f>
        <v>2797.1905805296897</v>
      </c>
      <c r="Y116" s="39">
        <f ca="1">SUMPRODUCT(OFFSET(tConvElecPRV,0,20,1,_maxLT),INDEX(elecPRV,1,2)*allOnes,tpSurvPRV)</f>
        <v>2797.6512388315955</v>
      </c>
      <c r="Z116" s="39">
        <f ca="1">SUMPRODUCT(OFFSET(tConvElecPRV,0,21,1,_maxLT),INDEX(elecPRV,1,2)*allOnes,tpSurvPRV)</f>
        <v>2797.9687901578063</v>
      </c>
      <c r="AA116" s="39">
        <f ca="1">SUMPRODUCT(OFFSET(tConvElecPRV,0,22,1,_maxLT),INDEX(elecPRV,1,2)*allOnes,tpSurvPRV)</f>
        <v>2797.9687901578063</v>
      </c>
      <c r="AB116" s="39">
        <f ca="1">SUMPRODUCT(OFFSET(tConvElecPRV,0,23,1,_maxLT),INDEX(elecPRV,1,2)*allOnes,tpSurvPRV)</f>
        <v>2797.9687901578063</v>
      </c>
      <c r="AC116" s="39">
        <f ca="1">SUMPRODUCT(OFFSET(tConvElecPRV,0,24,1,_maxLT),INDEX(elecPRV,1,2)*allOnes,tpSurvPRV)</f>
        <v>2797.9687901578063</v>
      </c>
      <c r="AD116" s="39">
        <f ca="1">SUMPRODUCT(OFFSET(tConvElecPRV,0,25,1,_maxLT),INDEX(elecPRV,1,2)*allOnes,tpSurvPRV)</f>
        <v>2797.9687901578063</v>
      </c>
      <c r="AE116" s="39">
        <f ca="1">SUMPRODUCT(OFFSET(tConvElecPRV,0,26,1,_maxLT),INDEX(elecPRV,1,2)*allOnes,tpSurvPRV)</f>
        <v>2797.9687901578063</v>
      </c>
      <c r="AF116" s="39">
        <f ca="1">SUMPRODUCT(OFFSET(tConvElecPRV,0,27,1,_maxLT),INDEX(elecPRV,1,2)*allOnes,tpSurvPRV)</f>
        <v>2797.9687901578063</v>
      </c>
      <c r="AG116" s="39">
        <f ca="1">SUMPRODUCT(OFFSET(tConvElecPRV,0,28,1,_maxLT),INDEX(elecPRV,1,2)*allOnes,tpSurvPRV)</f>
        <v>2797.9687901578063</v>
      </c>
      <c r="AH116" s="39">
        <f ca="1">SUMPRODUCT(OFFSET(tConvElecPRV,0,29,1,_maxLT),INDEX(elecPRV,1,2)*allOnes,tpSurvPRV)</f>
        <v>2797.9687901578063</v>
      </c>
      <c r="AI116" s="39">
        <f ca="1">SUMPRODUCT(OFFSET(tConvElecPRV,0,30,1,_maxLT),INDEX(elecPRV,1,2)*allOnes,tpSurvPRV)</f>
        <v>2797.9687901578063</v>
      </c>
      <c r="AJ116" s="39">
        <f ca="1">SUMPRODUCT(OFFSET(tConvElecPRV,0,31,1,_maxLT),INDEX(elecPRV,1,2)*allOnes,tpSurvPRV)</f>
        <v>2797.9687901578063</v>
      </c>
      <c r="AK116" s="39">
        <f ca="1">SUMPRODUCT(OFFSET(tConvElecPRV,0,32,1,_maxLT),INDEX(elecPRV,1,2)*allOnes,tpSurvPRV)</f>
        <v>2797.9687901578063</v>
      </c>
      <c r="AL116" s="40">
        <f ca="1">SUMPRODUCT(OFFSET(tConvElecPRV,0,33,1,_maxLT),INDEX(elecPRV,1,2)*allOnes,tpSurvPRV)</f>
        <v>2797.9687901578063</v>
      </c>
      <c r="AM116" s="10"/>
    </row>
    <row r="117" spans="2:39" ht="15">
      <c r="B117" s="10"/>
      <c r="C117" s="57" t="str">
        <f>"EL 2: " &amp; INDEX(_doName,7,3)</f>
        <v>EL 2: EL 2</v>
      </c>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3"/>
      <c r="AM117" s="10"/>
    </row>
    <row r="118" spans="2:39" ht="15">
      <c r="B118" s="10"/>
      <c r="C118" s="16" t="s">
        <v>69</v>
      </c>
      <c r="D118" s="12" t="str">
        <f>_yearDol &amp; "$"</f>
        <v>2015$</v>
      </c>
      <c r="E118" s="13">
        <f t="array" ref="E118:AL118">INDEX(mspPRV,1,3)*tPIdxAll + INDEX(instPRV,1,3) + IF(bESav,SUMPRODUCT(dFactor,tpSurvPRV,INDEX(mrPRV,1,3)*allOnes),0)</f>
        <v>3065.95173259494</v>
      </c>
      <c r="F118" s="13">
        <v>3065.95173259494</v>
      </c>
      <c r="G118" s="13">
        <v>3065.95173259494</v>
      </c>
      <c r="H118" s="13">
        <v>3065.95173259494</v>
      </c>
      <c r="I118" s="13">
        <v>3065.95173259494</v>
      </c>
      <c r="J118" s="13">
        <v>3065.95173259494</v>
      </c>
      <c r="K118" s="13">
        <v>3065.95173259494</v>
      </c>
      <c r="L118" s="13">
        <v>3065.95173259494</v>
      </c>
      <c r="M118" s="13">
        <v>3065.95173259494</v>
      </c>
      <c r="N118" s="13">
        <v>3065.95173259494</v>
      </c>
      <c r="O118" s="13">
        <v>3065.95173259494</v>
      </c>
      <c r="P118" s="13">
        <v>3065.95173259494</v>
      </c>
      <c r="Q118" s="13">
        <v>3065.95173259494</v>
      </c>
      <c r="R118" s="13">
        <v>3065.95173259494</v>
      </c>
      <c r="S118" s="13">
        <v>3065.95173259494</v>
      </c>
      <c r="T118" s="13">
        <v>3065.95173259494</v>
      </c>
      <c r="U118" s="13">
        <v>3065.95173259494</v>
      </c>
      <c r="V118" s="13">
        <v>3065.95173259494</v>
      </c>
      <c r="W118" s="13">
        <v>3065.95173259494</v>
      </c>
      <c r="X118" s="13">
        <v>3065.95173259494</v>
      </c>
      <c r="Y118" s="13">
        <v>3065.95173259494</v>
      </c>
      <c r="Z118" s="13">
        <v>3065.95173259494</v>
      </c>
      <c r="AA118" s="13">
        <v>3065.95173259494</v>
      </c>
      <c r="AB118" s="13">
        <v>3065.95173259494</v>
      </c>
      <c r="AC118" s="13">
        <v>3065.95173259494</v>
      </c>
      <c r="AD118" s="13">
        <v>3065.95173259494</v>
      </c>
      <c r="AE118" s="13">
        <v>3065.95173259494</v>
      </c>
      <c r="AF118" s="13">
        <v>3065.95173259494</v>
      </c>
      <c r="AG118" s="13">
        <v>3065.95173259494</v>
      </c>
      <c r="AH118" s="13">
        <v>3065.95173259494</v>
      </c>
      <c r="AI118" s="13">
        <v>3065.95173259494</v>
      </c>
      <c r="AJ118" s="13">
        <v>3065.95173259494</v>
      </c>
      <c r="AK118" s="13">
        <v>3065.95173259494</v>
      </c>
      <c r="AL118" s="56">
        <v>3065.95173259494</v>
      </c>
      <c r="AM118" s="10"/>
    </row>
    <row r="119" spans="2:39" ht="15">
      <c r="B119" s="10"/>
      <c r="C119" s="16" t="str">
        <f>zEO&amp;" Costs"</f>
        <v>Operating Costs</v>
      </c>
      <c r="D119" s="12" t="str">
        <f>_yearDol &amp; "$"</f>
        <v>2015$</v>
      </c>
      <c r="E119" s="13">
        <f t="array" aca="1" ref="E119:AL119" ca="1">(tlccEFuElecbc2) + IF(bOSav,SUMPRODUCT(dFactor,tpSurvPRV,INDEX(mrPRV,1,3)*allOnes),0)</f>
        <v>12008.711999358806</v>
      </c>
      <c r="F119" s="13">
        <f ca="1"/>
        <v>12106.153690052657</v>
      </c>
      <c r="G119" s="13">
        <f ca="1"/>
        <v>12200.676322372638</v>
      </c>
      <c r="H119" s="13">
        <f ca="1"/>
        <v>12285.962532254651</v>
      </c>
      <c r="I119" s="13">
        <f ca="1"/>
        <v>12363.350561195301</v>
      </c>
      <c r="J119" s="13">
        <f ca="1"/>
        <v>12441.236441667708</v>
      </c>
      <c r="K119" s="13">
        <f ca="1"/>
        <v>12519.623452247815</v>
      </c>
      <c r="L119" s="13">
        <f ca="1"/>
        <v>12598.514893643849</v>
      </c>
      <c r="M119" s="13">
        <f ca="1"/>
        <v>12677.914088849522</v>
      </c>
      <c r="N119" s="13">
        <f ca="1"/>
        <v>12757.824383298317</v>
      </c>
      <c r="O119" s="13">
        <f ca="1"/>
        <v>12838.249145018812</v>
      </c>
      <c r="P119" s="13">
        <f ca="1"/>
        <v>12919.191764791174</v>
      </c>
      <c r="Q119" s="13">
        <f ca="1"/>
        <v>13000.655656304752</v>
      </c>
      <c r="R119" s="13">
        <f ca="1"/>
        <v>13082.644256316711</v>
      </c>
      <c r="S119" s="13">
        <f ca="1"/>
        <v>13165.161024811896</v>
      </c>
      <c r="T119" s="13">
        <f ca="1"/>
        <v>13248.209445163771</v>
      </c>
      <c r="U119" s="13">
        <f ca="1"/>
        <v>13331.793024296509</v>
      </c>
      <c r="V119" s="13">
        <f ca="1"/>
        <v>13415.915292848258</v>
      </c>
      <c r="W119" s="13">
        <f ca="1"/>
        <v>13500.579805335516</v>
      </c>
      <c r="X119" s="13">
        <f ca="1"/>
        <v>13585.790140318724</v>
      </c>
      <c r="Y119" s="13">
        <f ca="1"/>
        <v>13671.549900568985</v>
      </c>
      <c r="Z119" s="13">
        <f ca="1"/>
        <v>13757.862713236014</v>
      </c>
      <c r="AA119" s="13">
        <f ca="1"/>
        <v>13844.732230017311</v>
      </c>
      <c r="AB119" s="13">
        <f ca="1"/>
        <v>13932.162127328382</v>
      </c>
      <c r="AC119" s="13">
        <f ca="1"/>
        <v>14020.156106474325</v>
      </c>
      <c r="AD119" s="13">
        <f ca="1"/>
        <v>14108.717893822657</v>
      </c>
      <c r="AE119" s="13">
        <f ca="1"/>
        <v>14197.851240977152</v>
      </c>
      <c r="AF119" s="13">
        <f ca="1"/>
        <v>14287.559924953199</v>
      </c>
      <c r="AG119" s="13">
        <f ca="1"/>
        <v>14377.847748354172</v>
      </c>
      <c r="AH119" s="13">
        <f ca="1"/>
        <v>14468.718539549203</v>
      </c>
      <c r="AI119" s="13">
        <f ca="1"/>
        <v>14560.176152852144</v>
      </c>
      <c r="AJ119" s="13">
        <f ca="1"/>
        <v>14652.224468701816</v>
      </c>
      <c r="AK119" s="13">
        <f ca="1"/>
        <v>14744.86739384358</v>
      </c>
      <c r="AL119" s="56">
        <f ca="1"/>
        <v>14838.108861512163</v>
      </c>
      <c r="AM119" s="10"/>
    </row>
    <row r="120" spans="2:39" ht="15">
      <c r="B120" s="10"/>
      <c r="C120" s="28" t="str">
        <f>INDEX(_fuel,1)</f>
        <v>Electricity</v>
      </c>
      <c r="D120" s="12" t="str">
        <f>_yearDol &amp; "$"</f>
        <v>2015$</v>
      </c>
      <c r="E120" s="13">
        <f ca="1">SUMPRODUCT(dFactor,tpSurvPRV,INDEX(elecPRV,1,3)*allOnes,OFFSET(tPrcElec,0,0,1,_maxLT))</f>
        <v>12008.711999358806</v>
      </c>
      <c r="F120" s="13">
        <f ca="1">SUMPRODUCT(dFactor,tpSurvPRV,INDEX(elecPRV,1,3)*allOnes,OFFSET(tPrcElec,0,1,1,_maxLT))</f>
        <v>12106.153690052657</v>
      </c>
      <c r="G120" s="13">
        <f ca="1">SUMPRODUCT(dFactor,tpSurvPRV,INDEX(elecPRV,1,3)*allOnes,OFFSET(tPrcElec,0,2,1,_maxLT))</f>
        <v>12200.676322372638</v>
      </c>
      <c r="H120" s="13">
        <f ca="1">SUMPRODUCT(dFactor,tpSurvPRV,INDEX(elecPRV,1,3)*allOnes,OFFSET(tPrcElec,0,3,1,_maxLT))</f>
        <v>12285.962532254651</v>
      </c>
      <c r="I120" s="13">
        <f ca="1">SUMPRODUCT(dFactor,tpSurvPRV,INDEX(elecPRV,1,3)*allOnes,OFFSET(tPrcElec,0,4,1,_maxLT))</f>
        <v>12363.350561195301</v>
      </c>
      <c r="J120" s="13">
        <f ca="1">SUMPRODUCT(dFactor,tpSurvPRV,INDEX(elecPRV,1,3)*allOnes,OFFSET(tPrcElec,0,5,1,_maxLT))</f>
        <v>12441.236441667708</v>
      </c>
      <c r="K120" s="13">
        <f ca="1">SUMPRODUCT(dFactor,tpSurvPRV,INDEX(elecPRV,1,3)*allOnes,OFFSET(tPrcElec,0,6,1,_maxLT))</f>
        <v>12519.623452247815</v>
      </c>
      <c r="L120" s="13">
        <f ca="1">SUMPRODUCT(dFactor,tpSurvPRV,INDEX(elecPRV,1,3)*allOnes,OFFSET(tPrcElec,0,7,1,_maxLT))</f>
        <v>12598.514893643849</v>
      </c>
      <c r="M120" s="13">
        <f ca="1">SUMPRODUCT(dFactor,tpSurvPRV,INDEX(elecPRV,1,3)*allOnes,OFFSET(tPrcElec,0,8,1,_maxLT))</f>
        <v>12677.914088849522</v>
      </c>
      <c r="N120" s="13">
        <f ca="1">SUMPRODUCT(dFactor,tpSurvPRV,INDEX(elecPRV,1,3)*allOnes,OFFSET(tPrcElec,0,9,1,_maxLT))</f>
        <v>12757.824383298317</v>
      </c>
      <c r="O120" s="13">
        <f ca="1">SUMPRODUCT(dFactor,tpSurvPRV,INDEX(elecPRV,1,3)*allOnes,OFFSET(tPrcElec,0,10,1,_maxLT))</f>
        <v>12838.249145018812</v>
      </c>
      <c r="P120" s="13">
        <f ca="1">SUMPRODUCT(dFactor,tpSurvPRV,INDEX(elecPRV,1,3)*allOnes,OFFSET(tPrcElec,0,11,1,_maxLT))</f>
        <v>12919.191764791174</v>
      </c>
      <c r="Q120" s="13">
        <f ca="1">SUMPRODUCT(dFactor,tpSurvPRV,INDEX(elecPRV,1,3)*allOnes,OFFSET(tPrcElec,0,12,1,_maxLT))</f>
        <v>13000.655656304752</v>
      </c>
      <c r="R120" s="13">
        <f ca="1">SUMPRODUCT(dFactor,tpSurvPRV,INDEX(elecPRV,1,3)*allOnes,OFFSET(tPrcElec,0,13,1,_maxLT))</f>
        <v>13082.644256316711</v>
      </c>
      <c r="S120" s="13">
        <f ca="1">SUMPRODUCT(dFactor,tpSurvPRV,INDEX(elecPRV,1,3)*allOnes,OFFSET(tPrcElec,0,14,1,_maxLT))</f>
        <v>13165.161024811896</v>
      </c>
      <c r="T120" s="13">
        <f ca="1">SUMPRODUCT(dFactor,tpSurvPRV,INDEX(elecPRV,1,3)*allOnes,OFFSET(tPrcElec,0,15,1,_maxLT))</f>
        <v>13248.209445163771</v>
      </c>
      <c r="U120" s="13">
        <f ca="1">SUMPRODUCT(dFactor,tpSurvPRV,INDEX(elecPRV,1,3)*allOnes,OFFSET(tPrcElec,0,16,1,_maxLT))</f>
        <v>13331.793024296509</v>
      </c>
      <c r="V120" s="13">
        <f ca="1">SUMPRODUCT(dFactor,tpSurvPRV,INDEX(elecPRV,1,3)*allOnes,OFFSET(tPrcElec,0,17,1,_maxLT))</f>
        <v>13415.915292848258</v>
      </c>
      <c r="W120" s="13">
        <f ca="1">SUMPRODUCT(dFactor,tpSurvPRV,INDEX(elecPRV,1,3)*allOnes,OFFSET(tPrcElec,0,18,1,_maxLT))</f>
        <v>13500.579805335516</v>
      </c>
      <c r="X120" s="13">
        <f ca="1">SUMPRODUCT(dFactor,tpSurvPRV,INDEX(elecPRV,1,3)*allOnes,OFFSET(tPrcElec,0,19,1,_maxLT))</f>
        <v>13585.790140318724</v>
      </c>
      <c r="Y120" s="13">
        <f ca="1">SUMPRODUCT(dFactor,tpSurvPRV,INDEX(elecPRV,1,3)*allOnes,OFFSET(tPrcElec,0,20,1,_maxLT))</f>
        <v>13671.549900568985</v>
      </c>
      <c r="Z120" s="13">
        <f ca="1">SUMPRODUCT(dFactor,tpSurvPRV,INDEX(elecPRV,1,3)*allOnes,OFFSET(tPrcElec,0,21,1,_maxLT))</f>
        <v>13757.862713236014</v>
      </c>
      <c r="AA120" s="13">
        <f ca="1">SUMPRODUCT(dFactor,tpSurvPRV,INDEX(elecPRV,1,3)*allOnes,OFFSET(tPrcElec,0,22,1,_maxLT))</f>
        <v>13844.732230017311</v>
      </c>
      <c r="AB120" s="13">
        <f ca="1">SUMPRODUCT(dFactor,tpSurvPRV,INDEX(elecPRV,1,3)*allOnes,OFFSET(tPrcElec,0,23,1,_maxLT))</f>
        <v>13932.162127328382</v>
      </c>
      <c r="AC120" s="13">
        <f ca="1">SUMPRODUCT(dFactor,tpSurvPRV,INDEX(elecPRV,1,3)*allOnes,OFFSET(tPrcElec,0,24,1,_maxLT))</f>
        <v>14020.156106474325</v>
      </c>
      <c r="AD120" s="13">
        <f ca="1">SUMPRODUCT(dFactor,tpSurvPRV,INDEX(elecPRV,1,3)*allOnes,OFFSET(tPrcElec,0,25,1,_maxLT))</f>
        <v>14108.717893822657</v>
      </c>
      <c r="AE120" s="13">
        <f ca="1">SUMPRODUCT(dFactor,tpSurvPRV,INDEX(elecPRV,1,3)*allOnes,OFFSET(tPrcElec,0,26,1,_maxLT))</f>
        <v>14197.851240977152</v>
      </c>
      <c r="AF120" s="13">
        <f ca="1">SUMPRODUCT(dFactor,tpSurvPRV,INDEX(elecPRV,1,3)*allOnes,OFFSET(tPrcElec,0,27,1,_maxLT))</f>
        <v>14287.559924953199</v>
      </c>
      <c r="AG120" s="13">
        <f ca="1">SUMPRODUCT(dFactor,tpSurvPRV,INDEX(elecPRV,1,3)*allOnes,OFFSET(tPrcElec,0,28,1,_maxLT))</f>
        <v>14377.847748354172</v>
      </c>
      <c r="AH120" s="13">
        <f ca="1">SUMPRODUCT(dFactor,tpSurvPRV,INDEX(elecPRV,1,3)*allOnes,OFFSET(tPrcElec,0,29,1,_maxLT))</f>
        <v>14468.718539549203</v>
      </c>
      <c r="AI120" s="13">
        <f ca="1">SUMPRODUCT(dFactor,tpSurvPRV,INDEX(elecPRV,1,3)*allOnes,OFFSET(tPrcElec,0,30,1,_maxLT))</f>
        <v>14560.176152852144</v>
      </c>
      <c r="AJ120" s="13">
        <f ca="1">SUMPRODUCT(dFactor,tpSurvPRV,INDEX(elecPRV,1,3)*allOnes,OFFSET(tPrcElec,0,31,1,_maxLT))</f>
        <v>14652.224468701816</v>
      </c>
      <c r="AK120" s="13">
        <f ca="1">SUMPRODUCT(dFactor,tpSurvPRV,INDEX(elecPRV,1,3)*allOnes,OFFSET(tPrcElec,0,32,1,_maxLT))</f>
        <v>14744.86739384358</v>
      </c>
      <c r="AL120" s="56">
        <f ca="1">SUMPRODUCT(dFactor,tpSurvPRV,INDEX(elecPRV,1,3)*allOnes,OFFSET(tPrcElec,0,33,1,_maxLT))</f>
        <v>14838.108861512163</v>
      </c>
      <c r="AM120" s="10"/>
    </row>
    <row r="121" spans="2:39" ht="15">
      <c r="B121" s="10"/>
      <c r="C121" s="16" t="s">
        <v>79</v>
      </c>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5"/>
      <c r="AM121" s="10"/>
    </row>
    <row r="122" spans="2:39" ht="15">
      <c r="B122" s="10"/>
      <c r="C122" s="28" t="str">
        <f>INDEX(_fuel,1)</f>
        <v>Electricity</v>
      </c>
      <c r="D122" s="12" t="s">
        <v>83</v>
      </c>
      <c r="E122" s="39">
        <f ca="1">SUMPRODUCT(OFFSET(tConvElecPRV,0,0,1,_maxLT),INDEX(elecPRV,1,3)*allOnes,tpSurvPRV)</f>
        <v>2541.1928889245009</v>
      </c>
      <c r="F122" s="39">
        <f ca="1">SUMPRODUCT(OFFSET(tConvElecPRV,0,1,1,_maxLT),INDEX(elecPRV,1,3)*allOnes,tpSurvPRV)</f>
        <v>2524.3824181257874</v>
      </c>
      <c r="G122" s="39">
        <f ca="1">SUMPRODUCT(OFFSET(tConvElecPRV,0,2,1,_maxLT),INDEX(elecPRV,1,3)*allOnes,tpSurvPRV)</f>
        <v>2509.5455542592886</v>
      </c>
      <c r="H122" s="39">
        <f ca="1">SUMPRODUCT(OFFSET(tConvElecPRV,0,3,1,_maxLT),INDEX(elecPRV,1,3)*allOnes,tpSurvPRV)</f>
        <v>2495.4436303936477</v>
      </c>
      <c r="I122" s="39">
        <f ca="1">SUMPRODUCT(OFFSET(tConvElecPRV,0,4,1,_maxLT),INDEX(elecPRV,1,3)*allOnes,tpSurvPRV)</f>
        <v>2483.0895636465325</v>
      </c>
      <c r="J122" s="39">
        <f ca="1">SUMPRODUCT(OFFSET(tConvElecPRV,0,5,1,_maxLT),INDEX(elecPRV,1,3)*allOnes,tpSurvPRV)</f>
        <v>2473.4506723284094</v>
      </c>
      <c r="K122" s="39">
        <f ca="1">SUMPRODUCT(OFFSET(tConvElecPRV,0,6,1,_maxLT),INDEX(elecPRV,1,3)*allOnes,tpSurvPRV)</f>
        <v>2465.3979452371741</v>
      </c>
      <c r="L122" s="39">
        <f ca="1">SUMPRODUCT(OFFSET(tConvElecPRV,0,7,1,_maxLT),INDEX(elecPRV,1,3)*allOnes,tpSurvPRV)</f>
        <v>2457.2925902326392</v>
      </c>
      <c r="M122" s="39">
        <f ca="1">SUMPRODUCT(OFFSET(tConvElecPRV,0,8,1,_maxLT),INDEX(elecPRV,1,3)*allOnes,tpSurvPRV)</f>
        <v>2450.7565802424324</v>
      </c>
      <c r="N122" s="39">
        <f ca="1">SUMPRODUCT(OFFSET(tConvElecPRV,0,9,1,_maxLT),INDEX(elecPRV,1,3)*allOnes,tpSurvPRV)</f>
        <v>2446.1790789288825</v>
      </c>
      <c r="O122" s="39">
        <f ca="1">SUMPRODUCT(OFFSET(tConvElecPRV,0,10,1,_maxLT),INDEX(elecPRV,1,3)*allOnes,tpSurvPRV)</f>
        <v>2442.7900465250796</v>
      </c>
      <c r="P122" s="39">
        <f ca="1">SUMPRODUCT(OFFSET(tConvElecPRV,0,11,1,_maxLT),INDEX(elecPRV,1,3)*allOnes,tpSurvPRV)</f>
        <v>2439.9051557015332</v>
      </c>
      <c r="Q122" s="39">
        <f ca="1">SUMPRODUCT(OFFSET(tConvElecPRV,0,12,1,_maxLT),INDEX(elecPRV,1,3)*allOnes,tpSurvPRV)</f>
        <v>2437.74425805188</v>
      </c>
      <c r="R122" s="39">
        <f ca="1">SUMPRODUCT(OFFSET(tConvElecPRV,0,13,1,_maxLT),INDEX(elecPRV,1,3)*allOnes,tpSurvPRV)</f>
        <v>2436.066414641843</v>
      </c>
      <c r="S122" s="39">
        <f ca="1">SUMPRODUCT(OFFSET(tConvElecPRV,0,14,1,_maxLT),INDEX(elecPRV,1,3)*allOnes,tpSurvPRV)</f>
        <v>2435.7425581252783</v>
      </c>
      <c r="T122" s="39">
        <f ca="1">SUMPRODUCT(OFFSET(tConvElecPRV,0,15,1,_maxLT),INDEX(elecPRV,1,3)*allOnes,tpSurvPRV)</f>
        <v>2436.0347506290245</v>
      </c>
      <c r="U122" s="39">
        <f ca="1">SUMPRODUCT(OFFSET(tConvElecPRV,0,16,1,_maxLT),INDEX(elecPRV,1,3)*allOnes,tpSurvPRV)</f>
        <v>2436.5298594734786</v>
      </c>
      <c r="V122" s="39">
        <f ca="1">SUMPRODUCT(OFFSET(tConvElecPRV,0,17,1,_maxLT),INDEX(elecPRV,1,3)*allOnes,tpSurvPRV)</f>
        <v>2437.2845716684096</v>
      </c>
      <c r="W122" s="39">
        <f ca="1">SUMPRODUCT(OFFSET(tConvElecPRV,0,18,1,_maxLT),INDEX(elecPRV,1,3)*allOnes,tpSurvPRV)</f>
        <v>2438.0073637033342</v>
      </c>
      <c r="X122" s="39">
        <f ca="1">SUMPRODUCT(OFFSET(tConvElecPRV,0,19,1,_maxLT),INDEX(elecPRV,1,3)*allOnes,tpSurvPRV)</f>
        <v>2438.6063523097914</v>
      </c>
      <c r="Y122" s="39">
        <f ca="1">SUMPRODUCT(OFFSET(tConvElecPRV,0,20,1,_maxLT),INDEX(elecPRV,1,3)*allOnes,tpSurvPRV)</f>
        <v>2439.007956787188</v>
      </c>
      <c r="Z122" s="39">
        <f ca="1">SUMPRODUCT(OFFSET(tConvElecPRV,0,21,1,_maxLT),INDEX(elecPRV,1,3)*allOnes,tpSurvPRV)</f>
        <v>2439.2847998048474</v>
      </c>
      <c r="AA122" s="39">
        <f ca="1">SUMPRODUCT(OFFSET(tConvElecPRV,0,22,1,_maxLT),INDEX(elecPRV,1,3)*allOnes,tpSurvPRV)</f>
        <v>2439.2847998048474</v>
      </c>
      <c r="AB122" s="39">
        <f ca="1">SUMPRODUCT(OFFSET(tConvElecPRV,0,23,1,_maxLT),INDEX(elecPRV,1,3)*allOnes,tpSurvPRV)</f>
        <v>2439.2847998048474</v>
      </c>
      <c r="AC122" s="39">
        <f ca="1">SUMPRODUCT(OFFSET(tConvElecPRV,0,24,1,_maxLT),INDEX(elecPRV,1,3)*allOnes,tpSurvPRV)</f>
        <v>2439.2847998048474</v>
      </c>
      <c r="AD122" s="39">
        <f ca="1">SUMPRODUCT(OFFSET(tConvElecPRV,0,25,1,_maxLT),INDEX(elecPRV,1,3)*allOnes,tpSurvPRV)</f>
        <v>2439.2847998048474</v>
      </c>
      <c r="AE122" s="39">
        <f ca="1">SUMPRODUCT(OFFSET(tConvElecPRV,0,26,1,_maxLT),INDEX(elecPRV,1,3)*allOnes,tpSurvPRV)</f>
        <v>2439.2847998048474</v>
      </c>
      <c r="AF122" s="39">
        <f ca="1">SUMPRODUCT(OFFSET(tConvElecPRV,0,27,1,_maxLT),INDEX(elecPRV,1,3)*allOnes,tpSurvPRV)</f>
        <v>2439.2847998048474</v>
      </c>
      <c r="AG122" s="39">
        <f ca="1">SUMPRODUCT(OFFSET(tConvElecPRV,0,28,1,_maxLT),INDEX(elecPRV,1,3)*allOnes,tpSurvPRV)</f>
        <v>2439.2847998048474</v>
      </c>
      <c r="AH122" s="39">
        <f ca="1">SUMPRODUCT(OFFSET(tConvElecPRV,0,29,1,_maxLT),INDEX(elecPRV,1,3)*allOnes,tpSurvPRV)</f>
        <v>2439.2847998048474</v>
      </c>
      <c r="AI122" s="39">
        <f ca="1">SUMPRODUCT(OFFSET(tConvElecPRV,0,30,1,_maxLT),INDEX(elecPRV,1,3)*allOnes,tpSurvPRV)</f>
        <v>2439.2847998048474</v>
      </c>
      <c r="AJ122" s="39">
        <f ca="1">SUMPRODUCT(OFFSET(tConvElecPRV,0,31,1,_maxLT),INDEX(elecPRV,1,3)*allOnes,tpSurvPRV)</f>
        <v>2439.2847998048474</v>
      </c>
      <c r="AK122" s="39">
        <f ca="1">SUMPRODUCT(OFFSET(tConvElecPRV,0,32,1,_maxLT),INDEX(elecPRV,1,3)*allOnes,tpSurvPRV)</f>
        <v>2439.2847998048474</v>
      </c>
      <c r="AL122" s="40">
        <f ca="1">SUMPRODUCT(OFFSET(tConvElecPRV,0,33,1,_maxLT),INDEX(elecPRV,1,3)*allOnes,tpSurvPRV)</f>
        <v>2439.2847998048474</v>
      </c>
      <c r="AM122" s="10"/>
    </row>
    <row r="123" spans="2:39" ht="15">
      <c r="B123" s="10"/>
      <c r="C123" s="57" t="str">
        <f>"EL 3: " &amp; INDEX(_doName,7,4)</f>
        <v>EL 3: EL 3</v>
      </c>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3"/>
      <c r="AM123" s="10"/>
    </row>
    <row r="124" spans="2:39" ht="15">
      <c r="B124" s="10"/>
      <c r="C124" s="16" t="s">
        <v>69</v>
      </c>
      <c r="D124" s="12" t="str">
        <f>_yearDol &amp; "$"</f>
        <v>2015$</v>
      </c>
      <c r="E124" s="13">
        <f t="array" ref="E124:AL124">INDEX(mspPRV,1,4)*tPIdxAll + INDEX(instPRV,1,4) + IF(bESav,SUMPRODUCT(dFactor,tpSurvPRV,INDEX(mrPRV,1,4)*allOnes),0)</f>
        <v>2909.62247263361</v>
      </c>
      <c r="F124" s="13">
        <v>2909.62247263361</v>
      </c>
      <c r="G124" s="13">
        <v>2909.62247263361</v>
      </c>
      <c r="H124" s="13">
        <v>2909.62247263361</v>
      </c>
      <c r="I124" s="13">
        <v>2909.62247263361</v>
      </c>
      <c r="J124" s="13">
        <v>2909.62247263361</v>
      </c>
      <c r="K124" s="13">
        <v>2909.62247263361</v>
      </c>
      <c r="L124" s="13">
        <v>2909.62247263361</v>
      </c>
      <c r="M124" s="13">
        <v>2909.62247263361</v>
      </c>
      <c r="N124" s="13">
        <v>2909.62247263361</v>
      </c>
      <c r="O124" s="13">
        <v>2909.62247263361</v>
      </c>
      <c r="P124" s="13">
        <v>2909.62247263361</v>
      </c>
      <c r="Q124" s="13">
        <v>2909.62247263361</v>
      </c>
      <c r="R124" s="13">
        <v>2909.62247263361</v>
      </c>
      <c r="S124" s="13">
        <v>2909.62247263361</v>
      </c>
      <c r="T124" s="13">
        <v>2909.62247263361</v>
      </c>
      <c r="U124" s="13">
        <v>2909.62247263361</v>
      </c>
      <c r="V124" s="13">
        <v>2909.62247263361</v>
      </c>
      <c r="W124" s="13">
        <v>2909.62247263361</v>
      </c>
      <c r="X124" s="13">
        <v>2909.62247263361</v>
      </c>
      <c r="Y124" s="13">
        <v>2909.62247263361</v>
      </c>
      <c r="Z124" s="13">
        <v>2909.62247263361</v>
      </c>
      <c r="AA124" s="13">
        <v>2909.62247263361</v>
      </c>
      <c r="AB124" s="13">
        <v>2909.62247263361</v>
      </c>
      <c r="AC124" s="13">
        <v>2909.62247263361</v>
      </c>
      <c r="AD124" s="13">
        <v>2909.62247263361</v>
      </c>
      <c r="AE124" s="13">
        <v>2909.62247263361</v>
      </c>
      <c r="AF124" s="13">
        <v>2909.62247263361</v>
      </c>
      <c r="AG124" s="13">
        <v>2909.62247263361</v>
      </c>
      <c r="AH124" s="13">
        <v>2909.62247263361</v>
      </c>
      <c r="AI124" s="13">
        <v>2909.62247263361</v>
      </c>
      <c r="AJ124" s="13">
        <v>2909.62247263361</v>
      </c>
      <c r="AK124" s="13">
        <v>2909.62247263361</v>
      </c>
      <c r="AL124" s="56">
        <v>2909.62247263361</v>
      </c>
      <c r="AM124" s="10"/>
    </row>
    <row r="125" spans="2:39" ht="15">
      <c r="B125" s="10"/>
      <c r="C125" s="16" t="str">
        <f>zEO&amp;" Costs"</f>
        <v>Operating Costs</v>
      </c>
      <c r="D125" s="12" t="str">
        <f>_yearDol &amp; "$"</f>
        <v>2015$</v>
      </c>
      <c r="E125" s="13">
        <f t="array" aca="1" ref="E125:AL125" ca="1">(tlccEFuElecbc3) + IF(bOSav,SUMPRODUCT(dFactor,tpSurvPRV,INDEX(mrPRV,1,4)*allOnes),0)</f>
        <v>12279.434285803163</v>
      </c>
      <c r="F125" s="13">
        <f ca="1"/>
        <v>12379.072684795203</v>
      </c>
      <c r="G125" s="13">
        <f ca="1"/>
        <v>12475.726218675965</v>
      </c>
      <c r="H125" s="13">
        <f ca="1"/>
        <v>12562.935105839502</v>
      </c>
      <c r="I125" s="13">
        <f ca="1"/>
        <v>12642.067756862796</v>
      </c>
      <c r="J125" s="13">
        <f ca="1"/>
        <v>12721.709482895025</v>
      </c>
      <c r="K125" s="13">
        <f ca="1"/>
        <v>12801.863636423761</v>
      </c>
      <c r="L125" s="13">
        <f ca="1"/>
        <v>12882.533592567817</v>
      </c>
      <c r="M125" s="13">
        <f ca="1"/>
        <v>12963.722749233897</v>
      </c>
      <c r="N125" s="13">
        <f ca="1"/>
        <v>13045.434527274334</v>
      </c>
      <c r="O125" s="13">
        <f ca="1"/>
        <v>13127.672370645954</v>
      </c>
      <c r="P125" s="13">
        <f ca="1"/>
        <v>13210.439746570082</v>
      </c>
      <c r="Q125" s="13">
        <f ca="1"/>
        <v>13293.740145693664</v>
      </c>
      <c r="R125" s="13">
        <f ca="1"/>
        <v>13377.577082251517</v>
      </c>
      <c r="S125" s="13">
        <f ca="1"/>
        <v>13461.954094229781</v>
      </c>
      <c r="T125" s="13">
        <f ca="1"/>
        <v>13546.874743530481</v>
      </c>
      <c r="U125" s="13">
        <f ca="1"/>
        <v>13632.342616137263</v>
      </c>
      <c r="V125" s="13">
        <f ca="1"/>
        <v>13718.361322282362</v>
      </c>
      <c r="W125" s="13">
        <f ca="1"/>
        <v>13804.934496614656</v>
      </c>
      <c r="X125" s="13">
        <f ca="1"/>
        <v>13892.065798369027</v>
      </c>
      <c r="Y125" s="13">
        <f ca="1"/>
        <v>13979.758911536837</v>
      </c>
      <c r="Z125" s="13">
        <f ca="1"/>
        <v>14068.017545037601</v>
      </c>
      <c r="AA125" s="13">
        <f ca="1"/>
        <v>14156.845432892052</v>
      </c>
      <c r="AB125" s="13">
        <f ca="1"/>
        <v>14246.246334396141</v>
      </c>
      <c r="AC125" s="13">
        <f ca="1"/>
        <v>14336.224034296578</v>
      </c>
      <c r="AD125" s="13">
        <f ca="1"/>
        <v>14426.782342967406</v>
      </c>
      <c r="AE125" s="13">
        <f ca="1"/>
        <v>14517.925096587929</v>
      </c>
      <c r="AF125" s="13">
        <f ca="1"/>
        <v>14609.656157321871</v>
      </c>
      <c r="AG125" s="13">
        <f ca="1"/>
        <v>14701.979413497867</v>
      </c>
      <c r="AH125" s="13">
        <f ca="1"/>
        <v>14794.898779791092</v>
      </c>
      <c r="AI125" s="13">
        <f ca="1"/>
        <v>14888.418197406378</v>
      </c>
      <c r="AJ125" s="13">
        <f ca="1"/>
        <v>14982.541634262498</v>
      </c>
      <c r="AK125" s="13">
        <f ca="1"/>
        <v>15077.273085177778</v>
      </c>
      <c r="AL125" s="56">
        <f ca="1"/>
        <v>15172.616572057084</v>
      </c>
      <c r="AM125" s="10"/>
    </row>
    <row r="126" spans="2:39" ht="15">
      <c r="B126" s="10"/>
      <c r="C126" s="28" t="str">
        <f>INDEX(_fuel,1)</f>
        <v>Electricity</v>
      </c>
      <c r="D126" s="12" t="str">
        <f>_yearDol &amp; "$"</f>
        <v>2015$</v>
      </c>
      <c r="E126" s="13">
        <f ca="1">SUMPRODUCT(dFactor,tpSurvPRV,INDEX(elecPRV,1,4)*allOnes,OFFSET(tPrcElec,0,0,1,_maxLT))</f>
        <v>12279.434285803163</v>
      </c>
      <c r="F126" s="13">
        <f ca="1">SUMPRODUCT(dFactor,tpSurvPRV,INDEX(elecPRV,1,4)*allOnes,OFFSET(tPrcElec,0,1,1,_maxLT))</f>
        <v>12379.072684795203</v>
      </c>
      <c r="G126" s="13">
        <f ca="1">SUMPRODUCT(dFactor,tpSurvPRV,INDEX(elecPRV,1,4)*allOnes,OFFSET(tPrcElec,0,2,1,_maxLT))</f>
        <v>12475.726218675965</v>
      </c>
      <c r="H126" s="13">
        <f ca="1">SUMPRODUCT(dFactor,tpSurvPRV,INDEX(elecPRV,1,4)*allOnes,OFFSET(tPrcElec,0,3,1,_maxLT))</f>
        <v>12562.935105839502</v>
      </c>
      <c r="I126" s="13">
        <f ca="1">SUMPRODUCT(dFactor,tpSurvPRV,INDEX(elecPRV,1,4)*allOnes,OFFSET(tPrcElec,0,4,1,_maxLT))</f>
        <v>12642.067756862796</v>
      </c>
      <c r="J126" s="13">
        <f ca="1">SUMPRODUCT(dFactor,tpSurvPRV,INDEX(elecPRV,1,4)*allOnes,OFFSET(tPrcElec,0,5,1,_maxLT))</f>
        <v>12721.709482895025</v>
      </c>
      <c r="K126" s="13">
        <f ca="1">SUMPRODUCT(dFactor,tpSurvPRV,INDEX(elecPRV,1,4)*allOnes,OFFSET(tPrcElec,0,6,1,_maxLT))</f>
        <v>12801.863636423761</v>
      </c>
      <c r="L126" s="13">
        <f ca="1">SUMPRODUCT(dFactor,tpSurvPRV,INDEX(elecPRV,1,4)*allOnes,OFFSET(tPrcElec,0,7,1,_maxLT))</f>
        <v>12882.533592567817</v>
      </c>
      <c r="M126" s="13">
        <f ca="1">SUMPRODUCT(dFactor,tpSurvPRV,INDEX(elecPRV,1,4)*allOnes,OFFSET(tPrcElec,0,8,1,_maxLT))</f>
        <v>12963.722749233897</v>
      </c>
      <c r="N126" s="13">
        <f ca="1">SUMPRODUCT(dFactor,tpSurvPRV,INDEX(elecPRV,1,4)*allOnes,OFFSET(tPrcElec,0,9,1,_maxLT))</f>
        <v>13045.434527274334</v>
      </c>
      <c r="O126" s="13">
        <f ca="1">SUMPRODUCT(dFactor,tpSurvPRV,INDEX(elecPRV,1,4)*allOnes,OFFSET(tPrcElec,0,10,1,_maxLT))</f>
        <v>13127.672370645954</v>
      </c>
      <c r="P126" s="13">
        <f ca="1">SUMPRODUCT(dFactor,tpSurvPRV,INDEX(elecPRV,1,4)*allOnes,OFFSET(tPrcElec,0,11,1,_maxLT))</f>
        <v>13210.439746570082</v>
      </c>
      <c r="Q126" s="13">
        <f ca="1">SUMPRODUCT(dFactor,tpSurvPRV,INDEX(elecPRV,1,4)*allOnes,OFFSET(tPrcElec,0,12,1,_maxLT))</f>
        <v>13293.740145693664</v>
      </c>
      <c r="R126" s="13">
        <f ca="1">SUMPRODUCT(dFactor,tpSurvPRV,INDEX(elecPRV,1,4)*allOnes,OFFSET(tPrcElec,0,13,1,_maxLT))</f>
        <v>13377.577082251517</v>
      </c>
      <c r="S126" s="13">
        <f ca="1">SUMPRODUCT(dFactor,tpSurvPRV,INDEX(elecPRV,1,4)*allOnes,OFFSET(tPrcElec,0,14,1,_maxLT))</f>
        <v>13461.954094229781</v>
      </c>
      <c r="T126" s="13">
        <f ca="1">SUMPRODUCT(dFactor,tpSurvPRV,INDEX(elecPRV,1,4)*allOnes,OFFSET(tPrcElec,0,15,1,_maxLT))</f>
        <v>13546.874743530481</v>
      </c>
      <c r="U126" s="13">
        <f ca="1">SUMPRODUCT(dFactor,tpSurvPRV,INDEX(elecPRV,1,4)*allOnes,OFFSET(tPrcElec,0,16,1,_maxLT))</f>
        <v>13632.342616137263</v>
      </c>
      <c r="V126" s="13">
        <f ca="1">SUMPRODUCT(dFactor,tpSurvPRV,INDEX(elecPRV,1,4)*allOnes,OFFSET(tPrcElec,0,17,1,_maxLT))</f>
        <v>13718.361322282362</v>
      </c>
      <c r="W126" s="13">
        <f ca="1">SUMPRODUCT(dFactor,tpSurvPRV,INDEX(elecPRV,1,4)*allOnes,OFFSET(tPrcElec,0,18,1,_maxLT))</f>
        <v>13804.934496614656</v>
      </c>
      <c r="X126" s="13">
        <f ca="1">SUMPRODUCT(dFactor,tpSurvPRV,INDEX(elecPRV,1,4)*allOnes,OFFSET(tPrcElec,0,19,1,_maxLT))</f>
        <v>13892.065798369027</v>
      </c>
      <c r="Y126" s="13">
        <f ca="1">SUMPRODUCT(dFactor,tpSurvPRV,INDEX(elecPRV,1,4)*allOnes,OFFSET(tPrcElec,0,20,1,_maxLT))</f>
        <v>13979.758911536837</v>
      </c>
      <c r="Z126" s="13">
        <f ca="1">SUMPRODUCT(dFactor,tpSurvPRV,INDEX(elecPRV,1,4)*allOnes,OFFSET(tPrcElec,0,21,1,_maxLT))</f>
        <v>14068.017545037601</v>
      </c>
      <c r="AA126" s="13">
        <f ca="1">SUMPRODUCT(dFactor,tpSurvPRV,INDEX(elecPRV,1,4)*allOnes,OFFSET(tPrcElec,0,22,1,_maxLT))</f>
        <v>14156.845432892052</v>
      </c>
      <c r="AB126" s="13">
        <f ca="1">SUMPRODUCT(dFactor,tpSurvPRV,INDEX(elecPRV,1,4)*allOnes,OFFSET(tPrcElec,0,23,1,_maxLT))</f>
        <v>14246.246334396141</v>
      </c>
      <c r="AC126" s="13">
        <f ca="1">SUMPRODUCT(dFactor,tpSurvPRV,INDEX(elecPRV,1,4)*allOnes,OFFSET(tPrcElec,0,24,1,_maxLT))</f>
        <v>14336.224034296578</v>
      </c>
      <c r="AD126" s="13">
        <f ca="1">SUMPRODUCT(dFactor,tpSurvPRV,INDEX(elecPRV,1,4)*allOnes,OFFSET(tPrcElec,0,25,1,_maxLT))</f>
        <v>14426.782342967406</v>
      </c>
      <c r="AE126" s="13">
        <f ca="1">SUMPRODUCT(dFactor,tpSurvPRV,INDEX(elecPRV,1,4)*allOnes,OFFSET(tPrcElec,0,26,1,_maxLT))</f>
        <v>14517.925096587929</v>
      </c>
      <c r="AF126" s="13">
        <f ca="1">SUMPRODUCT(dFactor,tpSurvPRV,INDEX(elecPRV,1,4)*allOnes,OFFSET(tPrcElec,0,27,1,_maxLT))</f>
        <v>14609.656157321871</v>
      </c>
      <c r="AG126" s="13">
        <f ca="1">SUMPRODUCT(dFactor,tpSurvPRV,INDEX(elecPRV,1,4)*allOnes,OFFSET(tPrcElec,0,28,1,_maxLT))</f>
        <v>14701.979413497867</v>
      </c>
      <c r="AH126" s="13">
        <f ca="1">SUMPRODUCT(dFactor,tpSurvPRV,INDEX(elecPRV,1,4)*allOnes,OFFSET(tPrcElec,0,29,1,_maxLT))</f>
        <v>14794.898779791092</v>
      </c>
      <c r="AI126" s="13">
        <f ca="1">SUMPRODUCT(dFactor,tpSurvPRV,INDEX(elecPRV,1,4)*allOnes,OFFSET(tPrcElec,0,30,1,_maxLT))</f>
        <v>14888.418197406378</v>
      </c>
      <c r="AJ126" s="13">
        <f ca="1">SUMPRODUCT(dFactor,tpSurvPRV,INDEX(elecPRV,1,4)*allOnes,OFFSET(tPrcElec,0,31,1,_maxLT))</f>
        <v>14982.541634262498</v>
      </c>
      <c r="AK126" s="13">
        <f ca="1">SUMPRODUCT(dFactor,tpSurvPRV,INDEX(elecPRV,1,4)*allOnes,OFFSET(tPrcElec,0,32,1,_maxLT))</f>
        <v>15077.273085177778</v>
      </c>
      <c r="AL126" s="56">
        <f ca="1">SUMPRODUCT(dFactor,tpSurvPRV,INDEX(elecPRV,1,4)*allOnes,OFFSET(tPrcElec,0,33,1,_maxLT))</f>
        <v>15172.616572057084</v>
      </c>
      <c r="AM126" s="10"/>
    </row>
    <row r="127" spans="2:39" ht="15">
      <c r="B127" s="10"/>
      <c r="C127" s="16" t="s">
        <v>79</v>
      </c>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5"/>
      <c r="AM127" s="10"/>
    </row>
    <row r="128" spans="2:39" ht="15">
      <c r="B128" s="10"/>
      <c r="C128" s="28" t="str">
        <f>INDEX(_fuel,1)</f>
        <v>Electricity</v>
      </c>
      <c r="D128" s="12" t="s">
        <v>83</v>
      </c>
      <c r="E128" s="39">
        <f ca="1">SUMPRODUCT(OFFSET(tConvElecPRV,0,0,1,_maxLT),INDEX(elecPRV,1,4)*allOnes,tpSurvPRV)</f>
        <v>2598.4810934565517</v>
      </c>
      <c r="F128" s="39">
        <f ca="1">SUMPRODUCT(OFFSET(tConvElecPRV,0,1,1,_maxLT),INDEX(elecPRV,1,4)*allOnes,tpSurvPRV)</f>
        <v>2581.2916503674642</v>
      </c>
      <c r="G128" s="39">
        <f ca="1">SUMPRODUCT(OFFSET(tConvElecPRV,0,2,1,_maxLT),INDEX(elecPRV,1,4)*allOnes,tpSurvPRV)</f>
        <v>2566.1203068573691</v>
      </c>
      <c r="H128" s="39">
        <f ca="1">SUMPRODUCT(OFFSET(tConvElecPRV,0,3,1,_maxLT),INDEX(elecPRV,1,4)*allOnes,tpSurvPRV)</f>
        <v>2551.7004717059572</v>
      </c>
      <c r="I128" s="39">
        <f ca="1">SUMPRODUCT(OFFSET(tConvElecPRV,0,4,1,_maxLT),INDEX(elecPRV,1,4)*allOnes,tpSurvPRV)</f>
        <v>2539.0678970558424</v>
      </c>
      <c r="J128" s="39">
        <f ca="1">SUMPRODUCT(OFFSET(tConvElecPRV,0,5,1,_maxLT),INDEX(elecPRV,1,4)*allOnes,tpSurvPRV)</f>
        <v>2529.2117082709669</v>
      </c>
      <c r="K128" s="39">
        <f ca="1">SUMPRODUCT(OFFSET(tConvElecPRV,0,6,1,_maxLT),INDEX(elecPRV,1,4)*allOnes,tpSurvPRV)</f>
        <v>2520.9774419197029</v>
      </c>
      <c r="L128" s="39">
        <f ca="1">SUMPRODUCT(OFFSET(tConvElecPRV,0,7,1,_maxLT),INDEX(elecPRV,1,4)*allOnes,tpSurvPRV)</f>
        <v>2512.6893612207409</v>
      </c>
      <c r="M128" s="39">
        <f ca="1">SUMPRODUCT(OFFSET(tConvElecPRV,0,8,1,_maxLT),INDEX(elecPRV,1,4)*allOnes,tpSurvPRV)</f>
        <v>2506.0060045734672</v>
      </c>
      <c r="N128" s="39">
        <f ca="1">SUMPRODUCT(OFFSET(tConvElecPRV,0,9,1,_maxLT),INDEX(elecPRV,1,4)*allOnes,tpSurvPRV)</f>
        <v>2501.3253088772167</v>
      </c>
      <c r="O128" s="39">
        <f ca="1">SUMPRODUCT(OFFSET(tConvElecPRV,0,10,1,_maxLT),INDEX(elecPRV,1,4)*allOnes,tpSurvPRV)</f>
        <v>2497.8598747243132</v>
      </c>
      <c r="P128" s="39">
        <f ca="1">SUMPRODUCT(OFFSET(tConvElecPRV,0,11,1,_maxLT),INDEX(elecPRV,1,4)*allOnes,tpSurvPRV)</f>
        <v>2494.9099474305831</v>
      </c>
      <c r="Q128" s="39">
        <f ca="1">SUMPRODUCT(OFFSET(tConvElecPRV,0,12,1,_maxLT),INDEX(elecPRV,1,4)*allOnes,tpSurvPRV)</f>
        <v>2492.700334885234</v>
      </c>
      <c r="R128" s="39">
        <f ca="1">SUMPRODUCT(OFFSET(tConvElecPRV,0,13,1,_maxLT),INDEX(elecPRV,1,4)*allOnes,tpSurvPRV)</f>
        <v>2490.9846664691277</v>
      </c>
      <c r="S128" s="39">
        <f ca="1">SUMPRODUCT(OFFSET(tConvElecPRV,0,14,1,_maxLT),INDEX(elecPRV,1,4)*allOnes,tpSurvPRV)</f>
        <v>2490.6535089883423</v>
      </c>
      <c r="T128" s="39">
        <f ca="1">SUMPRODUCT(OFFSET(tConvElecPRV,0,15,1,_maxLT),INDEX(elecPRV,1,4)*allOnes,tpSurvPRV)</f>
        <v>2490.9522886283862</v>
      </c>
      <c r="U128" s="39">
        <f ca="1">SUMPRODUCT(OFFSET(tConvElecPRV,0,16,1,_maxLT),INDEX(elecPRV,1,4)*allOnes,tpSurvPRV)</f>
        <v>2491.4585591193527</v>
      </c>
      <c r="V128" s="39">
        <f ca="1">SUMPRODUCT(OFFSET(tConvElecPRV,0,17,1,_maxLT),INDEX(elecPRV,1,4)*allOnes,tpSurvPRV)</f>
        <v>2492.2302854129675</v>
      </c>
      <c r="W128" s="39">
        <f ca="1">SUMPRODUCT(OFFSET(tConvElecPRV,0,18,1,_maxLT),INDEX(elecPRV,1,4)*allOnes,tpSurvPRV)</f>
        <v>2492.9693719441152</v>
      </c>
      <c r="X128" s="39">
        <f ca="1">SUMPRODUCT(OFFSET(tConvElecPRV,0,19,1,_maxLT),INDEX(elecPRV,1,4)*allOnes,tpSurvPRV)</f>
        <v>2493.581864044128</v>
      </c>
      <c r="Y128" s="39">
        <f ca="1">SUMPRODUCT(OFFSET(tConvElecPRV,0,20,1,_maxLT),INDEX(elecPRV,1,4)*allOnes,tpSurvPRV)</f>
        <v>2493.9925222220691</v>
      </c>
      <c r="Z128" s="39">
        <f ca="1">SUMPRODUCT(OFFSET(tConvElecPRV,0,21,1,_maxLT),INDEX(elecPRV,1,4)*allOnes,tpSurvPRV)</f>
        <v>2494.2756063399174</v>
      </c>
      <c r="AA128" s="39">
        <f ca="1">SUMPRODUCT(OFFSET(tConvElecPRV,0,22,1,_maxLT),INDEX(elecPRV,1,4)*allOnes,tpSurvPRV)</f>
        <v>2494.2756063399174</v>
      </c>
      <c r="AB128" s="39">
        <f ca="1">SUMPRODUCT(OFFSET(tConvElecPRV,0,23,1,_maxLT),INDEX(elecPRV,1,4)*allOnes,tpSurvPRV)</f>
        <v>2494.2756063399174</v>
      </c>
      <c r="AC128" s="39">
        <f ca="1">SUMPRODUCT(OFFSET(tConvElecPRV,0,24,1,_maxLT),INDEX(elecPRV,1,4)*allOnes,tpSurvPRV)</f>
        <v>2494.2756063399174</v>
      </c>
      <c r="AD128" s="39">
        <f ca="1">SUMPRODUCT(OFFSET(tConvElecPRV,0,25,1,_maxLT),INDEX(elecPRV,1,4)*allOnes,tpSurvPRV)</f>
        <v>2494.2756063399174</v>
      </c>
      <c r="AE128" s="39">
        <f ca="1">SUMPRODUCT(OFFSET(tConvElecPRV,0,26,1,_maxLT),INDEX(elecPRV,1,4)*allOnes,tpSurvPRV)</f>
        <v>2494.2756063399174</v>
      </c>
      <c r="AF128" s="39">
        <f ca="1">SUMPRODUCT(OFFSET(tConvElecPRV,0,27,1,_maxLT),INDEX(elecPRV,1,4)*allOnes,tpSurvPRV)</f>
        <v>2494.2756063399174</v>
      </c>
      <c r="AG128" s="39">
        <f ca="1">SUMPRODUCT(OFFSET(tConvElecPRV,0,28,1,_maxLT),INDEX(elecPRV,1,4)*allOnes,tpSurvPRV)</f>
        <v>2494.2756063399174</v>
      </c>
      <c r="AH128" s="39">
        <f ca="1">SUMPRODUCT(OFFSET(tConvElecPRV,0,29,1,_maxLT),INDEX(elecPRV,1,4)*allOnes,tpSurvPRV)</f>
        <v>2494.2756063399174</v>
      </c>
      <c r="AI128" s="39">
        <f ca="1">SUMPRODUCT(OFFSET(tConvElecPRV,0,30,1,_maxLT),INDEX(elecPRV,1,4)*allOnes,tpSurvPRV)</f>
        <v>2494.2756063399174</v>
      </c>
      <c r="AJ128" s="39">
        <f ca="1">SUMPRODUCT(OFFSET(tConvElecPRV,0,31,1,_maxLT),INDEX(elecPRV,1,4)*allOnes,tpSurvPRV)</f>
        <v>2494.2756063399174</v>
      </c>
      <c r="AK128" s="39">
        <f ca="1">SUMPRODUCT(OFFSET(tConvElecPRV,0,32,1,_maxLT),INDEX(elecPRV,1,4)*allOnes,tpSurvPRV)</f>
        <v>2494.2756063399174</v>
      </c>
      <c r="AL128" s="40">
        <f ca="1">SUMPRODUCT(OFFSET(tConvElecPRV,0,33,1,_maxLT),INDEX(elecPRV,1,4)*allOnes,tpSurvPRV)</f>
        <v>2494.2756063399174</v>
      </c>
      <c r="AM128" s="10"/>
    </row>
    <row r="129" spans="2:39" ht="15">
      <c r="B129" s="10"/>
      <c r="C129" s="57" t="str">
        <f>"EL 4: " &amp; INDEX(_doName,7,5)</f>
        <v>EL 4: EL 4</v>
      </c>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3"/>
      <c r="AM129" s="10"/>
    </row>
    <row r="130" spans="2:39" ht="15">
      <c r="B130" s="10"/>
      <c r="C130" s="16" t="s">
        <v>69</v>
      </c>
      <c r="D130" s="12" t="str">
        <f>_yearDol &amp; "$"</f>
        <v>2015$</v>
      </c>
      <c r="E130" s="13">
        <f t="array" ref="E130:AL130">INDEX(mspPRV,1,5)*tPIdxAll + INDEX(instPRV,1,5) + IF(bESav,SUMPRODUCT(dFactor,tpSurvPRV,INDEX(mrPRV,1,5)*allOnes),0)</f>
        <v>2708.7549765990698</v>
      </c>
      <c r="F130" s="13">
        <v>2708.7549765990698</v>
      </c>
      <c r="G130" s="13">
        <v>2708.7549765990698</v>
      </c>
      <c r="H130" s="13">
        <v>2708.7549765990698</v>
      </c>
      <c r="I130" s="13">
        <v>2708.7549765990698</v>
      </c>
      <c r="J130" s="13">
        <v>2708.7549765990698</v>
      </c>
      <c r="K130" s="13">
        <v>2708.7549765990698</v>
      </c>
      <c r="L130" s="13">
        <v>2708.7549765990698</v>
      </c>
      <c r="M130" s="13">
        <v>2708.7549765990698</v>
      </c>
      <c r="N130" s="13">
        <v>2708.7549765990698</v>
      </c>
      <c r="O130" s="13">
        <v>2708.7549765990698</v>
      </c>
      <c r="P130" s="13">
        <v>2708.7549765990698</v>
      </c>
      <c r="Q130" s="13">
        <v>2708.7549765990698</v>
      </c>
      <c r="R130" s="13">
        <v>2708.7549765990698</v>
      </c>
      <c r="S130" s="13">
        <v>2708.7549765990698</v>
      </c>
      <c r="T130" s="13">
        <v>2708.7549765990698</v>
      </c>
      <c r="U130" s="13">
        <v>2708.7549765990698</v>
      </c>
      <c r="V130" s="13">
        <v>2708.7549765990698</v>
      </c>
      <c r="W130" s="13">
        <v>2708.7549765990698</v>
      </c>
      <c r="X130" s="13">
        <v>2708.7549765990698</v>
      </c>
      <c r="Y130" s="13">
        <v>2708.7549765990698</v>
      </c>
      <c r="Z130" s="13">
        <v>2708.7549765990698</v>
      </c>
      <c r="AA130" s="13">
        <v>2708.7549765990698</v>
      </c>
      <c r="AB130" s="13">
        <v>2708.7549765990698</v>
      </c>
      <c r="AC130" s="13">
        <v>2708.7549765990698</v>
      </c>
      <c r="AD130" s="13">
        <v>2708.7549765990698</v>
      </c>
      <c r="AE130" s="13">
        <v>2708.7549765990698</v>
      </c>
      <c r="AF130" s="13">
        <v>2708.7549765990698</v>
      </c>
      <c r="AG130" s="13">
        <v>2708.7549765990698</v>
      </c>
      <c r="AH130" s="13">
        <v>2708.7549765990698</v>
      </c>
      <c r="AI130" s="13">
        <v>2708.7549765990698</v>
      </c>
      <c r="AJ130" s="13">
        <v>2708.7549765990698</v>
      </c>
      <c r="AK130" s="13">
        <v>2708.7549765990698</v>
      </c>
      <c r="AL130" s="56">
        <v>2708.7549765990698</v>
      </c>
      <c r="AM130" s="10"/>
    </row>
    <row r="131" spans="2:39" ht="15">
      <c r="B131" s="10"/>
      <c r="C131" s="16" t="str">
        <f>zEO&amp;" Costs"</f>
        <v>Operating Costs</v>
      </c>
      <c r="D131" s="12" t="str">
        <f>_yearDol &amp; "$"</f>
        <v>2015$</v>
      </c>
      <c r="E131" s="13">
        <f t="array" aca="1" ref="E131:AL131" ca="1">(tlccEFuElecbc4) + IF(bOSav,SUMPRODUCT(dFactor,tpSurvPRV,INDEX(mrPRV,1,5)*allOnes),0)</f>
        <v>10396.342907022934</v>
      </c>
      <c r="F131" s="13">
        <f ca="1"/>
        <v>10480.701431896161</v>
      </c>
      <c r="G131" s="13">
        <f ca="1"/>
        <v>10562.53283047791</v>
      </c>
      <c r="H131" s="13">
        <f ca="1"/>
        <v>10636.367949783064</v>
      </c>
      <c r="I131" s="13">
        <f ca="1"/>
        <v>10703.365350154432</v>
      </c>
      <c r="J131" s="13">
        <f ca="1"/>
        <v>10770.793757218396</v>
      </c>
      <c r="K131" s="13">
        <f ca="1"/>
        <v>10838.656009347573</v>
      </c>
      <c r="L131" s="13">
        <f ca="1"/>
        <v>10906.954964075296</v>
      </c>
      <c r="M131" s="13">
        <f ca="1"/>
        <v>10975.693498228162</v>
      </c>
      <c r="N131" s="13">
        <f ca="1"/>
        <v>11044.874508059625</v>
      </c>
      <c r="O131" s="13">
        <f ca="1"/>
        <v>11114.500909384466</v>
      </c>
      <c r="P131" s="13">
        <f ca="1"/>
        <v>11184.57563771431</v>
      </c>
      <c r="Q131" s="13">
        <f ca="1"/>
        <v>11255.101648393957</v>
      </c>
      <c r="R131" s="13">
        <f ca="1"/>
        <v>11326.081916738856</v>
      </c>
      <c r="S131" s="13">
        <f ca="1"/>
        <v>11397.519438173387</v>
      </c>
      <c r="T131" s="13">
        <f ca="1"/>
        <v>11469.417228370272</v>
      </c>
      <c r="U131" s="13">
        <f ca="1"/>
        <v>11541.778323390847</v>
      </c>
      <c r="V131" s="13">
        <f ca="1"/>
        <v>11614.605779826417</v>
      </c>
      <c r="W131" s="13">
        <f ca="1"/>
        <v>11687.902674940608</v>
      </c>
      <c r="X131" s="13">
        <f ca="1"/>
        <v>11761.672106812646</v>
      </c>
      <c r="Y131" s="13">
        <f ca="1"/>
        <v>11835.917194481779</v>
      </c>
      <c r="Z131" s="13">
        <f ca="1"/>
        <v>11910.641078092622</v>
      </c>
      <c r="AA131" s="13">
        <f ca="1"/>
        <v>11985.846919041585</v>
      </c>
      <c r="AB131" s="13">
        <f ca="1"/>
        <v>12061.537900124325</v>
      </c>
      <c r="AC131" s="13">
        <f ca="1"/>
        <v>12137.717225684273</v>
      </c>
      <c r="AD131" s="13">
        <f ca="1"/>
        <v>12214.388121762146</v>
      </c>
      <c r="AE131" s="13">
        <f ca="1"/>
        <v>12291.553836246632</v>
      </c>
      <c r="AF131" s="13">
        <f ca="1"/>
        <v>12369.217639026019</v>
      </c>
      <c r="AG131" s="13">
        <f ca="1"/>
        <v>12447.382822141028</v>
      </c>
      <c r="AH131" s="13">
        <f ca="1"/>
        <v>12526.05269993862</v>
      </c>
      <c r="AI131" s="13">
        <f ca="1"/>
        <v>12605.23060922697</v>
      </c>
      <c r="AJ131" s="13">
        <f ca="1"/>
        <v>12684.919909431541</v>
      </c>
      <c r="AK131" s="13">
        <f ca="1"/>
        <v>12765.123982752228</v>
      </c>
      <c r="AL131" s="56">
        <f ca="1"/>
        <v>12845.846234321622</v>
      </c>
      <c r="AM131" s="10"/>
    </row>
    <row r="132" spans="2:39" ht="15">
      <c r="B132" s="10"/>
      <c r="C132" s="28" t="str">
        <f>INDEX(_fuel,1)</f>
        <v>Electricity</v>
      </c>
      <c r="D132" s="12" t="str">
        <f>_yearDol &amp; "$"</f>
        <v>2015$</v>
      </c>
      <c r="E132" s="13">
        <f ca="1">SUMPRODUCT(dFactor,tpSurvPRV,INDEX(elecPRV,1,5)*allOnes,OFFSET(tPrcElec,0,0,1,_maxLT))</f>
        <v>10396.342907022934</v>
      </c>
      <c r="F132" s="13">
        <f ca="1">SUMPRODUCT(dFactor,tpSurvPRV,INDEX(elecPRV,1,5)*allOnes,OFFSET(tPrcElec,0,1,1,_maxLT))</f>
        <v>10480.701431896161</v>
      </c>
      <c r="G132" s="13">
        <f ca="1">SUMPRODUCT(dFactor,tpSurvPRV,INDEX(elecPRV,1,5)*allOnes,OFFSET(tPrcElec,0,2,1,_maxLT))</f>
        <v>10562.53283047791</v>
      </c>
      <c r="H132" s="13">
        <f ca="1">SUMPRODUCT(dFactor,tpSurvPRV,INDEX(elecPRV,1,5)*allOnes,OFFSET(tPrcElec,0,3,1,_maxLT))</f>
        <v>10636.367949783064</v>
      </c>
      <c r="I132" s="13">
        <f ca="1">SUMPRODUCT(dFactor,tpSurvPRV,INDEX(elecPRV,1,5)*allOnes,OFFSET(tPrcElec,0,4,1,_maxLT))</f>
        <v>10703.365350154432</v>
      </c>
      <c r="J132" s="13">
        <f ca="1">SUMPRODUCT(dFactor,tpSurvPRV,INDEX(elecPRV,1,5)*allOnes,OFFSET(tPrcElec,0,5,1,_maxLT))</f>
        <v>10770.793757218396</v>
      </c>
      <c r="K132" s="13">
        <f ca="1">SUMPRODUCT(dFactor,tpSurvPRV,INDEX(elecPRV,1,5)*allOnes,OFFSET(tPrcElec,0,6,1,_maxLT))</f>
        <v>10838.656009347573</v>
      </c>
      <c r="L132" s="13">
        <f ca="1">SUMPRODUCT(dFactor,tpSurvPRV,INDEX(elecPRV,1,5)*allOnes,OFFSET(tPrcElec,0,7,1,_maxLT))</f>
        <v>10906.954964075296</v>
      </c>
      <c r="M132" s="13">
        <f ca="1">SUMPRODUCT(dFactor,tpSurvPRV,INDEX(elecPRV,1,5)*allOnes,OFFSET(tPrcElec,0,8,1,_maxLT))</f>
        <v>10975.693498228162</v>
      </c>
      <c r="N132" s="13">
        <f ca="1">SUMPRODUCT(dFactor,tpSurvPRV,INDEX(elecPRV,1,5)*allOnes,OFFSET(tPrcElec,0,9,1,_maxLT))</f>
        <v>11044.874508059625</v>
      </c>
      <c r="O132" s="13">
        <f ca="1">SUMPRODUCT(dFactor,tpSurvPRV,INDEX(elecPRV,1,5)*allOnes,OFFSET(tPrcElec,0,10,1,_maxLT))</f>
        <v>11114.500909384466</v>
      </c>
      <c r="P132" s="13">
        <f ca="1">SUMPRODUCT(dFactor,tpSurvPRV,INDEX(elecPRV,1,5)*allOnes,OFFSET(tPrcElec,0,11,1,_maxLT))</f>
        <v>11184.57563771431</v>
      </c>
      <c r="Q132" s="13">
        <f ca="1">SUMPRODUCT(dFactor,tpSurvPRV,INDEX(elecPRV,1,5)*allOnes,OFFSET(tPrcElec,0,12,1,_maxLT))</f>
        <v>11255.101648393957</v>
      </c>
      <c r="R132" s="13">
        <f ca="1">SUMPRODUCT(dFactor,tpSurvPRV,INDEX(elecPRV,1,5)*allOnes,OFFSET(tPrcElec,0,13,1,_maxLT))</f>
        <v>11326.081916738856</v>
      </c>
      <c r="S132" s="13">
        <f ca="1">SUMPRODUCT(dFactor,tpSurvPRV,INDEX(elecPRV,1,5)*allOnes,OFFSET(tPrcElec,0,14,1,_maxLT))</f>
        <v>11397.519438173387</v>
      </c>
      <c r="T132" s="13">
        <f ca="1">SUMPRODUCT(dFactor,tpSurvPRV,INDEX(elecPRV,1,5)*allOnes,OFFSET(tPrcElec,0,15,1,_maxLT))</f>
        <v>11469.417228370272</v>
      </c>
      <c r="U132" s="13">
        <f ca="1">SUMPRODUCT(dFactor,tpSurvPRV,INDEX(elecPRV,1,5)*allOnes,OFFSET(tPrcElec,0,16,1,_maxLT))</f>
        <v>11541.778323390847</v>
      </c>
      <c r="V132" s="13">
        <f ca="1">SUMPRODUCT(dFactor,tpSurvPRV,INDEX(elecPRV,1,5)*allOnes,OFFSET(tPrcElec,0,17,1,_maxLT))</f>
        <v>11614.605779826417</v>
      </c>
      <c r="W132" s="13">
        <f ca="1">SUMPRODUCT(dFactor,tpSurvPRV,INDEX(elecPRV,1,5)*allOnes,OFFSET(tPrcElec,0,18,1,_maxLT))</f>
        <v>11687.902674940608</v>
      </c>
      <c r="X132" s="13">
        <f ca="1">SUMPRODUCT(dFactor,tpSurvPRV,INDEX(elecPRV,1,5)*allOnes,OFFSET(tPrcElec,0,19,1,_maxLT))</f>
        <v>11761.672106812646</v>
      </c>
      <c r="Y132" s="13">
        <f ca="1">SUMPRODUCT(dFactor,tpSurvPRV,INDEX(elecPRV,1,5)*allOnes,OFFSET(tPrcElec,0,20,1,_maxLT))</f>
        <v>11835.917194481779</v>
      </c>
      <c r="Z132" s="13">
        <f ca="1">SUMPRODUCT(dFactor,tpSurvPRV,INDEX(elecPRV,1,5)*allOnes,OFFSET(tPrcElec,0,21,1,_maxLT))</f>
        <v>11910.641078092622</v>
      </c>
      <c r="AA132" s="13">
        <f ca="1">SUMPRODUCT(dFactor,tpSurvPRV,INDEX(elecPRV,1,5)*allOnes,OFFSET(tPrcElec,0,22,1,_maxLT))</f>
        <v>11985.846919041585</v>
      </c>
      <c r="AB132" s="13">
        <f ca="1">SUMPRODUCT(dFactor,tpSurvPRV,INDEX(elecPRV,1,5)*allOnes,OFFSET(tPrcElec,0,23,1,_maxLT))</f>
        <v>12061.537900124325</v>
      </c>
      <c r="AC132" s="13">
        <f ca="1">SUMPRODUCT(dFactor,tpSurvPRV,INDEX(elecPRV,1,5)*allOnes,OFFSET(tPrcElec,0,24,1,_maxLT))</f>
        <v>12137.717225684273</v>
      </c>
      <c r="AD132" s="13">
        <f ca="1">SUMPRODUCT(dFactor,tpSurvPRV,INDEX(elecPRV,1,5)*allOnes,OFFSET(tPrcElec,0,25,1,_maxLT))</f>
        <v>12214.388121762146</v>
      </c>
      <c r="AE132" s="13">
        <f ca="1">SUMPRODUCT(dFactor,tpSurvPRV,INDEX(elecPRV,1,5)*allOnes,OFFSET(tPrcElec,0,26,1,_maxLT))</f>
        <v>12291.553836246632</v>
      </c>
      <c r="AF132" s="13">
        <f ca="1">SUMPRODUCT(dFactor,tpSurvPRV,INDEX(elecPRV,1,5)*allOnes,OFFSET(tPrcElec,0,27,1,_maxLT))</f>
        <v>12369.217639026019</v>
      </c>
      <c r="AG132" s="13">
        <f ca="1">SUMPRODUCT(dFactor,tpSurvPRV,INDEX(elecPRV,1,5)*allOnes,OFFSET(tPrcElec,0,28,1,_maxLT))</f>
        <v>12447.382822141028</v>
      </c>
      <c r="AH132" s="13">
        <f ca="1">SUMPRODUCT(dFactor,tpSurvPRV,INDEX(elecPRV,1,5)*allOnes,OFFSET(tPrcElec,0,29,1,_maxLT))</f>
        <v>12526.05269993862</v>
      </c>
      <c r="AI132" s="13">
        <f ca="1">SUMPRODUCT(dFactor,tpSurvPRV,INDEX(elecPRV,1,5)*allOnes,OFFSET(tPrcElec,0,30,1,_maxLT))</f>
        <v>12605.23060922697</v>
      </c>
      <c r="AJ132" s="13">
        <f ca="1">SUMPRODUCT(dFactor,tpSurvPRV,INDEX(elecPRV,1,5)*allOnes,OFFSET(tPrcElec,0,31,1,_maxLT))</f>
        <v>12684.919909431541</v>
      </c>
      <c r="AK132" s="13">
        <f ca="1">SUMPRODUCT(dFactor,tpSurvPRV,INDEX(elecPRV,1,5)*allOnes,OFFSET(tPrcElec,0,32,1,_maxLT))</f>
        <v>12765.123982752228</v>
      </c>
      <c r="AL132" s="56">
        <f ca="1">SUMPRODUCT(dFactor,tpSurvPRV,INDEX(elecPRV,1,5)*allOnes,OFFSET(tPrcElec,0,33,1,_maxLT))</f>
        <v>12845.846234321622</v>
      </c>
      <c r="AM132" s="10"/>
    </row>
    <row r="133" spans="2:39" ht="15">
      <c r="B133" s="10"/>
      <c r="C133" s="16" t="s">
        <v>79</v>
      </c>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5"/>
      <c r="AM133" s="10"/>
    </row>
    <row r="134" spans="2:39" ht="15">
      <c r="B134" s="10"/>
      <c r="C134" s="28" t="str">
        <f>INDEX(_fuel,1)</f>
        <v>Electricity</v>
      </c>
      <c r="D134" s="12" t="s">
        <v>83</v>
      </c>
      <c r="E134" s="39">
        <f ca="1">SUMPRODUCT(OFFSET(tConvElecPRV,0,0,1,_maxLT),INDEX(elecPRV,1,5)*allOnes,tpSurvPRV)</f>
        <v>2199.9955255449531</v>
      </c>
      <c r="F134" s="39">
        <f ca="1">SUMPRODUCT(OFFSET(tConvElecPRV,0,1,1,_maxLT),INDEX(elecPRV,1,5)*allOnes,tpSurvPRV)</f>
        <v>2185.4421397312831</v>
      </c>
      <c r="G134" s="39">
        <f ca="1">SUMPRODUCT(OFFSET(tConvElecPRV,0,2,1,_maxLT),INDEX(elecPRV,1,5)*allOnes,tpSurvPRV)</f>
        <v>2172.5973713307103</v>
      </c>
      <c r="H134" s="39">
        <f ca="1">SUMPRODUCT(OFFSET(tConvElecPRV,0,3,1,_maxLT),INDEX(elecPRV,1,5)*allOnes,tpSurvPRV)</f>
        <v>2160.3888650259742</v>
      </c>
      <c r="I134" s="39">
        <f ca="1">SUMPRODUCT(OFFSET(tConvElecPRV,0,4,1,_maxLT),INDEX(elecPRV,1,5)*allOnes,tpSurvPRV)</f>
        <v>2149.6935369836233</v>
      </c>
      <c r="J134" s="39">
        <f ca="1">SUMPRODUCT(OFFSET(tConvElecPRV,0,5,1,_maxLT),INDEX(elecPRV,1,5)*allOnes,tpSurvPRV)</f>
        <v>2141.3488269604263</v>
      </c>
      <c r="K134" s="39">
        <f ca="1">SUMPRODUCT(OFFSET(tConvElecPRV,0,6,1,_maxLT),INDEX(elecPRV,1,5)*allOnes,tpSurvPRV)</f>
        <v>2134.37731226496</v>
      </c>
      <c r="L134" s="39">
        <f ca="1">SUMPRODUCT(OFFSET(tConvElecPRV,0,7,1,_maxLT),INDEX(elecPRV,1,5)*allOnes,tpSurvPRV)</f>
        <v>2127.3602358278872</v>
      </c>
      <c r="M134" s="39">
        <f ca="1">SUMPRODUCT(OFFSET(tConvElecPRV,0,8,1,_maxLT),INDEX(elecPRV,1,5)*allOnes,tpSurvPRV)</f>
        <v>2121.701793764696</v>
      </c>
      <c r="N134" s="39">
        <f ca="1">SUMPRODUCT(OFFSET(tConvElecPRV,0,9,1,_maxLT),INDEX(elecPRV,1,5)*allOnes,tpSurvPRV)</f>
        <v>2117.7388980506885</v>
      </c>
      <c r="O134" s="39">
        <f ca="1">SUMPRODUCT(OFFSET(tConvElecPRV,0,10,1,_maxLT),INDEX(elecPRV,1,5)*allOnes,tpSurvPRV)</f>
        <v>2114.804899550697</v>
      </c>
      <c r="P134" s="39">
        <f ca="1">SUMPRODUCT(OFFSET(tConvElecPRV,0,11,1,_maxLT),INDEX(elecPRV,1,5)*allOnes,tpSurvPRV)</f>
        <v>2112.3073532482695</v>
      </c>
      <c r="Q134" s="39">
        <f ca="1">SUMPRODUCT(OFFSET(tConvElecPRV,0,12,1,_maxLT),INDEX(elecPRV,1,5)*allOnes,tpSurvPRV)</f>
        <v>2110.4365920080986</v>
      </c>
      <c r="R134" s="39">
        <f ca="1">SUMPRODUCT(OFFSET(tConvElecPRV,0,13,1,_maxLT),INDEX(elecPRV,1,5)*allOnes,tpSurvPRV)</f>
        <v>2108.9840269506667</v>
      </c>
      <c r="S134" s="39">
        <f ca="1">SUMPRODUCT(OFFSET(tConvElecPRV,0,14,1,_maxLT),INDEX(elecPRV,1,5)*allOnes,tpSurvPRV)</f>
        <v>2108.7036535518323</v>
      </c>
      <c r="T134" s="39">
        <f ca="1">SUMPRODUCT(OFFSET(tConvElecPRV,0,15,1,_maxLT),INDEX(elecPRV,1,5)*allOnes,tpSurvPRV)</f>
        <v>2108.9566143576185</v>
      </c>
      <c r="U134" s="39">
        <f ca="1">SUMPRODUCT(OFFSET(tConvElecPRV,0,16,1,_maxLT),INDEX(elecPRV,1,5)*allOnes,tpSurvPRV)</f>
        <v>2109.3852466142266</v>
      </c>
      <c r="V134" s="39">
        <f ca="1">SUMPRODUCT(OFFSET(tConvElecPRV,0,17,1,_maxLT),INDEX(elecPRV,1,5)*allOnes,tpSurvPRV)</f>
        <v>2110.0386261585973</v>
      </c>
      <c r="W134" s="39">
        <f ca="1">SUMPRODUCT(OFFSET(tConvElecPRV,0,18,1,_maxLT),INDEX(elecPRV,1,5)*allOnes,tpSurvPRV)</f>
        <v>2110.6643713547464</v>
      </c>
      <c r="X134" s="39">
        <f ca="1">SUMPRODUCT(OFFSET(tConvElecPRV,0,19,1,_maxLT),INDEX(elecPRV,1,5)*allOnes,tpSurvPRV)</f>
        <v>2111.1829357895053</v>
      </c>
      <c r="Y134" s="39">
        <f ca="1">SUMPRODUCT(OFFSET(tConvElecPRV,0,20,1,_maxLT),INDEX(elecPRV,1,5)*allOnes,tpSurvPRV)</f>
        <v>2111.5306181937658</v>
      </c>
      <c r="Z134" s="39">
        <f ca="1">SUMPRODUCT(OFFSET(tConvElecPRV,0,21,1,_maxLT),INDEX(elecPRV,1,5)*allOnes,tpSurvPRV)</f>
        <v>2111.7702904369803</v>
      </c>
      <c r="AA134" s="39">
        <f ca="1">SUMPRODUCT(OFFSET(tConvElecPRV,0,22,1,_maxLT),INDEX(elecPRV,1,5)*allOnes,tpSurvPRV)</f>
        <v>2111.7702904369803</v>
      </c>
      <c r="AB134" s="39">
        <f ca="1">SUMPRODUCT(OFFSET(tConvElecPRV,0,23,1,_maxLT),INDEX(elecPRV,1,5)*allOnes,tpSurvPRV)</f>
        <v>2111.7702904369803</v>
      </c>
      <c r="AC134" s="39">
        <f ca="1">SUMPRODUCT(OFFSET(tConvElecPRV,0,24,1,_maxLT),INDEX(elecPRV,1,5)*allOnes,tpSurvPRV)</f>
        <v>2111.7702904369803</v>
      </c>
      <c r="AD134" s="39">
        <f ca="1">SUMPRODUCT(OFFSET(tConvElecPRV,0,25,1,_maxLT),INDEX(elecPRV,1,5)*allOnes,tpSurvPRV)</f>
        <v>2111.7702904369803</v>
      </c>
      <c r="AE134" s="39">
        <f ca="1">SUMPRODUCT(OFFSET(tConvElecPRV,0,26,1,_maxLT),INDEX(elecPRV,1,5)*allOnes,tpSurvPRV)</f>
        <v>2111.7702904369803</v>
      </c>
      <c r="AF134" s="39">
        <f ca="1">SUMPRODUCT(OFFSET(tConvElecPRV,0,27,1,_maxLT),INDEX(elecPRV,1,5)*allOnes,tpSurvPRV)</f>
        <v>2111.7702904369803</v>
      </c>
      <c r="AG134" s="39">
        <f ca="1">SUMPRODUCT(OFFSET(tConvElecPRV,0,28,1,_maxLT),INDEX(elecPRV,1,5)*allOnes,tpSurvPRV)</f>
        <v>2111.7702904369803</v>
      </c>
      <c r="AH134" s="39">
        <f ca="1">SUMPRODUCT(OFFSET(tConvElecPRV,0,29,1,_maxLT),INDEX(elecPRV,1,5)*allOnes,tpSurvPRV)</f>
        <v>2111.7702904369803</v>
      </c>
      <c r="AI134" s="39">
        <f ca="1">SUMPRODUCT(OFFSET(tConvElecPRV,0,30,1,_maxLT),INDEX(elecPRV,1,5)*allOnes,tpSurvPRV)</f>
        <v>2111.7702904369803</v>
      </c>
      <c r="AJ134" s="39">
        <f ca="1">SUMPRODUCT(OFFSET(tConvElecPRV,0,31,1,_maxLT),INDEX(elecPRV,1,5)*allOnes,tpSurvPRV)</f>
        <v>2111.7702904369803</v>
      </c>
      <c r="AK134" s="39">
        <f ca="1">SUMPRODUCT(OFFSET(tConvElecPRV,0,32,1,_maxLT),INDEX(elecPRV,1,5)*allOnes,tpSurvPRV)</f>
        <v>2111.7702904369803</v>
      </c>
      <c r="AL134" s="40">
        <f ca="1">SUMPRODUCT(OFFSET(tConvElecPRV,0,33,1,_maxLT),INDEX(elecPRV,1,5)*allOnes,tpSurvPRV)</f>
        <v>2111.7702904369803</v>
      </c>
      <c r="AM134" s="10"/>
    </row>
    <row r="135" spans="2:39" ht="15">
      <c r="B135" s="10"/>
      <c r="C135" s="57" t="str">
        <f>"EL 5: " &amp; INDEX(_doName,7,6)</f>
        <v>EL 5: EL 5</v>
      </c>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3"/>
      <c r="AM135" s="10"/>
    </row>
    <row r="136" spans="2:39" ht="15">
      <c r="B136" s="10"/>
      <c r="C136" s="16" t="s">
        <v>69</v>
      </c>
      <c r="D136" s="12" t="str">
        <f>_yearDol &amp; "$"</f>
        <v>2015$</v>
      </c>
      <c r="E136" s="13">
        <f t="array" ref="E136:AL136">INDEX(mspPRV,1,6)*tPIdxAll + INDEX(instPRV,1,6) + IF(bESav,SUMPRODUCT(dFactor,tpSurvPRV,INDEX(mrPRV,1,6)*allOnes),0)</f>
        <v>2553.5618875502</v>
      </c>
      <c r="F136" s="13">
        <v>2553.5618875502</v>
      </c>
      <c r="G136" s="13">
        <v>2553.5618875502</v>
      </c>
      <c r="H136" s="13">
        <v>2553.5618875502</v>
      </c>
      <c r="I136" s="13">
        <v>2553.5618875502</v>
      </c>
      <c r="J136" s="13">
        <v>2553.5618875502</v>
      </c>
      <c r="K136" s="13">
        <v>2553.5618875502</v>
      </c>
      <c r="L136" s="13">
        <v>2553.5618875502</v>
      </c>
      <c r="M136" s="13">
        <v>2553.5618875502</v>
      </c>
      <c r="N136" s="13">
        <v>2553.5618875502</v>
      </c>
      <c r="O136" s="13">
        <v>2553.5618875502</v>
      </c>
      <c r="P136" s="13">
        <v>2553.5618875502</v>
      </c>
      <c r="Q136" s="13">
        <v>2553.5618875502</v>
      </c>
      <c r="R136" s="13">
        <v>2553.5618875502</v>
      </c>
      <c r="S136" s="13">
        <v>2553.5618875502</v>
      </c>
      <c r="T136" s="13">
        <v>2553.5618875502</v>
      </c>
      <c r="U136" s="13">
        <v>2553.5618875502</v>
      </c>
      <c r="V136" s="13">
        <v>2553.5618875502</v>
      </c>
      <c r="W136" s="13">
        <v>2553.5618875502</v>
      </c>
      <c r="X136" s="13">
        <v>2553.5618875502</v>
      </c>
      <c r="Y136" s="13">
        <v>2553.5618875502</v>
      </c>
      <c r="Z136" s="13">
        <v>2553.5618875502</v>
      </c>
      <c r="AA136" s="13">
        <v>2553.5618875502</v>
      </c>
      <c r="AB136" s="13">
        <v>2553.5618875502</v>
      </c>
      <c r="AC136" s="13">
        <v>2553.5618875502</v>
      </c>
      <c r="AD136" s="13">
        <v>2553.5618875502</v>
      </c>
      <c r="AE136" s="13">
        <v>2553.5618875502</v>
      </c>
      <c r="AF136" s="13">
        <v>2553.5618875502</v>
      </c>
      <c r="AG136" s="13">
        <v>2553.5618875502</v>
      </c>
      <c r="AH136" s="13">
        <v>2553.5618875502</v>
      </c>
      <c r="AI136" s="13">
        <v>2553.5618875502</v>
      </c>
      <c r="AJ136" s="13">
        <v>2553.5618875502</v>
      </c>
      <c r="AK136" s="13">
        <v>2553.5618875502</v>
      </c>
      <c r="AL136" s="56">
        <v>2553.5618875502</v>
      </c>
      <c r="AM136" s="10"/>
    </row>
    <row r="137" spans="2:39" ht="15">
      <c r="B137" s="10"/>
      <c r="C137" s="16" t="str">
        <f>zEO&amp;" Costs"</f>
        <v>Operating Costs</v>
      </c>
      <c r="D137" s="12" t="str">
        <f>_yearDol &amp; "$"</f>
        <v>2015$</v>
      </c>
      <c r="E137" s="13">
        <f t="array" aca="1" ref="E137:AL137" ca="1">(tlccEFuElecbc5) + IF(bOSav,SUMPRODUCT(dFactor,tpSurvPRV,INDEX(mrPRV,1,6)*allOnes),0)</f>
        <v>8474.5562467790351</v>
      </c>
      <c r="F137" s="13">
        <f ca="1"/>
        <v>8543.3209143479107</v>
      </c>
      <c r="G137" s="13">
        <f ca="1"/>
        <v>8610.0256004318144</v>
      </c>
      <c r="H137" s="13">
        <f ca="1"/>
        <v>8670.21213690287</v>
      </c>
      <c r="I137" s="13">
        <f ca="1"/>
        <v>8724.8249216977692</v>
      </c>
      <c r="J137" s="13">
        <f ca="1"/>
        <v>8779.7890406581137</v>
      </c>
      <c r="K137" s="13">
        <f ca="1"/>
        <v>8835.1068074771974</v>
      </c>
      <c r="L137" s="13">
        <f ca="1"/>
        <v>8890.7805514670508</v>
      </c>
      <c r="M137" s="13">
        <f ca="1"/>
        <v>8946.812617666601</v>
      </c>
      <c r="N137" s="13">
        <f ca="1"/>
        <v>9003.2053669505476</v>
      </c>
      <c r="O137" s="13">
        <f ca="1"/>
        <v>9059.9611761389515</v>
      </c>
      <c r="P137" s="13">
        <f ca="1"/>
        <v>9117.0824381077073</v>
      </c>
      <c r="Q137" s="13">
        <f ca="1"/>
        <v>9174.5715618996765</v>
      </c>
      <c r="R137" s="13">
        <f ca="1"/>
        <v>9232.4309728367607</v>
      </c>
      <c r="S137" s="13">
        <f ca="1"/>
        <v>9290.6631126326211</v>
      </c>
      <c r="T137" s="13">
        <f ca="1"/>
        <v>9349.2704395062774</v>
      </c>
      <c r="U137" s="13">
        <f ca="1"/>
        <v>9408.255428296532</v>
      </c>
      <c r="V137" s="13">
        <f ca="1"/>
        <v>9467.6205705771154</v>
      </c>
      <c r="W137" s="13">
        <f ca="1"/>
        <v>9527.3683747727446</v>
      </c>
      <c r="X137" s="13">
        <f ca="1"/>
        <v>9587.5013662759611</v>
      </c>
      <c r="Y137" s="13">
        <f ca="1"/>
        <v>9648.022087564801</v>
      </c>
      <c r="Z137" s="13">
        <f ca="1"/>
        <v>9708.9330983212858</v>
      </c>
      <c r="AA137" s="13">
        <f ca="1"/>
        <v>9770.2369755508262</v>
      </c>
      <c r="AB137" s="13">
        <f ca="1"/>
        <v>9831.936313702352</v>
      </c>
      <c r="AC137" s="13">
        <f ca="1"/>
        <v>9894.0337247894131</v>
      </c>
      <c r="AD137" s="13">
        <f ca="1"/>
        <v>9956.5318385120718</v>
      </c>
      <c r="AE137" s="13">
        <f ca="1"/>
        <v>10019.43330237971</v>
      </c>
      <c r="AF137" s="13">
        <f ca="1"/>
        <v>10082.74078183464</v>
      </c>
      <c r="AG137" s="13">
        <f ca="1"/>
        <v>10146.45696037665</v>
      </c>
      <c r="AH137" s="13">
        <f ca="1"/>
        <v>10210.584539688456</v>
      </c>
      <c r="AI137" s="13">
        <f ca="1"/>
        <v>10275.126239761981</v>
      </c>
      <c r="AJ137" s="13">
        <f ca="1"/>
        <v>10340.084799025548</v>
      </c>
      <c r="AK137" s="13">
        <f ca="1"/>
        <v>10405.462974472002</v>
      </c>
      <c r="AL137" s="56">
        <f ca="1"/>
        <v>10471.263541787786</v>
      </c>
      <c r="AM137" s="10"/>
    </row>
    <row r="138" spans="2:39" ht="15">
      <c r="B138" s="10"/>
      <c r="C138" s="28" t="str">
        <f>INDEX(_fuel,1)</f>
        <v>Electricity</v>
      </c>
      <c r="D138" s="12" t="str">
        <f>_yearDol &amp; "$"</f>
        <v>2015$</v>
      </c>
      <c r="E138" s="13">
        <f ca="1">SUMPRODUCT(dFactor,tpSurvPRV,INDEX(elecPRV,1,6)*allOnes,OFFSET(tPrcElec,0,0,1,_maxLT))</f>
        <v>8474.5562467790351</v>
      </c>
      <c r="F138" s="13">
        <f ca="1">SUMPRODUCT(dFactor,tpSurvPRV,INDEX(elecPRV,1,6)*allOnes,OFFSET(tPrcElec,0,1,1,_maxLT))</f>
        <v>8543.3209143479107</v>
      </c>
      <c r="G138" s="13">
        <f ca="1">SUMPRODUCT(dFactor,tpSurvPRV,INDEX(elecPRV,1,6)*allOnes,OFFSET(tPrcElec,0,2,1,_maxLT))</f>
        <v>8610.0256004318144</v>
      </c>
      <c r="H138" s="13">
        <f ca="1">SUMPRODUCT(dFactor,tpSurvPRV,INDEX(elecPRV,1,6)*allOnes,OFFSET(tPrcElec,0,3,1,_maxLT))</f>
        <v>8670.21213690287</v>
      </c>
      <c r="I138" s="13">
        <f ca="1">SUMPRODUCT(dFactor,tpSurvPRV,INDEX(elecPRV,1,6)*allOnes,OFFSET(tPrcElec,0,4,1,_maxLT))</f>
        <v>8724.8249216977692</v>
      </c>
      <c r="J138" s="13">
        <f ca="1">SUMPRODUCT(dFactor,tpSurvPRV,INDEX(elecPRV,1,6)*allOnes,OFFSET(tPrcElec,0,5,1,_maxLT))</f>
        <v>8779.7890406581137</v>
      </c>
      <c r="K138" s="13">
        <f ca="1">SUMPRODUCT(dFactor,tpSurvPRV,INDEX(elecPRV,1,6)*allOnes,OFFSET(tPrcElec,0,6,1,_maxLT))</f>
        <v>8835.1068074771974</v>
      </c>
      <c r="L138" s="13">
        <f ca="1">SUMPRODUCT(dFactor,tpSurvPRV,INDEX(elecPRV,1,6)*allOnes,OFFSET(tPrcElec,0,7,1,_maxLT))</f>
        <v>8890.7805514670508</v>
      </c>
      <c r="M138" s="13">
        <f ca="1">SUMPRODUCT(dFactor,tpSurvPRV,INDEX(elecPRV,1,6)*allOnes,OFFSET(tPrcElec,0,8,1,_maxLT))</f>
        <v>8946.812617666601</v>
      </c>
      <c r="N138" s="13">
        <f ca="1">SUMPRODUCT(dFactor,tpSurvPRV,INDEX(elecPRV,1,6)*allOnes,OFFSET(tPrcElec,0,9,1,_maxLT))</f>
        <v>9003.2053669505476</v>
      </c>
      <c r="O138" s="13">
        <f ca="1">SUMPRODUCT(dFactor,tpSurvPRV,INDEX(elecPRV,1,6)*allOnes,OFFSET(tPrcElec,0,10,1,_maxLT))</f>
        <v>9059.9611761389515</v>
      </c>
      <c r="P138" s="13">
        <f ca="1">SUMPRODUCT(dFactor,tpSurvPRV,INDEX(elecPRV,1,6)*allOnes,OFFSET(tPrcElec,0,11,1,_maxLT))</f>
        <v>9117.0824381077073</v>
      </c>
      <c r="Q138" s="13">
        <f ca="1">SUMPRODUCT(dFactor,tpSurvPRV,INDEX(elecPRV,1,6)*allOnes,OFFSET(tPrcElec,0,12,1,_maxLT))</f>
        <v>9174.5715618996765</v>
      </c>
      <c r="R138" s="13">
        <f ca="1">SUMPRODUCT(dFactor,tpSurvPRV,INDEX(elecPRV,1,6)*allOnes,OFFSET(tPrcElec,0,13,1,_maxLT))</f>
        <v>9232.4309728367607</v>
      </c>
      <c r="S138" s="13">
        <f ca="1">SUMPRODUCT(dFactor,tpSurvPRV,INDEX(elecPRV,1,6)*allOnes,OFFSET(tPrcElec,0,14,1,_maxLT))</f>
        <v>9290.6631126326211</v>
      </c>
      <c r="T138" s="13">
        <f ca="1">SUMPRODUCT(dFactor,tpSurvPRV,INDEX(elecPRV,1,6)*allOnes,OFFSET(tPrcElec,0,15,1,_maxLT))</f>
        <v>9349.2704395062774</v>
      </c>
      <c r="U138" s="13">
        <f ca="1">SUMPRODUCT(dFactor,tpSurvPRV,INDEX(elecPRV,1,6)*allOnes,OFFSET(tPrcElec,0,16,1,_maxLT))</f>
        <v>9408.255428296532</v>
      </c>
      <c r="V138" s="13">
        <f ca="1">SUMPRODUCT(dFactor,tpSurvPRV,INDEX(elecPRV,1,6)*allOnes,OFFSET(tPrcElec,0,17,1,_maxLT))</f>
        <v>9467.6205705771154</v>
      </c>
      <c r="W138" s="13">
        <f ca="1">SUMPRODUCT(dFactor,tpSurvPRV,INDEX(elecPRV,1,6)*allOnes,OFFSET(tPrcElec,0,18,1,_maxLT))</f>
        <v>9527.3683747727446</v>
      </c>
      <c r="X138" s="13">
        <f ca="1">SUMPRODUCT(dFactor,tpSurvPRV,INDEX(elecPRV,1,6)*allOnes,OFFSET(tPrcElec,0,19,1,_maxLT))</f>
        <v>9587.5013662759611</v>
      </c>
      <c r="Y138" s="13">
        <f ca="1">SUMPRODUCT(dFactor,tpSurvPRV,INDEX(elecPRV,1,6)*allOnes,OFFSET(tPrcElec,0,20,1,_maxLT))</f>
        <v>9648.022087564801</v>
      </c>
      <c r="Z138" s="13">
        <f ca="1">SUMPRODUCT(dFactor,tpSurvPRV,INDEX(elecPRV,1,6)*allOnes,OFFSET(tPrcElec,0,21,1,_maxLT))</f>
        <v>9708.9330983212858</v>
      </c>
      <c r="AA138" s="13">
        <f ca="1">SUMPRODUCT(dFactor,tpSurvPRV,INDEX(elecPRV,1,6)*allOnes,OFFSET(tPrcElec,0,22,1,_maxLT))</f>
        <v>9770.2369755508262</v>
      </c>
      <c r="AB138" s="13">
        <f ca="1">SUMPRODUCT(dFactor,tpSurvPRV,INDEX(elecPRV,1,6)*allOnes,OFFSET(tPrcElec,0,23,1,_maxLT))</f>
        <v>9831.936313702352</v>
      </c>
      <c r="AC138" s="13">
        <f ca="1">SUMPRODUCT(dFactor,tpSurvPRV,INDEX(elecPRV,1,6)*allOnes,OFFSET(tPrcElec,0,24,1,_maxLT))</f>
        <v>9894.0337247894131</v>
      </c>
      <c r="AD138" s="13">
        <f ca="1">SUMPRODUCT(dFactor,tpSurvPRV,INDEX(elecPRV,1,6)*allOnes,OFFSET(tPrcElec,0,25,1,_maxLT))</f>
        <v>9956.5318385120718</v>
      </c>
      <c r="AE138" s="13">
        <f ca="1">SUMPRODUCT(dFactor,tpSurvPRV,INDEX(elecPRV,1,6)*allOnes,OFFSET(tPrcElec,0,26,1,_maxLT))</f>
        <v>10019.43330237971</v>
      </c>
      <c r="AF138" s="13">
        <f ca="1">SUMPRODUCT(dFactor,tpSurvPRV,INDEX(elecPRV,1,6)*allOnes,OFFSET(tPrcElec,0,27,1,_maxLT))</f>
        <v>10082.74078183464</v>
      </c>
      <c r="AG138" s="13">
        <f ca="1">SUMPRODUCT(dFactor,tpSurvPRV,INDEX(elecPRV,1,6)*allOnes,OFFSET(tPrcElec,0,28,1,_maxLT))</f>
        <v>10146.45696037665</v>
      </c>
      <c r="AH138" s="13">
        <f ca="1">SUMPRODUCT(dFactor,tpSurvPRV,INDEX(elecPRV,1,6)*allOnes,OFFSET(tPrcElec,0,29,1,_maxLT))</f>
        <v>10210.584539688456</v>
      </c>
      <c r="AI138" s="13">
        <f ca="1">SUMPRODUCT(dFactor,tpSurvPRV,INDEX(elecPRV,1,6)*allOnes,OFFSET(tPrcElec,0,30,1,_maxLT))</f>
        <v>10275.126239761981</v>
      </c>
      <c r="AJ138" s="13">
        <f ca="1">SUMPRODUCT(dFactor,tpSurvPRV,INDEX(elecPRV,1,6)*allOnes,OFFSET(tPrcElec,0,31,1,_maxLT))</f>
        <v>10340.084799025548</v>
      </c>
      <c r="AK138" s="13">
        <f ca="1">SUMPRODUCT(dFactor,tpSurvPRV,INDEX(elecPRV,1,6)*allOnes,OFFSET(tPrcElec,0,32,1,_maxLT))</f>
        <v>10405.462974472002</v>
      </c>
      <c r="AL138" s="56">
        <f ca="1">SUMPRODUCT(dFactor,tpSurvPRV,INDEX(elecPRV,1,6)*allOnes,OFFSET(tPrcElec,0,33,1,_maxLT))</f>
        <v>10471.263541787786</v>
      </c>
      <c r="AM138" s="10"/>
    </row>
    <row r="139" spans="2:39" ht="15">
      <c r="B139" s="10"/>
      <c r="C139" s="16" t="s">
        <v>79</v>
      </c>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5"/>
      <c r="AM139" s="10"/>
    </row>
    <row r="140" spans="2:39" ht="15">
      <c r="B140" s="10"/>
      <c r="C140" s="28" t="str">
        <f>INDEX(_fuel,1)</f>
        <v>Electricity</v>
      </c>
      <c r="D140" s="12" t="s">
        <v>83</v>
      </c>
      <c r="E140" s="39">
        <f ca="1">SUMPRODUCT(OFFSET(tConvElecPRV,0,0,1,_maxLT),INDEX(elecPRV,1,6)*allOnes,tpSurvPRV)</f>
        <v>1793.3215545726705</v>
      </c>
      <c r="F140" s="39">
        <f ca="1">SUMPRODUCT(OFFSET(tConvElecPRV,0,1,1,_maxLT),INDEX(elecPRV,1,6)*allOnes,tpSurvPRV)</f>
        <v>1781.4583938668306</v>
      </c>
      <c r="G140" s="39">
        <f ca="1">SUMPRODUCT(OFFSET(tConvElecPRV,0,2,1,_maxLT),INDEX(elecPRV,1,6)*allOnes,tpSurvPRV)</f>
        <v>1770.988008918873</v>
      </c>
      <c r="H140" s="39">
        <f ca="1">SUMPRODUCT(OFFSET(tConvElecPRV,0,3,1,_maxLT),INDEX(elecPRV,1,6)*allOnes,tpSurvPRV)</f>
        <v>1761.036271630682</v>
      </c>
      <c r="I140" s="39">
        <f ca="1">SUMPRODUCT(OFFSET(tConvElecPRV,0,4,1,_maxLT),INDEX(elecPRV,1,6)*allOnes,tpSurvPRV)</f>
        <v>1752.3179983029113</v>
      </c>
      <c r="J140" s="39">
        <f ca="1">SUMPRODUCT(OFFSET(tConvElecPRV,0,5,1,_maxLT),INDEX(elecPRV,1,6)*allOnes,tpSurvPRV)</f>
        <v>1745.5158261268789</v>
      </c>
      <c r="K140" s="39">
        <f ca="1">SUMPRODUCT(OFFSET(tConvElecPRV,0,6,1,_maxLT),INDEX(elecPRV,1,6)*allOnes,tpSurvPRV)</f>
        <v>1739.8330111273785</v>
      </c>
      <c r="L140" s="39">
        <f ca="1">SUMPRODUCT(OFFSET(tConvElecPRV,0,7,1,_maxLT),INDEX(elecPRV,1,6)*allOnes,tpSurvPRV)</f>
        <v>1734.1130565735757</v>
      </c>
      <c r="M140" s="39">
        <f ca="1">SUMPRODUCT(OFFSET(tConvElecPRV,0,8,1,_maxLT),INDEX(elecPRV,1,6)*allOnes,tpSurvPRV)</f>
        <v>1729.5005898665318</v>
      </c>
      <c r="N140" s="39">
        <f ca="1">SUMPRODUCT(OFFSET(tConvElecPRV,0,9,1,_maxLT),INDEX(elecPRV,1,6)*allOnes,tpSurvPRV)</f>
        <v>1726.2702440681269</v>
      </c>
      <c r="O140" s="39">
        <f ca="1">SUMPRODUCT(OFFSET(tConvElecPRV,0,10,1,_maxLT),INDEX(elecPRV,1,6)*allOnes,tpSurvPRV)</f>
        <v>1723.8786015897563</v>
      </c>
      <c r="P140" s="39">
        <f ca="1">SUMPRODUCT(OFFSET(tConvElecPRV,0,11,1,_maxLT),INDEX(elecPRV,1,6)*allOnes,tpSurvPRV)</f>
        <v>1721.8427321683507</v>
      </c>
      <c r="Q140" s="39">
        <f ca="1">SUMPRODUCT(OFFSET(tConvElecPRV,0,12,1,_maxLT),INDEX(elecPRV,1,6)*allOnes,tpSurvPRV)</f>
        <v>1720.317785223458</v>
      </c>
      <c r="R140" s="39">
        <f ca="1">SUMPRODUCT(OFFSET(tConvElecPRV,0,13,1,_maxLT),INDEX(elecPRV,1,6)*allOnes,tpSurvPRV)</f>
        <v>1719.1337299848606</v>
      </c>
      <c r="S140" s="39">
        <f ca="1">SUMPRODUCT(OFFSET(tConvElecPRV,0,14,1,_maxLT),INDEX(elecPRV,1,6)*allOnes,tpSurvPRV)</f>
        <v>1718.9051842202805</v>
      </c>
      <c r="T140" s="39">
        <f ca="1">SUMPRODUCT(OFFSET(tConvElecPRV,0,15,1,_maxLT),INDEX(elecPRV,1,6)*allOnes,tpSurvPRV)</f>
        <v>1719.1113846694227</v>
      </c>
      <c r="U140" s="39">
        <f ca="1">SUMPRODUCT(OFFSET(tConvElecPRV,0,16,1,_maxLT),INDEX(elecPRV,1,6)*allOnes,tpSurvPRV)</f>
        <v>1719.4607833185723</v>
      </c>
      <c r="V140" s="39">
        <f ca="1">SUMPRODUCT(OFFSET(tConvElecPRV,0,17,1,_maxLT),INDEX(elecPRV,1,6)*allOnes,tpSurvPRV)</f>
        <v>1719.9933842291794</v>
      </c>
      <c r="W140" s="39">
        <f ca="1">SUMPRODUCT(OFFSET(tConvElecPRV,0,18,1,_maxLT),INDEX(elecPRV,1,6)*allOnes,tpSurvPRV)</f>
        <v>1720.5034590611028</v>
      </c>
      <c r="X140" s="39">
        <f ca="1">SUMPRODUCT(OFFSET(tConvElecPRV,0,19,1,_maxLT),INDEX(elecPRV,1,6)*allOnes,tpSurvPRV)</f>
        <v>1720.9261657291347</v>
      </c>
      <c r="Y140" s="39">
        <f ca="1">SUMPRODUCT(OFFSET(tConvElecPRV,0,20,1,_maxLT),INDEX(elecPRV,1,6)*allOnes,tpSurvPRV)</f>
        <v>1721.2095782826905</v>
      </c>
      <c r="Z140" s="39">
        <f ca="1">SUMPRODUCT(OFFSET(tConvElecPRV,0,21,1,_maxLT),INDEX(elecPRV,1,6)*allOnes,tpSurvPRV)</f>
        <v>1721.4049465890341</v>
      </c>
      <c r="AA140" s="39">
        <f ca="1">SUMPRODUCT(OFFSET(tConvElecPRV,0,22,1,_maxLT),INDEX(elecPRV,1,6)*allOnes,tpSurvPRV)</f>
        <v>1721.4049465890341</v>
      </c>
      <c r="AB140" s="39">
        <f ca="1">SUMPRODUCT(OFFSET(tConvElecPRV,0,23,1,_maxLT),INDEX(elecPRV,1,6)*allOnes,tpSurvPRV)</f>
        <v>1721.4049465890341</v>
      </c>
      <c r="AC140" s="39">
        <f ca="1">SUMPRODUCT(OFFSET(tConvElecPRV,0,24,1,_maxLT),INDEX(elecPRV,1,6)*allOnes,tpSurvPRV)</f>
        <v>1721.4049465890341</v>
      </c>
      <c r="AD140" s="39">
        <f ca="1">SUMPRODUCT(OFFSET(tConvElecPRV,0,25,1,_maxLT),INDEX(elecPRV,1,6)*allOnes,tpSurvPRV)</f>
        <v>1721.4049465890341</v>
      </c>
      <c r="AE140" s="39">
        <f ca="1">SUMPRODUCT(OFFSET(tConvElecPRV,0,26,1,_maxLT),INDEX(elecPRV,1,6)*allOnes,tpSurvPRV)</f>
        <v>1721.4049465890341</v>
      </c>
      <c r="AF140" s="39">
        <f ca="1">SUMPRODUCT(OFFSET(tConvElecPRV,0,27,1,_maxLT),INDEX(elecPRV,1,6)*allOnes,tpSurvPRV)</f>
        <v>1721.4049465890341</v>
      </c>
      <c r="AG140" s="39">
        <f ca="1">SUMPRODUCT(OFFSET(tConvElecPRV,0,28,1,_maxLT),INDEX(elecPRV,1,6)*allOnes,tpSurvPRV)</f>
        <v>1721.4049465890341</v>
      </c>
      <c r="AH140" s="39">
        <f ca="1">SUMPRODUCT(OFFSET(tConvElecPRV,0,29,1,_maxLT),INDEX(elecPRV,1,6)*allOnes,tpSurvPRV)</f>
        <v>1721.4049465890341</v>
      </c>
      <c r="AI140" s="39">
        <f ca="1">SUMPRODUCT(OFFSET(tConvElecPRV,0,30,1,_maxLT),INDEX(elecPRV,1,6)*allOnes,tpSurvPRV)</f>
        <v>1721.4049465890341</v>
      </c>
      <c r="AJ140" s="39">
        <f ca="1">SUMPRODUCT(OFFSET(tConvElecPRV,0,31,1,_maxLT),INDEX(elecPRV,1,6)*allOnes,tpSurvPRV)</f>
        <v>1721.4049465890341</v>
      </c>
      <c r="AK140" s="39">
        <f ca="1">SUMPRODUCT(OFFSET(tConvElecPRV,0,32,1,_maxLT),INDEX(elecPRV,1,6)*allOnes,tpSurvPRV)</f>
        <v>1721.4049465890341</v>
      </c>
      <c r="AL140" s="40">
        <f ca="1">SUMPRODUCT(OFFSET(tConvElecPRV,0,33,1,_maxLT),INDEX(elecPRV,1,6)*allOnes,tpSurvPRV)</f>
        <v>1721.4049465890341</v>
      </c>
      <c r="AM140" s="10"/>
    </row>
    <row r="141" spans="2:39" ht="15">
      <c r="B141" s="10"/>
      <c r="C141" s="57" t="str">
        <f>"EL 6: " &amp; INDEX(_doName,7,7)</f>
        <v>EL 6: EL 6</v>
      </c>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3"/>
      <c r="AM141" s="10"/>
    </row>
    <row r="142" spans="2:39" ht="15">
      <c r="B142" s="10"/>
      <c r="C142" s="16" t="s">
        <v>69</v>
      </c>
      <c r="D142" s="12" t="str">
        <f>_yearDol &amp; "$"</f>
        <v>2015$</v>
      </c>
      <c r="E142" s="13">
        <f t="array" ref="E142:AL142">INDEX(mspPRV,1,7)*tPIdxAll + INDEX(instPRV,1,7) + IF(bESav,SUMPRODUCT(dFactor,tpSurvPRV,INDEX(mrPRV,1,7)*allOnes),0)</f>
        <v>3821.84135460993</v>
      </c>
      <c r="F142" s="13">
        <v>3821.84135460993</v>
      </c>
      <c r="G142" s="13">
        <v>3821.84135460993</v>
      </c>
      <c r="H142" s="13">
        <v>3821.84135460993</v>
      </c>
      <c r="I142" s="13">
        <v>3821.84135460993</v>
      </c>
      <c r="J142" s="13">
        <v>3821.84135460993</v>
      </c>
      <c r="K142" s="13">
        <v>3821.84135460993</v>
      </c>
      <c r="L142" s="13">
        <v>3821.84135460993</v>
      </c>
      <c r="M142" s="13">
        <v>3821.84135460993</v>
      </c>
      <c r="N142" s="13">
        <v>3821.84135460993</v>
      </c>
      <c r="O142" s="13">
        <v>3821.84135460993</v>
      </c>
      <c r="P142" s="13">
        <v>3821.84135460993</v>
      </c>
      <c r="Q142" s="13">
        <v>3821.84135460993</v>
      </c>
      <c r="R142" s="13">
        <v>3821.84135460993</v>
      </c>
      <c r="S142" s="13">
        <v>3821.84135460993</v>
      </c>
      <c r="T142" s="13">
        <v>3821.84135460993</v>
      </c>
      <c r="U142" s="13">
        <v>3821.84135460993</v>
      </c>
      <c r="V142" s="13">
        <v>3821.84135460993</v>
      </c>
      <c r="W142" s="13">
        <v>3821.84135460993</v>
      </c>
      <c r="X142" s="13">
        <v>3821.84135460993</v>
      </c>
      <c r="Y142" s="13">
        <v>3821.84135460993</v>
      </c>
      <c r="Z142" s="13">
        <v>3821.84135460993</v>
      </c>
      <c r="AA142" s="13">
        <v>3821.84135460993</v>
      </c>
      <c r="AB142" s="13">
        <v>3821.84135460993</v>
      </c>
      <c r="AC142" s="13">
        <v>3821.84135460993</v>
      </c>
      <c r="AD142" s="13">
        <v>3821.84135460993</v>
      </c>
      <c r="AE142" s="13">
        <v>3821.84135460993</v>
      </c>
      <c r="AF142" s="13">
        <v>3821.84135460993</v>
      </c>
      <c r="AG142" s="13">
        <v>3821.84135460993</v>
      </c>
      <c r="AH142" s="13">
        <v>3821.84135460993</v>
      </c>
      <c r="AI142" s="13">
        <v>3821.84135460993</v>
      </c>
      <c r="AJ142" s="13">
        <v>3821.84135460993</v>
      </c>
      <c r="AK142" s="13">
        <v>3821.84135460993</v>
      </c>
      <c r="AL142" s="56">
        <v>3821.84135460993</v>
      </c>
      <c r="AM142" s="10"/>
    </row>
    <row r="143" spans="2:39" ht="15">
      <c r="B143" s="10"/>
      <c r="C143" s="16" t="str">
        <f>zEO&amp;" Costs"</f>
        <v>Operating Costs</v>
      </c>
      <c r="D143" s="12" t="str">
        <f>_yearDol &amp; "$"</f>
        <v>2015$</v>
      </c>
      <c r="E143" s="13">
        <f t="array" aca="1" ref="E143:AL143" ca="1">(tlccEFuElecbc6) + IF(bOSav,SUMPRODUCT(dFactor,tpSurvPRV,INDEX(mrPRV,1,7)*allOnes),0)</f>
        <v>7282.3562138607331</v>
      </c>
      <c r="F143" s="13">
        <f ca="1"/>
        <v>7341.4470723767317</v>
      </c>
      <c r="G143" s="13">
        <f ca="1"/>
        <v>7398.7677474718303</v>
      </c>
      <c r="H143" s="13">
        <f ca="1"/>
        <v>7450.4872458263671</v>
      </c>
      <c r="I143" s="13">
        <f ca="1"/>
        <v>7497.4171075354698</v>
      </c>
      <c r="J143" s="13">
        <f ca="1"/>
        <v>7544.6488777420118</v>
      </c>
      <c r="K143" s="13">
        <f ca="1"/>
        <v>7592.184544649047</v>
      </c>
      <c r="L143" s="13">
        <f ca="1"/>
        <v>7640.0261098811425</v>
      </c>
      <c r="M143" s="13">
        <f ca="1"/>
        <v>7688.17558857732</v>
      </c>
      <c r="N143" s="13">
        <f ca="1"/>
        <v>7736.6350094845466</v>
      </c>
      <c r="O143" s="13">
        <f ca="1"/>
        <v>7785.4064150520016</v>
      </c>
      <c r="P143" s="13">
        <f ca="1"/>
        <v>7834.4918615259448</v>
      </c>
      <c r="Q143" s="13">
        <f ca="1"/>
        <v>7883.8934190452501</v>
      </c>
      <c r="R143" s="13">
        <f ca="1"/>
        <v>7933.613171737692</v>
      </c>
      <c r="S143" s="13">
        <f ca="1"/>
        <v>7983.6532178167927</v>
      </c>
      <c r="T143" s="13">
        <f ca="1"/>
        <v>8034.0156696794975</v>
      </c>
      <c r="U143" s="13">
        <f ca="1"/>
        <v>8084.7026540044235</v>
      </c>
      <c r="V143" s="13">
        <f ca="1"/>
        <v>8135.7163118508779</v>
      </c>
      <c r="W143" s="13">
        <f ca="1"/>
        <v>8187.0587987585513</v>
      </c>
      <c r="X143" s="13">
        <f ca="1"/>
        <v>8238.7322848479216</v>
      </c>
      <c r="Y143" s="13">
        <f ca="1"/>
        <v>8290.7389549213603</v>
      </c>
      <c r="Z143" s="13">
        <f ca="1"/>
        <v>8343.0810085650228</v>
      </c>
      <c r="AA143" s="13">
        <f ca="1"/>
        <v>8395.7606602513151</v>
      </c>
      <c r="AB143" s="13">
        <f ca="1"/>
        <v>8448.780139442295</v>
      </c>
      <c r="AC143" s="13">
        <f ca="1"/>
        <v>8502.141690693592</v>
      </c>
      <c r="AD143" s="13">
        <f ca="1"/>
        <v>8555.8475737592416</v>
      </c>
      <c r="AE143" s="13">
        <f ca="1"/>
        <v>8609.9000636971705</v>
      </c>
      <c r="AF143" s="13">
        <f ca="1"/>
        <v>8664.3014509754303</v>
      </c>
      <c r="AG143" s="13">
        <f ca="1"/>
        <v>8719.0540415792475</v>
      </c>
      <c r="AH143" s="13">
        <f ca="1"/>
        <v>8774.1601571187712</v>
      </c>
      <c r="AI143" s="13">
        <f ca="1"/>
        <v>8829.6221349376265</v>
      </c>
      <c r="AJ143" s="13">
        <f ca="1"/>
        <v>8885.4423282222306</v>
      </c>
      <c r="AK143" s="13">
        <f ca="1"/>
        <v>8941.623106111856</v>
      </c>
      <c r="AL143" s="56">
        <f ca="1"/>
        <v>8998.1668538095309</v>
      </c>
      <c r="AM143" s="10"/>
    </row>
    <row r="144" spans="2:39" ht="15">
      <c r="B144" s="10"/>
      <c r="C144" s="28" t="str">
        <f>INDEX(_fuel,1)</f>
        <v>Electricity</v>
      </c>
      <c r="D144" s="12" t="str">
        <f>_yearDol &amp; "$"</f>
        <v>2015$</v>
      </c>
      <c r="E144" s="13">
        <f ca="1">SUMPRODUCT(dFactor,tpSurvPRV,INDEX(elecPRV,1,7)*allOnes,OFFSET(tPrcElec,0,0,1,_maxLT))</f>
        <v>7282.3562138607331</v>
      </c>
      <c r="F144" s="13">
        <f ca="1">SUMPRODUCT(dFactor,tpSurvPRV,INDEX(elecPRV,1,7)*allOnes,OFFSET(tPrcElec,0,1,1,_maxLT))</f>
        <v>7341.4470723767317</v>
      </c>
      <c r="G144" s="13">
        <f ca="1">SUMPRODUCT(dFactor,tpSurvPRV,INDEX(elecPRV,1,7)*allOnes,OFFSET(tPrcElec,0,2,1,_maxLT))</f>
        <v>7398.7677474718303</v>
      </c>
      <c r="H144" s="13">
        <f ca="1">SUMPRODUCT(dFactor,tpSurvPRV,INDEX(elecPRV,1,7)*allOnes,OFFSET(tPrcElec,0,3,1,_maxLT))</f>
        <v>7450.4872458263671</v>
      </c>
      <c r="I144" s="13">
        <f ca="1">SUMPRODUCT(dFactor,tpSurvPRV,INDEX(elecPRV,1,7)*allOnes,OFFSET(tPrcElec,0,4,1,_maxLT))</f>
        <v>7497.4171075354698</v>
      </c>
      <c r="J144" s="13">
        <f ca="1">SUMPRODUCT(dFactor,tpSurvPRV,INDEX(elecPRV,1,7)*allOnes,OFFSET(tPrcElec,0,5,1,_maxLT))</f>
        <v>7544.6488777420118</v>
      </c>
      <c r="K144" s="13">
        <f ca="1">SUMPRODUCT(dFactor,tpSurvPRV,INDEX(elecPRV,1,7)*allOnes,OFFSET(tPrcElec,0,6,1,_maxLT))</f>
        <v>7592.184544649047</v>
      </c>
      <c r="L144" s="13">
        <f ca="1">SUMPRODUCT(dFactor,tpSurvPRV,INDEX(elecPRV,1,7)*allOnes,OFFSET(tPrcElec,0,7,1,_maxLT))</f>
        <v>7640.0261098811425</v>
      </c>
      <c r="M144" s="13">
        <f ca="1">SUMPRODUCT(dFactor,tpSurvPRV,INDEX(elecPRV,1,7)*allOnes,OFFSET(tPrcElec,0,8,1,_maxLT))</f>
        <v>7688.17558857732</v>
      </c>
      <c r="N144" s="13">
        <f ca="1">SUMPRODUCT(dFactor,tpSurvPRV,INDEX(elecPRV,1,7)*allOnes,OFFSET(tPrcElec,0,9,1,_maxLT))</f>
        <v>7736.6350094845466</v>
      </c>
      <c r="O144" s="13">
        <f ca="1">SUMPRODUCT(dFactor,tpSurvPRV,INDEX(elecPRV,1,7)*allOnes,OFFSET(tPrcElec,0,10,1,_maxLT))</f>
        <v>7785.4064150520016</v>
      </c>
      <c r="P144" s="13">
        <f ca="1">SUMPRODUCT(dFactor,tpSurvPRV,INDEX(elecPRV,1,7)*allOnes,OFFSET(tPrcElec,0,11,1,_maxLT))</f>
        <v>7834.4918615259448</v>
      </c>
      <c r="Q144" s="13">
        <f ca="1">SUMPRODUCT(dFactor,tpSurvPRV,INDEX(elecPRV,1,7)*allOnes,OFFSET(tPrcElec,0,12,1,_maxLT))</f>
        <v>7883.8934190452501</v>
      </c>
      <c r="R144" s="13">
        <f ca="1">SUMPRODUCT(dFactor,tpSurvPRV,INDEX(elecPRV,1,7)*allOnes,OFFSET(tPrcElec,0,13,1,_maxLT))</f>
        <v>7933.613171737692</v>
      </c>
      <c r="S144" s="13">
        <f ca="1">SUMPRODUCT(dFactor,tpSurvPRV,INDEX(elecPRV,1,7)*allOnes,OFFSET(tPrcElec,0,14,1,_maxLT))</f>
        <v>7983.6532178167927</v>
      </c>
      <c r="T144" s="13">
        <f ca="1">SUMPRODUCT(dFactor,tpSurvPRV,INDEX(elecPRV,1,7)*allOnes,OFFSET(tPrcElec,0,15,1,_maxLT))</f>
        <v>8034.0156696794975</v>
      </c>
      <c r="U144" s="13">
        <f ca="1">SUMPRODUCT(dFactor,tpSurvPRV,INDEX(elecPRV,1,7)*allOnes,OFFSET(tPrcElec,0,16,1,_maxLT))</f>
        <v>8084.7026540044235</v>
      </c>
      <c r="V144" s="13">
        <f ca="1">SUMPRODUCT(dFactor,tpSurvPRV,INDEX(elecPRV,1,7)*allOnes,OFFSET(tPrcElec,0,17,1,_maxLT))</f>
        <v>8135.7163118508779</v>
      </c>
      <c r="W144" s="13">
        <f ca="1">SUMPRODUCT(dFactor,tpSurvPRV,INDEX(elecPRV,1,7)*allOnes,OFFSET(tPrcElec,0,18,1,_maxLT))</f>
        <v>8187.0587987585513</v>
      </c>
      <c r="X144" s="13">
        <f ca="1">SUMPRODUCT(dFactor,tpSurvPRV,INDEX(elecPRV,1,7)*allOnes,OFFSET(tPrcElec,0,19,1,_maxLT))</f>
        <v>8238.7322848479216</v>
      </c>
      <c r="Y144" s="13">
        <f ca="1">SUMPRODUCT(dFactor,tpSurvPRV,INDEX(elecPRV,1,7)*allOnes,OFFSET(tPrcElec,0,20,1,_maxLT))</f>
        <v>8290.7389549213603</v>
      </c>
      <c r="Z144" s="13">
        <f ca="1">SUMPRODUCT(dFactor,tpSurvPRV,INDEX(elecPRV,1,7)*allOnes,OFFSET(tPrcElec,0,21,1,_maxLT))</f>
        <v>8343.0810085650228</v>
      </c>
      <c r="AA144" s="13">
        <f ca="1">SUMPRODUCT(dFactor,tpSurvPRV,INDEX(elecPRV,1,7)*allOnes,OFFSET(tPrcElec,0,22,1,_maxLT))</f>
        <v>8395.7606602513151</v>
      </c>
      <c r="AB144" s="13">
        <f ca="1">SUMPRODUCT(dFactor,tpSurvPRV,INDEX(elecPRV,1,7)*allOnes,OFFSET(tPrcElec,0,23,1,_maxLT))</f>
        <v>8448.780139442295</v>
      </c>
      <c r="AC144" s="13">
        <f ca="1">SUMPRODUCT(dFactor,tpSurvPRV,INDEX(elecPRV,1,7)*allOnes,OFFSET(tPrcElec,0,24,1,_maxLT))</f>
        <v>8502.141690693592</v>
      </c>
      <c r="AD144" s="13">
        <f ca="1">SUMPRODUCT(dFactor,tpSurvPRV,INDEX(elecPRV,1,7)*allOnes,OFFSET(tPrcElec,0,25,1,_maxLT))</f>
        <v>8555.8475737592416</v>
      </c>
      <c r="AE144" s="13">
        <f ca="1">SUMPRODUCT(dFactor,tpSurvPRV,INDEX(elecPRV,1,7)*allOnes,OFFSET(tPrcElec,0,26,1,_maxLT))</f>
        <v>8609.9000636971705</v>
      </c>
      <c r="AF144" s="13">
        <f ca="1">SUMPRODUCT(dFactor,tpSurvPRV,INDEX(elecPRV,1,7)*allOnes,OFFSET(tPrcElec,0,27,1,_maxLT))</f>
        <v>8664.3014509754303</v>
      </c>
      <c r="AG144" s="13">
        <f ca="1">SUMPRODUCT(dFactor,tpSurvPRV,INDEX(elecPRV,1,7)*allOnes,OFFSET(tPrcElec,0,28,1,_maxLT))</f>
        <v>8719.0540415792475</v>
      </c>
      <c r="AH144" s="13">
        <f ca="1">SUMPRODUCT(dFactor,tpSurvPRV,INDEX(elecPRV,1,7)*allOnes,OFFSET(tPrcElec,0,29,1,_maxLT))</f>
        <v>8774.1601571187712</v>
      </c>
      <c r="AI144" s="13">
        <f ca="1">SUMPRODUCT(dFactor,tpSurvPRV,INDEX(elecPRV,1,7)*allOnes,OFFSET(tPrcElec,0,30,1,_maxLT))</f>
        <v>8829.6221349376265</v>
      </c>
      <c r="AJ144" s="13">
        <f ca="1">SUMPRODUCT(dFactor,tpSurvPRV,INDEX(elecPRV,1,7)*allOnes,OFFSET(tPrcElec,0,31,1,_maxLT))</f>
        <v>8885.4423282222306</v>
      </c>
      <c r="AK144" s="13">
        <f ca="1">SUMPRODUCT(dFactor,tpSurvPRV,INDEX(elecPRV,1,7)*allOnes,OFFSET(tPrcElec,0,32,1,_maxLT))</f>
        <v>8941.623106111856</v>
      </c>
      <c r="AL144" s="56">
        <f ca="1">SUMPRODUCT(dFactor,tpSurvPRV,INDEX(elecPRV,1,7)*allOnes,OFFSET(tPrcElec,0,33,1,_maxLT))</f>
        <v>8998.1668538095309</v>
      </c>
      <c r="AM144" s="10"/>
    </row>
    <row r="145" spans="2:39" ht="15">
      <c r="B145" s="10"/>
      <c r="C145" s="16" t="s">
        <v>79</v>
      </c>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5"/>
      <c r="AM145" s="10"/>
    </row>
    <row r="146" spans="2:39" ht="15">
      <c r="B146" s="10"/>
      <c r="C146" s="28" t="str">
        <f>INDEX(_fuel,1)</f>
        <v>Electricity</v>
      </c>
      <c r="D146" s="12" t="s">
        <v>83</v>
      </c>
      <c r="E146" s="39">
        <f ca="1">SUMPRODUCT(OFFSET(tConvElecPRV,0,0,1,_maxLT),INDEX(elecPRV,1,7)*allOnes,tpSurvPRV)</f>
        <v>1541.0371925204097</v>
      </c>
      <c r="F146" s="39">
        <f ca="1">SUMPRODUCT(OFFSET(tConvElecPRV,0,1,1,_maxLT),INDEX(elecPRV,1,7)*allOnes,tpSurvPRV)</f>
        <v>1530.8429405069157</v>
      </c>
      <c r="G146" s="39">
        <f ca="1">SUMPRODUCT(OFFSET(tConvElecPRV,0,2,1,_maxLT),INDEX(elecPRV,1,7)*allOnes,tpSurvPRV)</f>
        <v>1521.845528646412</v>
      </c>
      <c r="H146" s="39">
        <f ca="1">SUMPRODUCT(OFFSET(tConvElecPRV,0,3,1,_maxLT),INDEX(elecPRV,1,7)*allOnes,tpSurvPRV)</f>
        <v>1513.2938011259398</v>
      </c>
      <c r="I146" s="39">
        <f ca="1">SUMPRODUCT(OFFSET(tConvElecPRV,0,4,1,_maxLT),INDEX(elecPRV,1,7)*allOnes,tpSurvPRV)</f>
        <v>1505.8020139345149</v>
      </c>
      <c r="J146" s="39">
        <f ca="1">SUMPRODUCT(OFFSET(tConvElecPRV,0,5,1,_maxLT),INDEX(elecPRV,1,7)*allOnes,tpSurvPRV)</f>
        <v>1499.9567709068692</v>
      </c>
      <c r="K146" s="39">
        <f ca="1">SUMPRODUCT(OFFSET(tConvElecPRV,0,6,1,_maxLT),INDEX(elecPRV,1,7)*allOnes,tpSurvPRV)</f>
        <v>1495.0734139594701</v>
      </c>
      <c r="L146" s="39">
        <f ca="1">SUMPRODUCT(OFFSET(tConvElecPRV,0,7,1,_maxLT),INDEX(elecPRV,1,7)*allOnes,tpSurvPRV)</f>
        <v>1490.1581422479021</v>
      </c>
      <c r="M146" s="39">
        <f ca="1">SUMPRODUCT(OFFSET(tConvElecPRV,0,8,1,_maxLT),INDEX(elecPRV,1,7)*allOnes,tpSurvPRV)</f>
        <v>1486.1945570633638</v>
      </c>
      <c r="N146" s="39">
        <f ca="1">SUMPRODUCT(OFFSET(tConvElecPRV,0,9,1,_maxLT),INDEX(elecPRV,1,7)*allOnes,tpSurvPRV)</f>
        <v>1483.4186561060867</v>
      </c>
      <c r="O146" s="39">
        <f ca="1">SUMPRODUCT(OFFSET(tConvElecPRV,0,10,1,_maxLT),INDEX(elecPRV,1,7)*allOnes,tpSurvPRV)</f>
        <v>1481.3634697392117</v>
      </c>
      <c r="P146" s="39">
        <f ca="1">SUMPRODUCT(OFFSET(tConvElecPRV,0,11,1,_maxLT),INDEX(elecPRV,1,7)*allOnes,tpSurvPRV)</f>
        <v>1479.6140062983127</v>
      </c>
      <c r="Q146" s="39">
        <f ca="1">SUMPRODUCT(OFFSET(tConvElecPRV,0,12,1,_maxLT),INDEX(elecPRV,1,7)*allOnes,tpSurvPRV)</f>
        <v>1478.3035887924796</v>
      </c>
      <c r="R146" s="39">
        <f ca="1">SUMPRODUCT(OFFSET(tConvElecPRV,0,13,1,_maxLT),INDEX(elecPRV,1,7)*allOnes,tpSurvPRV)</f>
        <v>1477.286106369417</v>
      </c>
      <c r="S146" s="39">
        <f ca="1">SUMPRODUCT(OFFSET(tConvElecPRV,0,14,1,_maxLT),INDEX(elecPRV,1,7)*allOnes,tpSurvPRV)</f>
        <v>1477.0897124084383</v>
      </c>
      <c r="T146" s="39">
        <f ca="1">SUMPRODUCT(OFFSET(tConvElecPRV,0,15,1,_maxLT),INDEX(elecPRV,1,7)*allOnes,tpSurvPRV)</f>
        <v>1477.2669045915313</v>
      </c>
      <c r="U146" s="39">
        <f ca="1">SUMPRODUCT(OFFSET(tConvElecPRV,0,16,1,_maxLT),INDEX(elecPRV,1,7)*allOnes,tpSurvPRV)</f>
        <v>1477.5671498609772</v>
      </c>
      <c r="V146" s="39">
        <f ca="1">SUMPRODUCT(OFFSET(tConvElecPRV,0,17,1,_maxLT),INDEX(elecPRV,1,7)*allOnes,tpSurvPRV)</f>
        <v>1478.0248245094099</v>
      </c>
      <c r="W146" s="39">
        <f ca="1">SUMPRODUCT(OFFSET(tConvElecPRV,0,18,1,_maxLT),INDEX(elecPRV,1,7)*allOnes,tpSurvPRV)</f>
        <v>1478.4631420464732</v>
      </c>
      <c r="X146" s="39">
        <f ca="1">SUMPRODUCT(OFFSET(tConvElecPRV,0,19,1,_maxLT),INDEX(elecPRV,1,7)*allOnes,tpSurvPRV)</f>
        <v>1478.8263823673751</v>
      </c>
      <c r="Y146" s="39">
        <f ca="1">SUMPRODUCT(OFFSET(tConvElecPRV,0,20,1,_maxLT),INDEX(elecPRV,1,7)*allOnes,tpSurvPRV)</f>
        <v>1479.0699244609518</v>
      </c>
      <c r="Z146" s="39">
        <f ca="1">SUMPRODUCT(OFFSET(tConvElecPRV,0,21,1,_maxLT),INDEX(elecPRV,1,7)*allOnes,tpSurvPRV)</f>
        <v>1479.237808366405</v>
      </c>
      <c r="AA146" s="39">
        <f ca="1">SUMPRODUCT(OFFSET(tConvElecPRV,0,22,1,_maxLT),INDEX(elecPRV,1,7)*allOnes,tpSurvPRV)</f>
        <v>1479.237808366405</v>
      </c>
      <c r="AB146" s="39">
        <f ca="1">SUMPRODUCT(OFFSET(tConvElecPRV,0,23,1,_maxLT),INDEX(elecPRV,1,7)*allOnes,tpSurvPRV)</f>
        <v>1479.237808366405</v>
      </c>
      <c r="AC146" s="39">
        <f ca="1">SUMPRODUCT(OFFSET(tConvElecPRV,0,24,1,_maxLT),INDEX(elecPRV,1,7)*allOnes,tpSurvPRV)</f>
        <v>1479.237808366405</v>
      </c>
      <c r="AD146" s="39">
        <f ca="1">SUMPRODUCT(OFFSET(tConvElecPRV,0,25,1,_maxLT),INDEX(elecPRV,1,7)*allOnes,tpSurvPRV)</f>
        <v>1479.237808366405</v>
      </c>
      <c r="AE146" s="39">
        <f ca="1">SUMPRODUCT(OFFSET(tConvElecPRV,0,26,1,_maxLT),INDEX(elecPRV,1,7)*allOnes,tpSurvPRV)</f>
        <v>1479.237808366405</v>
      </c>
      <c r="AF146" s="39">
        <f ca="1">SUMPRODUCT(OFFSET(tConvElecPRV,0,27,1,_maxLT),INDEX(elecPRV,1,7)*allOnes,tpSurvPRV)</f>
        <v>1479.237808366405</v>
      </c>
      <c r="AG146" s="39">
        <f ca="1">SUMPRODUCT(OFFSET(tConvElecPRV,0,28,1,_maxLT),INDEX(elecPRV,1,7)*allOnes,tpSurvPRV)</f>
        <v>1479.237808366405</v>
      </c>
      <c r="AH146" s="39">
        <f ca="1">SUMPRODUCT(OFFSET(tConvElecPRV,0,29,1,_maxLT),INDEX(elecPRV,1,7)*allOnes,tpSurvPRV)</f>
        <v>1479.237808366405</v>
      </c>
      <c r="AI146" s="39">
        <f ca="1">SUMPRODUCT(OFFSET(tConvElecPRV,0,30,1,_maxLT),INDEX(elecPRV,1,7)*allOnes,tpSurvPRV)</f>
        <v>1479.237808366405</v>
      </c>
      <c r="AJ146" s="39">
        <f ca="1">SUMPRODUCT(OFFSET(tConvElecPRV,0,31,1,_maxLT),INDEX(elecPRV,1,7)*allOnes,tpSurvPRV)</f>
        <v>1479.237808366405</v>
      </c>
      <c r="AK146" s="39">
        <f ca="1">SUMPRODUCT(OFFSET(tConvElecPRV,0,32,1,_maxLT),INDEX(elecPRV,1,7)*allOnes,tpSurvPRV)</f>
        <v>1479.237808366405</v>
      </c>
      <c r="AL146" s="40">
        <f ca="1">SUMPRODUCT(OFFSET(tConvElecPRV,0,33,1,_maxLT),INDEX(elecPRV,1,7)*allOnes,tpSurvPRV)</f>
        <v>1479.237808366405</v>
      </c>
      <c r="AM146" s="10"/>
    </row>
    <row r="147" spans="2:39" ht="15">
      <c r="B147" s="10"/>
      <c r="C147" s="41" t="str">
        <f ca="1">"Std (CSL " &amp; stdCSL &amp; "): " &amp; INDEX(_doName,7,stdCSL+1)</f>
        <v>Std (CSL 5): EL 5</v>
      </c>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3"/>
      <c r="AM147" s="10"/>
    </row>
    <row r="148" spans="2:39" ht="15">
      <c r="B148" s="10"/>
      <c r="C148" s="57" t="str">
        <f>"EL 0: " &amp; INDEX(_doName,7,1)</f>
        <v>EL 0: EL 6</v>
      </c>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3"/>
      <c r="AM148" s="10"/>
    </row>
    <row r="149" spans="2:39" ht="15">
      <c r="B149" s="10"/>
      <c r="C149" s="16" t="s">
        <v>69</v>
      </c>
      <c r="D149" s="12" t="str">
        <f>_yearDol &amp; "$"</f>
        <v>2015$</v>
      </c>
      <c r="E149" s="13">
        <f t="array" aca="1" ref="E149:AL149" ca="1">INDEX(mspPRV,stdCSL+1,1)*tPIdxAll + INDEX(instPRV,stdCSL+1,1) + IF(bESav,SUMPRODUCT(dFactor,tpSurvPRV,INDEX(mrPRV,stdCSL+1,1)*allOnes),0)</f>
        <v>0</v>
      </c>
      <c r="F149" s="13">
        <f ca="1"/>
        <v>0</v>
      </c>
      <c r="G149" s="13">
        <f ca="1"/>
        <v>0</v>
      </c>
      <c r="H149" s="13">
        <f ca="1"/>
        <v>0</v>
      </c>
      <c r="I149" s="13">
        <f ca="1"/>
        <v>0</v>
      </c>
      <c r="J149" s="13">
        <f ca="1"/>
        <v>0</v>
      </c>
      <c r="K149" s="13">
        <f ca="1"/>
        <v>0</v>
      </c>
      <c r="L149" s="13">
        <f ca="1"/>
        <v>0</v>
      </c>
      <c r="M149" s="13">
        <f ca="1"/>
        <v>0</v>
      </c>
      <c r="N149" s="13">
        <f ca="1"/>
        <v>0</v>
      </c>
      <c r="O149" s="13">
        <f ca="1"/>
        <v>0</v>
      </c>
      <c r="P149" s="13">
        <f ca="1"/>
        <v>0</v>
      </c>
      <c r="Q149" s="13">
        <f ca="1"/>
        <v>0</v>
      </c>
      <c r="R149" s="13">
        <f ca="1"/>
        <v>0</v>
      </c>
      <c r="S149" s="13">
        <f ca="1"/>
        <v>0</v>
      </c>
      <c r="T149" s="13">
        <f ca="1"/>
        <v>0</v>
      </c>
      <c r="U149" s="13">
        <f ca="1"/>
        <v>0</v>
      </c>
      <c r="V149" s="13">
        <f ca="1"/>
        <v>0</v>
      </c>
      <c r="W149" s="13">
        <f ca="1"/>
        <v>0</v>
      </c>
      <c r="X149" s="13">
        <f ca="1"/>
        <v>0</v>
      </c>
      <c r="Y149" s="13">
        <f ca="1"/>
        <v>0</v>
      </c>
      <c r="Z149" s="13">
        <f ca="1"/>
        <v>0</v>
      </c>
      <c r="AA149" s="13">
        <f ca="1"/>
        <v>0</v>
      </c>
      <c r="AB149" s="13">
        <f ca="1"/>
        <v>0</v>
      </c>
      <c r="AC149" s="13">
        <f ca="1"/>
        <v>0</v>
      </c>
      <c r="AD149" s="13">
        <f ca="1"/>
        <v>0</v>
      </c>
      <c r="AE149" s="13">
        <f ca="1"/>
        <v>0</v>
      </c>
      <c r="AF149" s="13">
        <f ca="1"/>
        <v>0</v>
      </c>
      <c r="AG149" s="13">
        <f ca="1"/>
        <v>0</v>
      </c>
      <c r="AH149" s="13">
        <f ca="1"/>
        <v>0</v>
      </c>
      <c r="AI149" s="13">
        <f ca="1"/>
        <v>0</v>
      </c>
      <c r="AJ149" s="13">
        <f ca="1"/>
        <v>0</v>
      </c>
      <c r="AK149" s="13">
        <f ca="1"/>
        <v>0</v>
      </c>
      <c r="AL149" s="56">
        <f ca="1"/>
        <v>0</v>
      </c>
      <c r="AM149" s="10"/>
    </row>
    <row r="150" spans="2:39" ht="15">
      <c r="B150" s="10"/>
      <c r="C150" s="16" t="str">
        <f>zEO&amp;" Costs"</f>
        <v>Operating Costs</v>
      </c>
      <c r="D150" s="12" t="str">
        <f>_yearDol &amp; "$"</f>
        <v>2015$</v>
      </c>
      <c r="E150" s="13">
        <f t="array" aca="1" ref="E150:AL150" ca="1">(tlccEFuElecpol0) + IF(bOSav,SUMPRODUCT(dFactor,tpSurvPRV,INDEX(mrPRV,stdCSL+1,1)*allOnes),0)</f>
        <v>0</v>
      </c>
      <c r="F150" s="13">
        <f ca="1"/>
        <v>0</v>
      </c>
      <c r="G150" s="13">
        <f ca="1"/>
        <v>0</v>
      </c>
      <c r="H150" s="13">
        <f ca="1"/>
        <v>0</v>
      </c>
      <c r="I150" s="13">
        <f ca="1"/>
        <v>0</v>
      </c>
      <c r="J150" s="13">
        <f ca="1"/>
        <v>0</v>
      </c>
      <c r="K150" s="13">
        <f ca="1"/>
        <v>0</v>
      </c>
      <c r="L150" s="13">
        <f ca="1"/>
        <v>0</v>
      </c>
      <c r="M150" s="13">
        <f ca="1"/>
        <v>0</v>
      </c>
      <c r="N150" s="13">
        <f ca="1"/>
        <v>0</v>
      </c>
      <c r="O150" s="13">
        <f ca="1"/>
        <v>0</v>
      </c>
      <c r="P150" s="13">
        <f ca="1"/>
        <v>0</v>
      </c>
      <c r="Q150" s="13">
        <f ca="1"/>
        <v>0</v>
      </c>
      <c r="R150" s="13">
        <f ca="1"/>
        <v>0</v>
      </c>
      <c r="S150" s="13">
        <f ca="1"/>
        <v>0</v>
      </c>
      <c r="T150" s="13">
        <f ca="1"/>
        <v>0</v>
      </c>
      <c r="U150" s="13">
        <f ca="1"/>
        <v>0</v>
      </c>
      <c r="V150" s="13">
        <f ca="1"/>
        <v>0</v>
      </c>
      <c r="W150" s="13">
        <f ca="1"/>
        <v>0</v>
      </c>
      <c r="X150" s="13">
        <f ca="1"/>
        <v>0</v>
      </c>
      <c r="Y150" s="13">
        <f ca="1"/>
        <v>0</v>
      </c>
      <c r="Z150" s="13">
        <f ca="1"/>
        <v>0</v>
      </c>
      <c r="AA150" s="13">
        <f ca="1"/>
        <v>0</v>
      </c>
      <c r="AB150" s="13">
        <f ca="1"/>
        <v>0</v>
      </c>
      <c r="AC150" s="13">
        <f ca="1"/>
        <v>0</v>
      </c>
      <c r="AD150" s="13">
        <f ca="1"/>
        <v>0</v>
      </c>
      <c r="AE150" s="13">
        <f ca="1"/>
        <v>0</v>
      </c>
      <c r="AF150" s="13">
        <f ca="1"/>
        <v>0</v>
      </c>
      <c r="AG150" s="13">
        <f ca="1"/>
        <v>0</v>
      </c>
      <c r="AH150" s="13">
        <f ca="1"/>
        <v>0</v>
      </c>
      <c r="AI150" s="13">
        <f ca="1"/>
        <v>0</v>
      </c>
      <c r="AJ150" s="13">
        <f ca="1"/>
        <v>0</v>
      </c>
      <c r="AK150" s="13">
        <f ca="1"/>
        <v>0</v>
      </c>
      <c r="AL150" s="56">
        <f ca="1"/>
        <v>0</v>
      </c>
      <c r="AM150" s="10"/>
    </row>
    <row r="151" spans="2:39" ht="15">
      <c r="B151" s="10"/>
      <c r="C151" s="28" t="str">
        <f>INDEX(_fuel,1)</f>
        <v>Electricity</v>
      </c>
      <c r="D151" s="12" t="str">
        <f>_yearDol &amp; "$"</f>
        <v>2015$</v>
      </c>
      <c r="E151" s="13">
        <f ca="1">SUMPRODUCT(dFactor,tpSurvPRV,INDEX(elecPRV,stdCSL+1,1)*allOnes,OFFSET(tPrcElec,0,0,1,_maxLT))</f>
        <v>0</v>
      </c>
      <c r="F151" s="13">
        <f ca="1">SUMPRODUCT(dFactor,tpSurvPRV,INDEX(elecPRV,stdCSL+1,1)*allOnes,OFFSET(tPrcElec,0,1,1,_maxLT))</f>
        <v>0</v>
      </c>
      <c r="G151" s="13">
        <f ca="1">SUMPRODUCT(dFactor,tpSurvPRV,INDEX(elecPRV,stdCSL+1,1)*allOnes,OFFSET(tPrcElec,0,2,1,_maxLT))</f>
        <v>0</v>
      </c>
      <c r="H151" s="13">
        <f ca="1">SUMPRODUCT(dFactor,tpSurvPRV,INDEX(elecPRV,stdCSL+1,1)*allOnes,OFFSET(tPrcElec,0,3,1,_maxLT))</f>
        <v>0</v>
      </c>
      <c r="I151" s="13">
        <f ca="1">SUMPRODUCT(dFactor,tpSurvPRV,INDEX(elecPRV,stdCSL+1,1)*allOnes,OFFSET(tPrcElec,0,4,1,_maxLT))</f>
        <v>0</v>
      </c>
      <c r="J151" s="13">
        <f ca="1">SUMPRODUCT(dFactor,tpSurvPRV,INDEX(elecPRV,stdCSL+1,1)*allOnes,OFFSET(tPrcElec,0,5,1,_maxLT))</f>
        <v>0</v>
      </c>
      <c r="K151" s="13">
        <f ca="1">SUMPRODUCT(dFactor,tpSurvPRV,INDEX(elecPRV,stdCSL+1,1)*allOnes,OFFSET(tPrcElec,0,6,1,_maxLT))</f>
        <v>0</v>
      </c>
      <c r="L151" s="13">
        <f ca="1">SUMPRODUCT(dFactor,tpSurvPRV,INDEX(elecPRV,stdCSL+1,1)*allOnes,OFFSET(tPrcElec,0,7,1,_maxLT))</f>
        <v>0</v>
      </c>
      <c r="M151" s="13">
        <f ca="1">SUMPRODUCT(dFactor,tpSurvPRV,INDEX(elecPRV,stdCSL+1,1)*allOnes,OFFSET(tPrcElec,0,8,1,_maxLT))</f>
        <v>0</v>
      </c>
      <c r="N151" s="13">
        <f ca="1">SUMPRODUCT(dFactor,tpSurvPRV,INDEX(elecPRV,stdCSL+1,1)*allOnes,OFFSET(tPrcElec,0,9,1,_maxLT))</f>
        <v>0</v>
      </c>
      <c r="O151" s="13">
        <f ca="1">SUMPRODUCT(dFactor,tpSurvPRV,INDEX(elecPRV,stdCSL+1,1)*allOnes,OFFSET(tPrcElec,0,10,1,_maxLT))</f>
        <v>0</v>
      </c>
      <c r="P151" s="13">
        <f ca="1">SUMPRODUCT(dFactor,tpSurvPRV,INDEX(elecPRV,stdCSL+1,1)*allOnes,OFFSET(tPrcElec,0,11,1,_maxLT))</f>
        <v>0</v>
      </c>
      <c r="Q151" s="13">
        <f ca="1">SUMPRODUCT(dFactor,tpSurvPRV,INDEX(elecPRV,stdCSL+1,1)*allOnes,OFFSET(tPrcElec,0,12,1,_maxLT))</f>
        <v>0</v>
      </c>
      <c r="R151" s="13">
        <f ca="1">SUMPRODUCT(dFactor,tpSurvPRV,INDEX(elecPRV,stdCSL+1,1)*allOnes,OFFSET(tPrcElec,0,13,1,_maxLT))</f>
        <v>0</v>
      </c>
      <c r="S151" s="13">
        <f ca="1">SUMPRODUCT(dFactor,tpSurvPRV,INDEX(elecPRV,stdCSL+1,1)*allOnes,OFFSET(tPrcElec,0,14,1,_maxLT))</f>
        <v>0</v>
      </c>
      <c r="T151" s="13">
        <f ca="1">SUMPRODUCT(dFactor,tpSurvPRV,INDEX(elecPRV,stdCSL+1,1)*allOnes,OFFSET(tPrcElec,0,15,1,_maxLT))</f>
        <v>0</v>
      </c>
      <c r="U151" s="13">
        <f ca="1">SUMPRODUCT(dFactor,tpSurvPRV,INDEX(elecPRV,stdCSL+1,1)*allOnes,OFFSET(tPrcElec,0,16,1,_maxLT))</f>
        <v>0</v>
      </c>
      <c r="V151" s="13">
        <f ca="1">SUMPRODUCT(dFactor,tpSurvPRV,INDEX(elecPRV,stdCSL+1,1)*allOnes,OFFSET(tPrcElec,0,17,1,_maxLT))</f>
        <v>0</v>
      </c>
      <c r="W151" s="13">
        <f ca="1">SUMPRODUCT(dFactor,tpSurvPRV,INDEX(elecPRV,stdCSL+1,1)*allOnes,OFFSET(tPrcElec,0,18,1,_maxLT))</f>
        <v>0</v>
      </c>
      <c r="X151" s="13">
        <f ca="1">SUMPRODUCT(dFactor,tpSurvPRV,INDEX(elecPRV,stdCSL+1,1)*allOnes,OFFSET(tPrcElec,0,19,1,_maxLT))</f>
        <v>0</v>
      </c>
      <c r="Y151" s="13">
        <f ca="1">SUMPRODUCT(dFactor,tpSurvPRV,INDEX(elecPRV,stdCSL+1,1)*allOnes,OFFSET(tPrcElec,0,20,1,_maxLT))</f>
        <v>0</v>
      </c>
      <c r="Z151" s="13">
        <f ca="1">SUMPRODUCT(dFactor,tpSurvPRV,INDEX(elecPRV,stdCSL+1,1)*allOnes,OFFSET(tPrcElec,0,21,1,_maxLT))</f>
        <v>0</v>
      </c>
      <c r="AA151" s="13">
        <f ca="1">SUMPRODUCT(dFactor,tpSurvPRV,INDEX(elecPRV,stdCSL+1,1)*allOnes,OFFSET(tPrcElec,0,22,1,_maxLT))</f>
        <v>0</v>
      </c>
      <c r="AB151" s="13">
        <f ca="1">SUMPRODUCT(dFactor,tpSurvPRV,INDEX(elecPRV,stdCSL+1,1)*allOnes,OFFSET(tPrcElec,0,23,1,_maxLT))</f>
        <v>0</v>
      </c>
      <c r="AC151" s="13">
        <f ca="1">SUMPRODUCT(dFactor,tpSurvPRV,INDEX(elecPRV,stdCSL+1,1)*allOnes,OFFSET(tPrcElec,0,24,1,_maxLT))</f>
        <v>0</v>
      </c>
      <c r="AD151" s="13">
        <f ca="1">SUMPRODUCT(dFactor,tpSurvPRV,INDEX(elecPRV,stdCSL+1,1)*allOnes,OFFSET(tPrcElec,0,25,1,_maxLT))</f>
        <v>0</v>
      </c>
      <c r="AE151" s="13">
        <f ca="1">SUMPRODUCT(dFactor,tpSurvPRV,INDEX(elecPRV,stdCSL+1,1)*allOnes,OFFSET(tPrcElec,0,26,1,_maxLT))</f>
        <v>0</v>
      </c>
      <c r="AF151" s="13">
        <f ca="1">SUMPRODUCT(dFactor,tpSurvPRV,INDEX(elecPRV,stdCSL+1,1)*allOnes,OFFSET(tPrcElec,0,27,1,_maxLT))</f>
        <v>0</v>
      </c>
      <c r="AG151" s="13">
        <f ca="1">SUMPRODUCT(dFactor,tpSurvPRV,INDEX(elecPRV,stdCSL+1,1)*allOnes,OFFSET(tPrcElec,0,28,1,_maxLT))</f>
        <v>0</v>
      </c>
      <c r="AH151" s="13">
        <f ca="1">SUMPRODUCT(dFactor,tpSurvPRV,INDEX(elecPRV,stdCSL+1,1)*allOnes,OFFSET(tPrcElec,0,29,1,_maxLT))</f>
        <v>0</v>
      </c>
      <c r="AI151" s="13">
        <f ca="1">SUMPRODUCT(dFactor,tpSurvPRV,INDEX(elecPRV,stdCSL+1,1)*allOnes,OFFSET(tPrcElec,0,30,1,_maxLT))</f>
        <v>0</v>
      </c>
      <c r="AJ151" s="13">
        <f ca="1">SUMPRODUCT(dFactor,tpSurvPRV,INDEX(elecPRV,stdCSL+1,1)*allOnes,OFFSET(tPrcElec,0,31,1,_maxLT))</f>
        <v>0</v>
      </c>
      <c r="AK151" s="13">
        <f ca="1">SUMPRODUCT(dFactor,tpSurvPRV,INDEX(elecPRV,stdCSL+1,1)*allOnes,OFFSET(tPrcElec,0,32,1,_maxLT))</f>
        <v>0</v>
      </c>
      <c r="AL151" s="56">
        <f ca="1">SUMPRODUCT(dFactor,tpSurvPRV,INDEX(elecPRV,stdCSL+1,1)*allOnes,OFFSET(tPrcElec,0,33,1,_maxLT))</f>
        <v>0</v>
      </c>
      <c r="AM151" s="10"/>
    </row>
    <row r="152" spans="2:39" ht="15">
      <c r="B152" s="10"/>
      <c r="C152" s="16" t="s">
        <v>79</v>
      </c>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5"/>
      <c r="AM152" s="10"/>
    </row>
    <row r="153" spans="2:39" ht="15">
      <c r="B153" s="10"/>
      <c r="C153" s="28" t="str">
        <f>INDEX(_fuel,1)</f>
        <v>Electricity</v>
      </c>
      <c r="D153" s="12" t="s">
        <v>83</v>
      </c>
      <c r="E153" s="39">
        <f ca="1">SUMPRODUCT(OFFSET(tConvElecPRV,0,0,1,_maxLT),INDEX(elecPRV,stdCSL+1,1)*allOnes,tpSurvPRV)</f>
        <v>0</v>
      </c>
      <c r="F153" s="39">
        <f ca="1">SUMPRODUCT(OFFSET(tConvElecPRV,0,1,1,_maxLT),INDEX(elecPRV,stdCSL+1,1)*allOnes,tpSurvPRV)</f>
        <v>0</v>
      </c>
      <c r="G153" s="39">
        <f ca="1">SUMPRODUCT(OFFSET(tConvElecPRV,0,2,1,_maxLT),INDEX(elecPRV,stdCSL+1,1)*allOnes,tpSurvPRV)</f>
        <v>0</v>
      </c>
      <c r="H153" s="39">
        <f ca="1">SUMPRODUCT(OFFSET(tConvElecPRV,0,3,1,_maxLT),INDEX(elecPRV,stdCSL+1,1)*allOnes,tpSurvPRV)</f>
        <v>0</v>
      </c>
      <c r="I153" s="39">
        <f ca="1">SUMPRODUCT(OFFSET(tConvElecPRV,0,4,1,_maxLT),INDEX(elecPRV,stdCSL+1,1)*allOnes,tpSurvPRV)</f>
        <v>0</v>
      </c>
      <c r="J153" s="39">
        <f ca="1">SUMPRODUCT(OFFSET(tConvElecPRV,0,5,1,_maxLT),INDEX(elecPRV,stdCSL+1,1)*allOnes,tpSurvPRV)</f>
        <v>0</v>
      </c>
      <c r="K153" s="39">
        <f ca="1">SUMPRODUCT(OFFSET(tConvElecPRV,0,6,1,_maxLT),INDEX(elecPRV,stdCSL+1,1)*allOnes,tpSurvPRV)</f>
        <v>0</v>
      </c>
      <c r="L153" s="39">
        <f ca="1">SUMPRODUCT(OFFSET(tConvElecPRV,0,7,1,_maxLT),INDEX(elecPRV,stdCSL+1,1)*allOnes,tpSurvPRV)</f>
        <v>0</v>
      </c>
      <c r="M153" s="39">
        <f ca="1">SUMPRODUCT(OFFSET(tConvElecPRV,0,8,1,_maxLT),INDEX(elecPRV,stdCSL+1,1)*allOnes,tpSurvPRV)</f>
        <v>0</v>
      </c>
      <c r="N153" s="39">
        <f ca="1">SUMPRODUCT(OFFSET(tConvElecPRV,0,9,1,_maxLT),INDEX(elecPRV,stdCSL+1,1)*allOnes,tpSurvPRV)</f>
        <v>0</v>
      </c>
      <c r="O153" s="39">
        <f ca="1">SUMPRODUCT(OFFSET(tConvElecPRV,0,10,1,_maxLT),INDEX(elecPRV,stdCSL+1,1)*allOnes,tpSurvPRV)</f>
        <v>0</v>
      </c>
      <c r="P153" s="39">
        <f ca="1">SUMPRODUCT(OFFSET(tConvElecPRV,0,11,1,_maxLT),INDEX(elecPRV,stdCSL+1,1)*allOnes,tpSurvPRV)</f>
        <v>0</v>
      </c>
      <c r="Q153" s="39">
        <f ca="1">SUMPRODUCT(OFFSET(tConvElecPRV,0,12,1,_maxLT),INDEX(elecPRV,stdCSL+1,1)*allOnes,tpSurvPRV)</f>
        <v>0</v>
      </c>
      <c r="R153" s="39">
        <f ca="1">SUMPRODUCT(OFFSET(tConvElecPRV,0,13,1,_maxLT),INDEX(elecPRV,stdCSL+1,1)*allOnes,tpSurvPRV)</f>
        <v>0</v>
      </c>
      <c r="S153" s="39">
        <f ca="1">SUMPRODUCT(OFFSET(tConvElecPRV,0,14,1,_maxLT),INDEX(elecPRV,stdCSL+1,1)*allOnes,tpSurvPRV)</f>
        <v>0</v>
      </c>
      <c r="T153" s="39">
        <f ca="1">SUMPRODUCT(OFFSET(tConvElecPRV,0,15,1,_maxLT),INDEX(elecPRV,stdCSL+1,1)*allOnes,tpSurvPRV)</f>
        <v>0</v>
      </c>
      <c r="U153" s="39">
        <f ca="1">SUMPRODUCT(OFFSET(tConvElecPRV,0,16,1,_maxLT),INDEX(elecPRV,stdCSL+1,1)*allOnes,tpSurvPRV)</f>
        <v>0</v>
      </c>
      <c r="V153" s="39">
        <f ca="1">SUMPRODUCT(OFFSET(tConvElecPRV,0,17,1,_maxLT),INDEX(elecPRV,stdCSL+1,1)*allOnes,tpSurvPRV)</f>
        <v>0</v>
      </c>
      <c r="W153" s="39">
        <f ca="1">SUMPRODUCT(OFFSET(tConvElecPRV,0,18,1,_maxLT),INDEX(elecPRV,stdCSL+1,1)*allOnes,tpSurvPRV)</f>
        <v>0</v>
      </c>
      <c r="X153" s="39">
        <f ca="1">SUMPRODUCT(OFFSET(tConvElecPRV,0,19,1,_maxLT),INDEX(elecPRV,stdCSL+1,1)*allOnes,tpSurvPRV)</f>
        <v>0</v>
      </c>
      <c r="Y153" s="39">
        <f ca="1">SUMPRODUCT(OFFSET(tConvElecPRV,0,20,1,_maxLT),INDEX(elecPRV,stdCSL+1,1)*allOnes,tpSurvPRV)</f>
        <v>0</v>
      </c>
      <c r="Z153" s="39">
        <f ca="1">SUMPRODUCT(OFFSET(tConvElecPRV,0,21,1,_maxLT),INDEX(elecPRV,stdCSL+1,1)*allOnes,tpSurvPRV)</f>
        <v>0</v>
      </c>
      <c r="AA153" s="39">
        <f ca="1">SUMPRODUCT(OFFSET(tConvElecPRV,0,22,1,_maxLT),INDEX(elecPRV,stdCSL+1,1)*allOnes,tpSurvPRV)</f>
        <v>0</v>
      </c>
      <c r="AB153" s="39">
        <f ca="1">SUMPRODUCT(OFFSET(tConvElecPRV,0,23,1,_maxLT),INDEX(elecPRV,stdCSL+1,1)*allOnes,tpSurvPRV)</f>
        <v>0</v>
      </c>
      <c r="AC153" s="39">
        <f ca="1">SUMPRODUCT(OFFSET(tConvElecPRV,0,24,1,_maxLT),INDEX(elecPRV,stdCSL+1,1)*allOnes,tpSurvPRV)</f>
        <v>0</v>
      </c>
      <c r="AD153" s="39">
        <f ca="1">SUMPRODUCT(OFFSET(tConvElecPRV,0,25,1,_maxLT),INDEX(elecPRV,stdCSL+1,1)*allOnes,tpSurvPRV)</f>
        <v>0</v>
      </c>
      <c r="AE153" s="39">
        <f ca="1">SUMPRODUCT(OFFSET(tConvElecPRV,0,26,1,_maxLT),INDEX(elecPRV,stdCSL+1,1)*allOnes,tpSurvPRV)</f>
        <v>0</v>
      </c>
      <c r="AF153" s="39">
        <f ca="1">SUMPRODUCT(OFFSET(tConvElecPRV,0,27,1,_maxLT),INDEX(elecPRV,stdCSL+1,1)*allOnes,tpSurvPRV)</f>
        <v>0</v>
      </c>
      <c r="AG153" s="39">
        <f ca="1">SUMPRODUCT(OFFSET(tConvElecPRV,0,28,1,_maxLT),INDEX(elecPRV,stdCSL+1,1)*allOnes,tpSurvPRV)</f>
        <v>0</v>
      </c>
      <c r="AH153" s="39">
        <f ca="1">SUMPRODUCT(OFFSET(tConvElecPRV,0,29,1,_maxLT),INDEX(elecPRV,stdCSL+1,1)*allOnes,tpSurvPRV)</f>
        <v>0</v>
      </c>
      <c r="AI153" s="39">
        <f ca="1">SUMPRODUCT(OFFSET(tConvElecPRV,0,30,1,_maxLT),INDEX(elecPRV,stdCSL+1,1)*allOnes,tpSurvPRV)</f>
        <v>0</v>
      </c>
      <c r="AJ153" s="39">
        <f ca="1">SUMPRODUCT(OFFSET(tConvElecPRV,0,31,1,_maxLT),INDEX(elecPRV,stdCSL+1,1)*allOnes,tpSurvPRV)</f>
        <v>0</v>
      </c>
      <c r="AK153" s="39">
        <f ca="1">SUMPRODUCT(OFFSET(tConvElecPRV,0,32,1,_maxLT),INDEX(elecPRV,stdCSL+1,1)*allOnes,tpSurvPRV)</f>
        <v>0</v>
      </c>
      <c r="AL153" s="40">
        <f ca="1">SUMPRODUCT(OFFSET(tConvElecPRV,0,33,1,_maxLT),INDEX(elecPRV,stdCSL+1,1)*allOnes,tpSurvPRV)</f>
        <v>0</v>
      </c>
      <c r="AM153" s="10"/>
    </row>
    <row r="154" spans="2:39" ht="15">
      <c r="B154" s="10"/>
      <c r="C154" s="57" t="str">
        <f>"EL 1: " &amp; INDEX(_doName,7,2)</f>
        <v>EL 1: EL 1</v>
      </c>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3"/>
      <c r="AM154" s="10"/>
    </row>
    <row r="155" spans="2:39" ht="15">
      <c r="B155" s="10"/>
      <c r="C155" s="16" t="s">
        <v>69</v>
      </c>
      <c r="D155" s="12" t="str">
        <f>_yearDol &amp; "$"</f>
        <v>2015$</v>
      </c>
      <c r="E155" s="13">
        <f t="array" aca="1" ref="E155:AL155" ca="1">INDEX(mspPRV,stdCSL+1,2)*tPIdxAll + INDEX(instPRV,stdCSL+1,2) + IF(bESav,SUMPRODUCT(dFactor,tpSurvPRV,INDEX(mrPRV,stdCSL+1,2)*allOnes),0)</f>
        <v>0</v>
      </c>
      <c r="F155" s="13">
        <f ca="1"/>
        <v>0</v>
      </c>
      <c r="G155" s="13">
        <f ca="1"/>
        <v>0</v>
      </c>
      <c r="H155" s="13">
        <f ca="1"/>
        <v>0</v>
      </c>
      <c r="I155" s="13">
        <f ca="1"/>
        <v>0</v>
      </c>
      <c r="J155" s="13">
        <f ca="1"/>
        <v>0</v>
      </c>
      <c r="K155" s="13">
        <f ca="1"/>
        <v>0</v>
      </c>
      <c r="L155" s="13">
        <f ca="1"/>
        <v>0</v>
      </c>
      <c r="M155" s="13">
        <f ca="1"/>
        <v>0</v>
      </c>
      <c r="N155" s="13">
        <f ca="1"/>
        <v>0</v>
      </c>
      <c r="O155" s="13">
        <f ca="1"/>
        <v>0</v>
      </c>
      <c r="P155" s="13">
        <f ca="1"/>
        <v>0</v>
      </c>
      <c r="Q155" s="13">
        <f ca="1"/>
        <v>0</v>
      </c>
      <c r="R155" s="13">
        <f ca="1"/>
        <v>0</v>
      </c>
      <c r="S155" s="13">
        <f ca="1"/>
        <v>0</v>
      </c>
      <c r="T155" s="13">
        <f ca="1"/>
        <v>0</v>
      </c>
      <c r="U155" s="13">
        <f ca="1"/>
        <v>0</v>
      </c>
      <c r="V155" s="13">
        <f ca="1"/>
        <v>0</v>
      </c>
      <c r="W155" s="13">
        <f ca="1"/>
        <v>0</v>
      </c>
      <c r="X155" s="13">
        <f ca="1"/>
        <v>0</v>
      </c>
      <c r="Y155" s="13">
        <f ca="1"/>
        <v>0</v>
      </c>
      <c r="Z155" s="13">
        <f ca="1"/>
        <v>0</v>
      </c>
      <c r="AA155" s="13">
        <f ca="1"/>
        <v>0</v>
      </c>
      <c r="AB155" s="13">
        <f ca="1"/>
        <v>0</v>
      </c>
      <c r="AC155" s="13">
        <f ca="1"/>
        <v>0</v>
      </c>
      <c r="AD155" s="13">
        <f ca="1"/>
        <v>0</v>
      </c>
      <c r="AE155" s="13">
        <f ca="1"/>
        <v>0</v>
      </c>
      <c r="AF155" s="13">
        <f ca="1"/>
        <v>0</v>
      </c>
      <c r="AG155" s="13">
        <f ca="1"/>
        <v>0</v>
      </c>
      <c r="AH155" s="13">
        <f ca="1"/>
        <v>0</v>
      </c>
      <c r="AI155" s="13">
        <f ca="1"/>
        <v>0</v>
      </c>
      <c r="AJ155" s="13">
        <f ca="1"/>
        <v>0</v>
      </c>
      <c r="AK155" s="13">
        <f ca="1"/>
        <v>0</v>
      </c>
      <c r="AL155" s="56">
        <f ca="1"/>
        <v>0</v>
      </c>
      <c r="AM155" s="10"/>
    </row>
    <row r="156" spans="2:39" ht="15">
      <c r="B156" s="10"/>
      <c r="C156" s="16" t="str">
        <f>zEO&amp;" Costs"</f>
        <v>Operating Costs</v>
      </c>
      <c r="D156" s="12" t="str">
        <f>_yearDol &amp; "$"</f>
        <v>2015$</v>
      </c>
      <c r="E156" s="13">
        <f t="array" aca="1" ref="E156:AL156" ca="1">(tlccEFuElecpol1) + IF(bOSav,SUMPRODUCT(dFactor,tpSurvPRV,INDEX(mrPRV,stdCSL+1,2)*allOnes),0)</f>
        <v>0</v>
      </c>
      <c r="F156" s="13">
        <f ca="1"/>
        <v>0</v>
      </c>
      <c r="G156" s="13">
        <f ca="1"/>
        <v>0</v>
      </c>
      <c r="H156" s="13">
        <f ca="1"/>
        <v>0</v>
      </c>
      <c r="I156" s="13">
        <f ca="1"/>
        <v>0</v>
      </c>
      <c r="J156" s="13">
        <f ca="1"/>
        <v>0</v>
      </c>
      <c r="K156" s="13">
        <f ca="1"/>
        <v>0</v>
      </c>
      <c r="L156" s="13">
        <f ca="1"/>
        <v>0</v>
      </c>
      <c r="M156" s="13">
        <f ca="1"/>
        <v>0</v>
      </c>
      <c r="N156" s="13">
        <f ca="1"/>
        <v>0</v>
      </c>
      <c r="O156" s="13">
        <f ca="1"/>
        <v>0</v>
      </c>
      <c r="P156" s="13">
        <f ca="1"/>
        <v>0</v>
      </c>
      <c r="Q156" s="13">
        <f ca="1"/>
        <v>0</v>
      </c>
      <c r="R156" s="13">
        <f ca="1"/>
        <v>0</v>
      </c>
      <c r="S156" s="13">
        <f ca="1"/>
        <v>0</v>
      </c>
      <c r="T156" s="13">
        <f ca="1"/>
        <v>0</v>
      </c>
      <c r="U156" s="13">
        <f ca="1"/>
        <v>0</v>
      </c>
      <c r="V156" s="13">
        <f ca="1"/>
        <v>0</v>
      </c>
      <c r="W156" s="13">
        <f ca="1"/>
        <v>0</v>
      </c>
      <c r="X156" s="13">
        <f ca="1"/>
        <v>0</v>
      </c>
      <c r="Y156" s="13">
        <f ca="1"/>
        <v>0</v>
      </c>
      <c r="Z156" s="13">
        <f ca="1"/>
        <v>0</v>
      </c>
      <c r="AA156" s="13">
        <f ca="1"/>
        <v>0</v>
      </c>
      <c r="AB156" s="13">
        <f ca="1"/>
        <v>0</v>
      </c>
      <c r="AC156" s="13">
        <f ca="1"/>
        <v>0</v>
      </c>
      <c r="AD156" s="13">
        <f ca="1"/>
        <v>0</v>
      </c>
      <c r="AE156" s="13">
        <f ca="1"/>
        <v>0</v>
      </c>
      <c r="AF156" s="13">
        <f ca="1"/>
        <v>0</v>
      </c>
      <c r="AG156" s="13">
        <f ca="1"/>
        <v>0</v>
      </c>
      <c r="AH156" s="13">
        <f ca="1"/>
        <v>0</v>
      </c>
      <c r="AI156" s="13">
        <f ca="1"/>
        <v>0</v>
      </c>
      <c r="AJ156" s="13">
        <f ca="1"/>
        <v>0</v>
      </c>
      <c r="AK156" s="13">
        <f ca="1"/>
        <v>0</v>
      </c>
      <c r="AL156" s="56">
        <f ca="1"/>
        <v>0</v>
      </c>
      <c r="AM156" s="10"/>
    </row>
    <row r="157" spans="2:39" ht="15">
      <c r="B157" s="10"/>
      <c r="C157" s="28" t="str">
        <f>INDEX(_fuel,1)</f>
        <v>Electricity</v>
      </c>
      <c r="D157" s="12" t="str">
        <f>_yearDol &amp; "$"</f>
        <v>2015$</v>
      </c>
      <c r="E157" s="13">
        <f ca="1">SUMPRODUCT(dFactor,tpSurvPRV,INDEX(elecPRV,stdCSL+1,2)*allOnes,OFFSET(tPrcElec,0,0,1,_maxLT))</f>
        <v>0</v>
      </c>
      <c r="F157" s="13">
        <f ca="1">SUMPRODUCT(dFactor,tpSurvPRV,INDEX(elecPRV,stdCSL+1,2)*allOnes,OFFSET(tPrcElec,0,1,1,_maxLT))</f>
        <v>0</v>
      </c>
      <c r="G157" s="13">
        <f ca="1">SUMPRODUCT(dFactor,tpSurvPRV,INDEX(elecPRV,stdCSL+1,2)*allOnes,OFFSET(tPrcElec,0,2,1,_maxLT))</f>
        <v>0</v>
      </c>
      <c r="H157" s="13">
        <f ca="1">SUMPRODUCT(dFactor,tpSurvPRV,INDEX(elecPRV,stdCSL+1,2)*allOnes,OFFSET(tPrcElec,0,3,1,_maxLT))</f>
        <v>0</v>
      </c>
      <c r="I157" s="13">
        <f ca="1">SUMPRODUCT(dFactor,tpSurvPRV,INDEX(elecPRV,stdCSL+1,2)*allOnes,OFFSET(tPrcElec,0,4,1,_maxLT))</f>
        <v>0</v>
      </c>
      <c r="J157" s="13">
        <f ca="1">SUMPRODUCT(dFactor,tpSurvPRV,INDEX(elecPRV,stdCSL+1,2)*allOnes,OFFSET(tPrcElec,0,5,1,_maxLT))</f>
        <v>0</v>
      </c>
      <c r="K157" s="13">
        <f ca="1">SUMPRODUCT(dFactor,tpSurvPRV,INDEX(elecPRV,stdCSL+1,2)*allOnes,OFFSET(tPrcElec,0,6,1,_maxLT))</f>
        <v>0</v>
      </c>
      <c r="L157" s="13">
        <f ca="1">SUMPRODUCT(dFactor,tpSurvPRV,INDEX(elecPRV,stdCSL+1,2)*allOnes,OFFSET(tPrcElec,0,7,1,_maxLT))</f>
        <v>0</v>
      </c>
      <c r="M157" s="13">
        <f ca="1">SUMPRODUCT(dFactor,tpSurvPRV,INDEX(elecPRV,stdCSL+1,2)*allOnes,OFFSET(tPrcElec,0,8,1,_maxLT))</f>
        <v>0</v>
      </c>
      <c r="N157" s="13">
        <f ca="1">SUMPRODUCT(dFactor,tpSurvPRV,INDEX(elecPRV,stdCSL+1,2)*allOnes,OFFSET(tPrcElec,0,9,1,_maxLT))</f>
        <v>0</v>
      </c>
      <c r="O157" s="13">
        <f ca="1">SUMPRODUCT(dFactor,tpSurvPRV,INDEX(elecPRV,stdCSL+1,2)*allOnes,OFFSET(tPrcElec,0,10,1,_maxLT))</f>
        <v>0</v>
      </c>
      <c r="P157" s="13">
        <f ca="1">SUMPRODUCT(dFactor,tpSurvPRV,INDEX(elecPRV,stdCSL+1,2)*allOnes,OFFSET(tPrcElec,0,11,1,_maxLT))</f>
        <v>0</v>
      </c>
      <c r="Q157" s="13">
        <f ca="1">SUMPRODUCT(dFactor,tpSurvPRV,INDEX(elecPRV,stdCSL+1,2)*allOnes,OFFSET(tPrcElec,0,12,1,_maxLT))</f>
        <v>0</v>
      </c>
      <c r="R157" s="13">
        <f ca="1">SUMPRODUCT(dFactor,tpSurvPRV,INDEX(elecPRV,stdCSL+1,2)*allOnes,OFFSET(tPrcElec,0,13,1,_maxLT))</f>
        <v>0</v>
      </c>
      <c r="S157" s="13">
        <f ca="1">SUMPRODUCT(dFactor,tpSurvPRV,INDEX(elecPRV,stdCSL+1,2)*allOnes,OFFSET(tPrcElec,0,14,1,_maxLT))</f>
        <v>0</v>
      </c>
      <c r="T157" s="13">
        <f ca="1">SUMPRODUCT(dFactor,tpSurvPRV,INDEX(elecPRV,stdCSL+1,2)*allOnes,OFFSET(tPrcElec,0,15,1,_maxLT))</f>
        <v>0</v>
      </c>
      <c r="U157" s="13">
        <f ca="1">SUMPRODUCT(dFactor,tpSurvPRV,INDEX(elecPRV,stdCSL+1,2)*allOnes,OFFSET(tPrcElec,0,16,1,_maxLT))</f>
        <v>0</v>
      </c>
      <c r="V157" s="13">
        <f ca="1">SUMPRODUCT(dFactor,tpSurvPRV,INDEX(elecPRV,stdCSL+1,2)*allOnes,OFFSET(tPrcElec,0,17,1,_maxLT))</f>
        <v>0</v>
      </c>
      <c r="W157" s="13">
        <f ca="1">SUMPRODUCT(dFactor,tpSurvPRV,INDEX(elecPRV,stdCSL+1,2)*allOnes,OFFSET(tPrcElec,0,18,1,_maxLT))</f>
        <v>0</v>
      </c>
      <c r="X157" s="13">
        <f ca="1">SUMPRODUCT(dFactor,tpSurvPRV,INDEX(elecPRV,stdCSL+1,2)*allOnes,OFFSET(tPrcElec,0,19,1,_maxLT))</f>
        <v>0</v>
      </c>
      <c r="Y157" s="13">
        <f ca="1">SUMPRODUCT(dFactor,tpSurvPRV,INDEX(elecPRV,stdCSL+1,2)*allOnes,OFFSET(tPrcElec,0,20,1,_maxLT))</f>
        <v>0</v>
      </c>
      <c r="Z157" s="13">
        <f ca="1">SUMPRODUCT(dFactor,tpSurvPRV,INDEX(elecPRV,stdCSL+1,2)*allOnes,OFFSET(tPrcElec,0,21,1,_maxLT))</f>
        <v>0</v>
      </c>
      <c r="AA157" s="13">
        <f ca="1">SUMPRODUCT(dFactor,tpSurvPRV,INDEX(elecPRV,stdCSL+1,2)*allOnes,OFFSET(tPrcElec,0,22,1,_maxLT))</f>
        <v>0</v>
      </c>
      <c r="AB157" s="13">
        <f ca="1">SUMPRODUCT(dFactor,tpSurvPRV,INDEX(elecPRV,stdCSL+1,2)*allOnes,OFFSET(tPrcElec,0,23,1,_maxLT))</f>
        <v>0</v>
      </c>
      <c r="AC157" s="13">
        <f ca="1">SUMPRODUCT(dFactor,tpSurvPRV,INDEX(elecPRV,stdCSL+1,2)*allOnes,OFFSET(tPrcElec,0,24,1,_maxLT))</f>
        <v>0</v>
      </c>
      <c r="AD157" s="13">
        <f ca="1">SUMPRODUCT(dFactor,tpSurvPRV,INDEX(elecPRV,stdCSL+1,2)*allOnes,OFFSET(tPrcElec,0,25,1,_maxLT))</f>
        <v>0</v>
      </c>
      <c r="AE157" s="13">
        <f ca="1">SUMPRODUCT(dFactor,tpSurvPRV,INDEX(elecPRV,stdCSL+1,2)*allOnes,OFFSET(tPrcElec,0,26,1,_maxLT))</f>
        <v>0</v>
      </c>
      <c r="AF157" s="13">
        <f ca="1">SUMPRODUCT(dFactor,tpSurvPRV,INDEX(elecPRV,stdCSL+1,2)*allOnes,OFFSET(tPrcElec,0,27,1,_maxLT))</f>
        <v>0</v>
      </c>
      <c r="AG157" s="13">
        <f ca="1">SUMPRODUCT(dFactor,tpSurvPRV,INDEX(elecPRV,stdCSL+1,2)*allOnes,OFFSET(tPrcElec,0,28,1,_maxLT))</f>
        <v>0</v>
      </c>
      <c r="AH157" s="13">
        <f ca="1">SUMPRODUCT(dFactor,tpSurvPRV,INDEX(elecPRV,stdCSL+1,2)*allOnes,OFFSET(tPrcElec,0,29,1,_maxLT))</f>
        <v>0</v>
      </c>
      <c r="AI157" s="13">
        <f ca="1">SUMPRODUCT(dFactor,tpSurvPRV,INDEX(elecPRV,stdCSL+1,2)*allOnes,OFFSET(tPrcElec,0,30,1,_maxLT))</f>
        <v>0</v>
      </c>
      <c r="AJ157" s="13">
        <f ca="1">SUMPRODUCT(dFactor,tpSurvPRV,INDEX(elecPRV,stdCSL+1,2)*allOnes,OFFSET(tPrcElec,0,31,1,_maxLT))</f>
        <v>0</v>
      </c>
      <c r="AK157" s="13">
        <f ca="1">SUMPRODUCT(dFactor,tpSurvPRV,INDEX(elecPRV,stdCSL+1,2)*allOnes,OFFSET(tPrcElec,0,32,1,_maxLT))</f>
        <v>0</v>
      </c>
      <c r="AL157" s="56">
        <f ca="1">SUMPRODUCT(dFactor,tpSurvPRV,INDEX(elecPRV,stdCSL+1,2)*allOnes,OFFSET(tPrcElec,0,33,1,_maxLT))</f>
        <v>0</v>
      </c>
      <c r="AM157" s="10"/>
    </row>
    <row r="158" spans="2:39" ht="15">
      <c r="B158" s="10"/>
      <c r="C158" s="16" t="s">
        <v>79</v>
      </c>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5"/>
      <c r="AM158" s="10"/>
    </row>
    <row r="159" spans="2:39" ht="15">
      <c r="B159" s="10"/>
      <c r="C159" s="28" t="str">
        <f>INDEX(_fuel,1)</f>
        <v>Electricity</v>
      </c>
      <c r="D159" s="12" t="s">
        <v>83</v>
      </c>
      <c r="E159" s="39">
        <f ca="1">SUMPRODUCT(OFFSET(tConvElecPRV,0,0,1,_maxLT),INDEX(elecPRV,stdCSL+1,2)*allOnes,tpSurvPRV)</f>
        <v>0</v>
      </c>
      <c r="F159" s="39">
        <f ca="1">SUMPRODUCT(OFFSET(tConvElecPRV,0,1,1,_maxLT),INDEX(elecPRV,stdCSL+1,2)*allOnes,tpSurvPRV)</f>
        <v>0</v>
      </c>
      <c r="G159" s="39">
        <f ca="1">SUMPRODUCT(OFFSET(tConvElecPRV,0,2,1,_maxLT),INDEX(elecPRV,stdCSL+1,2)*allOnes,tpSurvPRV)</f>
        <v>0</v>
      </c>
      <c r="H159" s="39">
        <f ca="1">SUMPRODUCT(OFFSET(tConvElecPRV,0,3,1,_maxLT),INDEX(elecPRV,stdCSL+1,2)*allOnes,tpSurvPRV)</f>
        <v>0</v>
      </c>
      <c r="I159" s="39">
        <f ca="1">SUMPRODUCT(OFFSET(tConvElecPRV,0,4,1,_maxLT),INDEX(elecPRV,stdCSL+1,2)*allOnes,tpSurvPRV)</f>
        <v>0</v>
      </c>
      <c r="J159" s="39">
        <f ca="1">SUMPRODUCT(OFFSET(tConvElecPRV,0,5,1,_maxLT),INDEX(elecPRV,stdCSL+1,2)*allOnes,tpSurvPRV)</f>
        <v>0</v>
      </c>
      <c r="K159" s="39">
        <f ca="1">SUMPRODUCT(OFFSET(tConvElecPRV,0,6,1,_maxLT),INDEX(elecPRV,stdCSL+1,2)*allOnes,tpSurvPRV)</f>
        <v>0</v>
      </c>
      <c r="L159" s="39">
        <f ca="1">SUMPRODUCT(OFFSET(tConvElecPRV,0,7,1,_maxLT),INDEX(elecPRV,stdCSL+1,2)*allOnes,tpSurvPRV)</f>
        <v>0</v>
      </c>
      <c r="M159" s="39">
        <f ca="1">SUMPRODUCT(OFFSET(tConvElecPRV,0,8,1,_maxLT),INDEX(elecPRV,stdCSL+1,2)*allOnes,tpSurvPRV)</f>
        <v>0</v>
      </c>
      <c r="N159" s="39">
        <f ca="1">SUMPRODUCT(OFFSET(tConvElecPRV,0,9,1,_maxLT),INDEX(elecPRV,stdCSL+1,2)*allOnes,tpSurvPRV)</f>
        <v>0</v>
      </c>
      <c r="O159" s="39">
        <f ca="1">SUMPRODUCT(OFFSET(tConvElecPRV,0,10,1,_maxLT),INDEX(elecPRV,stdCSL+1,2)*allOnes,tpSurvPRV)</f>
        <v>0</v>
      </c>
      <c r="P159" s="39">
        <f ca="1">SUMPRODUCT(OFFSET(tConvElecPRV,0,11,1,_maxLT),INDEX(elecPRV,stdCSL+1,2)*allOnes,tpSurvPRV)</f>
        <v>0</v>
      </c>
      <c r="Q159" s="39">
        <f ca="1">SUMPRODUCT(OFFSET(tConvElecPRV,0,12,1,_maxLT),INDEX(elecPRV,stdCSL+1,2)*allOnes,tpSurvPRV)</f>
        <v>0</v>
      </c>
      <c r="R159" s="39">
        <f ca="1">SUMPRODUCT(OFFSET(tConvElecPRV,0,13,1,_maxLT),INDEX(elecPRV,stdCSL+1,2)*allOnes,tpSurvPRV)</f>
        <v>0</v>
      </c>
      <c r="S159" s="39">
        <f ca="1">SUMPRODUCT(OFFSET(tConvElecPRV,0,14,1,_maxLT),INDEX(elecPRV,stdCSL+1,2)*allOnes,tpSurvPRV)</f>
        <v>0</v>
      </c>
      <c r="T159" s="39">
        <f ca="1">SUMPRODUCT(OFFSET(tConvElecPRV,0,15,1,_maxLT),INDEX(elecPRV,stdCSL+1,2)*allOnes,tpSurvPRV)</f>
        <v>0</v>
      </c>
      <c r="U159" s="39">
        <f ca="1">SUMPRODUCT(OFFSET(tConvElecPRV,0,16,1,_maxLT),INDEX(elecPRV,stdCSL+1,2)*allOnes,tpSurvPRV)</f>
        <v>0</v>
      </c>
      <c r="V159" s="39">
        <f ca="1">SUMPRODUCT(OFFSET(tConvElecPRV,0,17,1,_maxLT),INDEX(elecPRV,stdCSL+1,2)*allOnes,tpSurvPRV)</f>
        <v>0</v>
      </c>
      <c r="W159" s="39">
        <f ca="1">SUMPRODUCT(OFFSET(tConvElecPRV,0,18,1,_maxLT),INDEX(elecPRV,stdCSL+1,2)*allOnes,tpSurvPRV)</f>
        <v>0</v>
      </c>
      <c r="X159" s="39">
        <f ca="1">SUMPRODUCT(OFFSET(tConvElecPRV,0,19,1,_maxLT),INDEX(elecPRV,stdCSL+1,2)*allOnes,tpSurvPRV)</f>
        <v>0</v>
      </c>
      <c r="Y159" s="39">
        <f ca="1">SUMPRODUCT(OFFSET(tConvElecPRV,0,20,1,_maxLT),INDEX(elecPRV,stdCSL+1,2)*allOnes,tpSurvPRV)</f>
        <v>0</v>
      </c>
      <c r="Z159" s="39">
        <f ca="1">SUMPRODUCT(OFFSET(tConvElecPRV,0,21,1,_maxLT),INDEX(elecPRV,stdCSL+1,2)*allOnes,tpSurvPRV)</f>
        <v>0</v>
      </c>
      <c r="AA159" s="39">
        <f ca="1">SUMPRODUCT(OFFSET(tConvElecPRV,0,22,1,_maxLT),INDEX(elecPRV,stdCSL+1,2)*allOnes,tpSurvPRV)</f>
        <v>0</v>
      </c>
      <c r="AB159" s="39">
        <f ca="1">SUMPRODUCT(OFFSET(tConvElecPRV,0,23,1,_maxLT),INDEX(elecPRV,stdCSL+1,2)*allOnes,tpSurvPRV)</f>
        <v>0</v>
      </c>
      <c r="AC159" s="39">
        <f ca="1">SUMPRODUCT(OFFSET(tConvElecPRV,0,24,1,_maxLT),INDEX(elecPRV,stdCSL+1,2)*allOnes,tpSurvPRV)</f>
        <v>0</v>
      </c>
      <c r="AD159" s="39">
        <f ca="1">SUMPRODUCT(OFFSET(tConvElecPRV,0,25,1,_maxLT),INDEX(elecPRV,stdCSL+1,2)*allOnes,tpSurvPRV)</f>
        <v>0</v>
      </c>
      <c r="AE159" s="39">
        <f ca="1">SUMPRODUCT(OFFSET(tConvElecPRV,0,26,1,_maxLT),INDEX(elecPRV,stdCSL+1,2)*allOnes,tpSurvPRV)</f>
        <v>0</v>
      </c>
      <c r="AF159" s="39">
        <f ca="1">SUMPRODUCT(OFFSET(tConvElecPRV,0,27,1,_maxLT),INDEX(elecPRV,stdCSL+1,2)*allOnes,tpSurvPRV)</f>
        <v>0</v>
      </c>
      <c r="AG159" s="39">
        <f ca="1">SUMPRODUCT(OFFSET(tConvElecPRV,0,28,1,_maxLT),INDEX(elecPRV,stdCSL+1,2)*allOnes,tpSurvPRV)</f>
        <v>0</v>
      </c>
      <c r="AH159" s="39">
        <f ca="1">SUMPRODUCT(OFFSET(tConvElecPRV,0,29,1,_maxLT),INDEX(elecPRV,stdCSL+1,2)*allOnes,tpSurvPRV)</f>
        <v>0</v>
      </c>
      <c r="AI159" s="39">
        <f ca="1">SUMPRODUCT(OFFSET(tConvElecPRV,0,30,1,_maxLT),INDEX(elecPRV,stdCSL+1,2)*allOnes,tpSurvPRV)</f>
        <v>0</v>
      </c>
      <c r="AJ159" s="39">
        <f ca="1">SUMPRODUCT(OFFSET(tConvElecPRV,0,31,1,_maxLT),INDEX(elecPRV,stdCSL+1,2)*allOnes,tpSurvPRV)</f>
        <v>0</v>
      </c>
      <c r="AK159" s="39">
        <f ca="1">SUMPRODUCT(OFFSET(tConvElecPRV,0,32,1,_maxLT),INDEX(elecPRV,stdCSL+1,2)*allOnes,tpSurvPRV)</f>
        <v>0</v>
      </c>
      <c r="AL159" s="40">
        <f ca="1">SUMPRODUCT(OFFSET(tConvElecPRV,0,33,1,_maxLT),INDEX(elecPRV,stdCSL+1,2)*allOnes,tpSurvPRV)</f>
        <v>0</v>
      </c>
      <c r="AM159" s="10"/>
    </row>
    <row r="160" spans="2:39" ht="15">
      <c r="B160" s="10"/>
      <c r="C160" s="57" t="str">
        <f>"EL 2: " &amp; INDEX(_doName,7,3)</f>
        <v>EL 2: EL 2</v>
      </c>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3"/>
      <c r="AM160" s="10"/>
    </row>
    <row r="161" spans="2:39" ht="15">
      <c r="B161" s="10"/>
      <c r="C161" s="16" t="s">
        <v>69</v>
      </c>
      <c r="D161" s="12" t="str">
        <f>_yearDol &amp; "$"</f>
        <v>2015$</v>
      </c>
      <c r="E161" s="13">
        <f t="array" aca="1" ref="E161:AL161" ca="1">INDEX(mspPRV,stdCSL+1,3)*tPIdxAll + INDEX(instPRV,stdCSL+1,3) + IF(bESav,SUMPRODUCT(dFactor,tpSurvPRV,INDEX(mrPRV,stdCSL+1,3)*allOnes),0)</f>
        <v>0</v>
      </c>
      <c r="F161" s="13">
        <f ca="1"/>
        <v>0</v>
      </c>
      <c r="G161" s="13">
        <f ca="1"/>
        <v>0</v>
      </c>
      <c r="H161" s="13">
        <f ca="1"/>
        <v>0</v>
      </c>
      <c r="I161" s="13">
        <f ca="1"/>
        <v>0</v>
      </c>
      <c r="J161" s="13">
        <f ca="1"/>
        <v>0</v>
      </c>
      <c r="K161" s="13">
        <f ca="1"/>
        <v>0</v>
      </c>
      <c r="L161" s="13">
        <f ca="1"/>
        <v>0</v>
      </c>
      <c r="M161" s="13">
        <f ca="1"/>
        <v>0</v>
      </c>
      <c r="N161" s="13">
        <f ca="1"/>
        <v>0</v>
      </c>
      <c r="O161" s="13">
        <f ca="1"/>
        <v>0</v>
      </c>
      <c r="P161" s="13">
        <f ca="1"/>
        <v>0</v>
      </c>
      <c r="Q161" s="13">
        <f ca="1"/>
        <v>0</v>
      </c>
      <c r="R161" s="13">
        <f ca="1"/>
        <v>0</v>
      </c>
      <c r="S161" s="13">
        <f ca="1"/>
        <v>0</v>
      </c>
      <c r="T161" s="13">
        <f ca="1"/>
        <v>0</v>
      </c>
      <c r="U161" s="13">
        <f ca="1"/>
        <v>0</v>
      </c>
      <c r="V161" s="13">
        <f ca="1"/>
        <v>0</v>
      </c>
      <c r="W161" s="13">
        <f ca="1"/>
        <v>0</v>
      </c>
      <c r="X161" s="13">
        <f ca="1"/>
        <v>0</v>
      </c>
      <c r="Y161" s="13">
        <f ca="1"/>
        <v>0</v>
      </c>
      <c r="Z161" s="13">
        <f ca="1"/>
        <v>0</v>
      </c>
      <c r="AA161" s="13">
        <f ca="1"/>
        <v>0</v>
      </c>
      <c r="AB161" s="13">
        <f ca="1"/>
        <v>0</v>
      </c>
      <c r="AC161" s="13">
        <f ca="1"/>
        <v>0</v>
      </c>
      <c r="AD161" s="13">
        <f ca="1"/>
        <v>0</v>
      </c>
      <c r="AE161" s="13">
        <f ca="1"/>
        <v>0</v>
      </c>
      <c r="AF161" s="13">
        <f ca="1"/>
        <v>0</v>
      </c>
      <c r="AG161" s="13">
        <f ca="1"/>
        <v>0</v>
      </c>
      <c r="AH161" s="13">
        <f ca="1"/>
        <v>0</v>
      </c>
      <c r="AI161" s="13">
        <f ca="1"/>
        <v>0</v>
      </c>
      <c r="AJ161" s="13">
        <f ca="1"/>
        <v>0</v>
      </c>
      <c r="AK161" s="13">
        <f ca="1"/>
        <v>0</v>
      </c>
      <c r="AL161" s="56">
        <f ca="1"/>
        <v>0</v>
      </c>
      <c r="AM161" s="10"/>
    </row>
    <row r="162" spans="2:39" ht="15">
      <c r="B162" s="10"/>
      <c r="C162" s="16" t="str">
        <f>zEO&amp;" Costs"</f>
        <v>Operating Costs</v>
      </c>
      <c r="D162" s="12" t="str">
        <f>_yearDol &amp; "$"</f>
        <v>2015$</v>
      </c>
      <c r="E162" s="13">
        <f t="array" aca="1" ref="E162:AL162" ca="1">(tlccEFuElecpol2) + IF(bOSav,SUMPRODUCT(dFactor,tpSurvPRV,INDEX(mrPRV,stdCSL+1,3)*allOnes),0)</f>
        <v>0</v>
      </c>
      <c r="F162" s="13">
        <f ca="1"/>
        <v>0</v>
      </c>
      <c r="G162" s="13">
        <f ca="1"/>
        <v>0</v>
      </c>
      <c r="H162" s="13">
        <f ca="1"/>
        <v>0</v>
      </c>
      <c r="I162" s="13">
        <f ca="1"/>
        <v>0</v>
      </c>
      <c r="J162" s="13">
        <f ca="1"/>
        <v>0</v>
      </c>
      <c r="K162" s="13">
        <f ca="1"/>
        <v>0</v>
      </c>
      <c r="L162" s="13">
        <f ca="1"/>
        <v>0</v>
      </c>
      <c r="M162" s="13">
        <f ca="1"/>
        <v>0</v>
      </c>
      <c r="N162" s="13">
        <f ca="1"/>
        <v>0</v>
      </c>
      <c r="O162" s="13">
        <f ca="1"/>
        <v>0</v>
      </c>
      <c r="P162" s="13">
        <f ca="1"/>
        <v>0</v>
      </c>
      <c r="Q162" s="13">
        <f ca="1"/>
        <v>0</v>
      </c>
      <c r="R162" s="13">
        <f ca="1"/>
        <v>0</v>
      </c>
      <c r="S162" s="13">
        <f ca="1"/>
        <v>0</v>
      </c>
      <c r="T162" s="13">
        <f ca="1"/>
        <v>0</v>
      </c>
      <c r="U162" s="13">
        <f ca="1"/>
        <v>0</v>
      </c>
      <c r="V162" s="13">
        <f ca="1"/>
        <v>0</v>
      </c>
      <c r="W162" s="13">
        <f ca="1"/>
        <v>0</v>
      </c>
      <c r="X162" s="13">
        <f ca="1"/>
        <v>0</v>
      </c>
      <c r="Y162" s="13">
        <f ca="1"/>
        <v>0</v>
      </c>
      <c r="Z162" s="13">
        <f ca="1"/>
        <v>0</v>
      </c>
      <c r="AA162" s="13">
        <f ca="1"/>
        <v>0</v>
      </c>
      <c r="AB162" s="13">
        <f ca="1"/>
        <v>0</v>
      </c>
      <c r="AC162" s="13">
        <f ca="1"/>
        <v>0</v>
      </c>
      <c r="AD162" s="13">
        <f ca="1"/>
        <v>0</v>
      </c>
      <c r="AE162" s="13">
        <f ca="1"/>
        <v>0</v>
      </c>
      <c r="AF162" s="13">
        <f ca="1"/>
        <v>0</v>
      </c>
      <c r="AG162" s="13">
        <f ca="1"/>
        <v>0</v>
      </c>
      <c r="AH162" s="13">
        <f ca="1"/>
        <v>0</v>
      </c>
      <c r="AI162" s="13">
        <f ca="1"/>
        <v>0</v>
      </c>
      <c r="AJ162" s="13">
        <f ca="1"/>
        <v>0</v>
      </c>
      <c r="AK162" s="13">
        <f ca="1"/>
        <v>0</v>
      </c>
      <c r="AL162" s="56">
        <f ca="1"/>
        <v>0</v>
      </c>
      <c r="AM162" s="10"/>
    </row>
    <row r="163" spans="2:39" ht="15">
      <c r="B163" s="10"/>
      <c r="C163" s="28" t="str">
        <f>INDEX(_fuel,1)</f>
        <v>Electricity</v>
      </c>
      <c r="D163" s="12" t="str">
        <f>_yearDol &amp; "$"</f>
        <v>2015$</v>
      </c>
      <c r="E163" s="13">
        <f ca="1">SUMPRODUCT(dFactor,tpSurvPRV,INDEX(elecPRV,stdCSL+1,3)*allOnes,OFFSET(tPrcElec,0,0,1,_maxLT))</f>
        <v>0</v>
      </c>
      <c r="F163" s="13">
        <f ca="1">SUMPRODUCT(dFactor,tpSurvPRV,INDEX(elecPRV,stdCSL+1,3)*allOnes,OFFSET(tPrcElec,0,1,1,_maxLT))</f>
        <v>0</v>
      </c>
      <c r="G163" s="13">
        <f ca="1">SUMPRODUCT(dFactor,tpSurvPRV,INDEX(elecPRV,stdCSL+1,3)*allOnes,OFFSET(tPrcElec,0,2,1,_maxLT))</f>
        <v>0</v>
      </c>
      <c r="H163" s="13">
        <f ca="1">SUMPRODUCT(dFactor,tpSurvPRV,INDEX(elecPRV,stdCSL+1,3)*allOnes,OFFSET(tPrcElec,0,3,1,_maxLT))</f>
        <v>0</v>
      </c>
      <c r="I163" s="13">
        <f ca="1">SUMPRODUCT(dFactor,tpSurvPRV,INDEX(elecPRV,stdCSL+1,3)*allOnes,OFFSET(tPrcElec,0,4,1,_maxLT))</f>
        <v>0</v>
      </c>
      <c r="J163" s="13">
        <f ca="1">SUMPRODUCT(dFactor,tpSurvPRV,INDEX(elecPRV,stdCSL+1,3)*allOnes,OFFSET(tPrcElec,0,5,1,_maxLT))</f>
        <v>0</v>
      </c>
      <c r="K163" s="13">
        <f ca="1">SUMPRODUCT(dFactor,tpSurvPRV,INDEX(elecPRV,stdCSL+1,3)*allOnes,OFFSET(tPrcElec,0,6,1,_maxLT))</f>
        <v>0</v>
      </c>
      <c r="L163" s="13">
        <f ca="1">SUMPRODUCT(dFactor,tpSurvPRV,INDEX(elecPRV,stdCSL+1,3)*allOnes,OFFSET(tPrcElec,0,7,1,_maxLT))</f>
        <v>0</v>
      </c>
      <c r="M163" s="13">
        <f ca="1">SUMPRODUCT(dFactor,tpSurvPRV,INDEX(elecPRV,stdCSL+1,3)*allOnes,OFFSET(tPrcElec,0,8,1,_maxLT))</f>
        <v>0</v>
      </c>
      <c r="N163" s="13">
        <f ca="1">SUMPRODUCT(dFactor,tpSurvPRV,INDEX(elecPRV,stdCSL+1,3)*allOnes,OFFSET(tPrcElec,0,9,1,_maxLT))</f>
        <v>0</v>
      </c>
      <c r="O163" s="13">
        <f ca="1">SUMPRODUCT(dFactor,tpSurvPRV,INDEX(elecPRV,stdCSL+1,3)*allOnes,OFFSET(tPrcElec,0,10,1,_maxLT))</f>
        <v>0</v>
      </c>
      <c r="P163" s="13">
        <f ca="1">SUMPRODUCT(dFactor,tpSurvPRV,INDEX(elecPRV,stdCSL+1,3)*allOnes,OFFSET(tPrcElec,0,11,1,_maxLT))</f>
        <v>0</v>
      </c>
      <c r="Q163" s="13">
        <f ca="1">SUMPRODUCT(dFactor,tpSurvPRV,INDEX(elecPRV,stdCSL+1,3)*allOnes,OFFSET(tPrcElec,0,12,1,_maxLT))</f>
        <v>0</v>
      </c>
      <c r="R163" s="13">
        <f ca="1">SUMPRODUCT(dFactor,tpSurvPRV,INDEX(elecPRV,stdCSL+1,3)*allOnes,OFFSET(tPrcElec,0,13,1,_maxLT))</f>
        <v>0</v>
      </c>
      <c r="S163" s="13">
        <f ca="1">SUMPRODUCT(dFactor,tpSurvPRV,INDEX(elecPRV,stdCSL+1,3)*allOnes,OFFSET(tPrcElec,0,14,1,_maxLT))</f>
        <v>0</v>
      </c>
      <c r="T163" s="13">
        <f ca="1">SUMPRODUCT(dFactor,tpSurvPRV,INDEX(elecPRV,stdCSL+1,3)*allOnes,OFFSET(tPrcElec,0,15,1,_maxLT))</f>
        <v>0</v>
      </c>
      <c r="U163" s="13">
        <f ca="1">SUMPRODUCT(dFactor,tpSurvPRV,INDEX(elecPRV,stdCSL+1,3)*allOnes,OFFSET(tPrcElec,0,16,1,_maxLT))</f>
        <v>0</v>
      </c>
      <c r="V163" s="13">
        <f ca="1">SUMPRODUCT(dFactor,tpSurvPRV,INDEX(elecPRV,stdCSL+1,3)*allOnes,OFFSET(tPrcElec,0,17,1,_maxLT))</f>
        <v>0</v>
      </c>
      <c r="W163" s="13">
        <f ca="1">SUMPRODUCT(dFactor,tpSurvPRV,INDEX(elecPRV,stdCSL+1,3)*allOnes,OFFSET(tPrcElec,0,18,1,_maxLT))</f>
        <v>0</v>
      </c>
      <c r="X163" s="13">
        <f ca="1">SUMPRODUCT(dFactor,tpSurvPRV,INDEX(elecPRV,stdCSL+1,3)*allOnes,OFFSET(tPrcElec,0,19,1,_maxLT))</f>
        <v>0</v>
      </c>
      <c r="Y163" s="13">
        <f ca="1">SUMPRODUCT(dFactor,tpSurvPRV,INDEX(elecPRV,stdCSL+1,3)*allOnes,OFFSET(tPrcElec,0,20,1,_maxLT))</f>
        <v>0</v>
      </c>
      <c r="Z163" s="13">
        <f ca="1">SUMPRODUCT(dFactor,tpSurvPRV,INDEX(elecPRV,stdCSL+1,3)*allOnes,OFFSET(tPrcElec,0,21,1,_maxLT))</f>
        <v>0</v>
      </c>
      <c r="AA163" s="13">
        <f ca="1">SUMPRODUCT(dFactor,tpSurvPRV,INDEX(elecPRV,stdCSL+1,3)*allOnes,OFFSET(tPrcElec,0,22,1,_maxLT))</f>
        <v>0</v>
      </c>
      <c r="AB163" s="13">
        <f ca="1">SUMPRODUCT(dFactor,tpSurvPRV,INDEX(elecPRV,stdCSL+1,3)*allOnes,OFFSET(tPrcElec,0,23,1,_maxLT))</f>
        <v>0</v>
      </c>
      <c r="AC163" s="13">
        <f ca="1">SUMPRODUCT(dFactor,tpSurvPRV,INDEX(elecPRV,stdCSL+1,3)*allOnes,OFFSET(tPrcElec,0,24,1,_maxLT))</f>
        <v>0</v>
      </c>
      <c r="AD163" s="13">
        <f ca="1">SUMPRODUCT(dFactor,tpSurvPRV,INDEX(elecPRV,stdCSL+1,3)*allOnes,OFFSET(tPrcElec,0,25,1,_maxLT))</f>
        <v>0</v>
      </c>
      <c r="AE163" s="13">
        <f ca="1">SUMPRODUCT(dFactor,tpSurvPRV,INDEX(elecPRV,stdCSL+1,3)*allOnes,OFFSET(tPrcElec,0,26,1,_maxLT))</f>
        <v>0</v>
      </c>
      <c r="AF163" s="13">
        <f ca="1">SUMPRODUCT(dFactor,tpSurvPRV,INDEX(elecPRV,stdCSL+1,3)*allOnes,OFFSET(tPrcElec,0,27,1,_maxLT))</f>
        <v>0</v>
      </c>
      <c r="AG163" s="13">
        <f ca="1">SUMPRODUCT(dFactor,tpSurvPRV,INDEX(elecPRV,stdCSL+1,3)*allOnes,OFFSET(tPrcElec,0,28,1,_maxLT))</f>
        <v>0</v>
      </c>
      <c r="AH163" s="13">
        <f ca="1">SUMPRODUCT(dFactor,tpSurvPRV,INDEX(elecPRV,stdCSL+1,3)*allOnes,OFFSET(tPrcElec,0,29,1,_maxLT))</f>
        <v>0</v>
      </c>
      <c r="AI163" s="13">
        <f ca="1">SUMPRODUCT(dFactor,tpSurvPRV,INDEX(elecPRV,stdCSL+1,3)*allOnes,OFFSET(tPrcElec,0,30,1,_maxLT))</f>
        <v>0</v>
      </c>
      <c r="AJ163" s="13">
        <f ca="1">SUMPRODUCT(dFactor,tpSurvPRV,INDEX(elecPRV,stdCSL+1,3)*allOnes,OFFSET(tPrcElec,0,31,1,_maxLT))</f>
        <v>0</v>
      </c>
      <c r="AK163" s="13">
        <f ca="1">SUMPRODUCT(dFactor,tpSurvPRV,INDEX(elecPRV,stdCSL+1,3)*allOnes,OFFSET(tPrcElec,0,32,1,_maxLT))</f>
        <v>0</v>
      </c>
      <c r="AL163" s="56">
        <f ca="1">SUMPRODUCT(dFactor,tpSurvPRV,INDEX(elecPRV,stdCSL+1,3)*allOnes,OFFSET(tPrcElec,0,33,1,_maxLT))</f>
        <v>0</v>
      </c>
      <c r="AM163" s="10"/>
    </row>
    <row r="164" spans="2:39" ht="15">
      <c r="B164" s="10"/>
      <c r="C164" s="16" t="s">
        <v>79</v>
      </c>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5"/>
      <c r="AM164" s="10"/>
    </row>
    <row r="165" spans="2:39" ht="15">
      <c r="B165" s="10"/>
      <c r="C165" s="28" t="str">
        <f>INDEX(_fuel,1)</f>
        <v>Electricity</v>
      </c>
      <c r="D165" s="12" t="s">
        <v>83</v>
      </c>
      <c r="E165" s="39">
        <f ca="1">SUMPRODUCT(OFFSET(tConvElecPRV,0,0,1,_maxLT),INDEX(elecPRV,stdCSL+1,3)*allOnes,tpSurvPRV)</f>
        <v>0</v>
      </c>
      <c r="F165" s="39">
        <f ca="1">SUMPRODUCT(OFFSET(tConvElecPRV,0,1,1,_maxLT),INDEX(elecPRV,stdCSL+1,3)*allOnes,tpSurvPRV)</f>
        <v>0</v>
      </c>
      <c r="G165" s="39">
        <f ca="1">SUMPRODUCT(OFFSET(tConvElecPRV,0,2,1,_maxLT),INDEX(elecPRV,stdCSL+1,3)*allOnes,tpSurvPRV)</f>
        <v>0</v>
      </c>
      <c r="H165" s="39">
        <f ca="1">SUMPRODUCT(OFFSET(tConvElecPRV,0,3,1,_maxLT),INDEX(elecPRV,stdCSL+1,3)*allOnes,tpSurvPRV)</f>
        <v>0</v>
      </c>
      <c r="I165" s="39">
        <f ca="1">SUMPRODUCT(OFFSET(tConvElecPRV,0,4,1,_maxLT),INDEX(elecPRV,stdCSL+1,3)*allOnes,tpSurvPRV)</f>
        <v>0</v>
      </c>
      <c r="J165" s="39">
        <f ca="1">SUMPRODUCT(OFFSET(tConvElecPRV,0,5,1,_maxLT),INDEX(elecPRV,stdCSL+1,3)*allOnes,tpSurvPRV)</f>
        <v>0</v>
      </c>
      <c r="K165" s="39">
        <f ca="1">SUMPRODUCT(OFFSET(tConvElecPRV,0,6,1,_maxLT),INDEX(elecPRV,stdCSL+1,3)*allOnes,tpSurvPRV)</f>
        <v>0</v>
      </c>
      <c r="L165" s="39">
        <f ca="1">SUMPRODUCT(OFFSET(tConvElecPRV,0,7,1,_maxLT),INDEX(elecPRV,stdCSL+1,3)*allOnes,tpSurvPRV)</f>
        <v>0</v>
      </c>
      <c r="M165" s="39">
        <f ca="1">SUMPRODUCT(OFFSET(tConvElecPRV,0,8,1,_maxLT),INDEX(elecPRV,stdCSL+1,3)*allOnes,tpSurvPRV)</f>
        <v>0</v>
      </c>
      <c r="N165" s="39">
        <f ca="1">SUMPRODUCT(OFFSET(tConvElecPRV,0,9,1,_maxLT),INDEX(elecPRV,stdCSL+1,3)*allOnes,tpSurvPRV)</f>
        <v>0</v>
      </c>
      <c r="O165" s="39">
        <f ca="1">SUMPRODUCT(OFFSET(tConvElecPRV,0,10,1,_maxLT),INDEX(elecPRV,stdCSL+1,3)*allOnes,tpSurvPRV)</f>
        <v>0</v>
      </c>
      <c r="P165" s="39">
        <f ca="1">SUMPRODUCT(OFFSET(tConvElecPRV,0,11,1,_maxLT),INDEX(elecPRV,stdCSL+1,3)*allOnes,tpSurvPRV)</f>
        <v>0</v>
      </c>
      <c r="Q165" s="39">
        <f ca="1">SUMPRODUCT(OFFSET(tConvElecPRV,0,12,1,_maxLT),INDEX(elecPRV,stdCSL+1,3)*allOnes,tpSurvPRV)</f>
        <v>0</v>
      </c>
      <c r="R165" s="39">
        <f ca="1">SUMPRODUCT(OFFSET(tConvElecPRV,0,13,1,_maxLT),INDEX(elecPRV,stdCSL+1,3)*allOnes,tpSurvPRV)</f>
        <v>0</v>
      </c>
      <c r="S165" s="39">
        <f ca="1">SUMPRODUCT(OFFSET(tConvElecPRV,0,14,1,_maxLT),INDEX(elecPRV,stdCSL+1,3)*allOnes,tpSurvPRV)</f>
        <v>0</v>
      </c>
      <c r="T165" s="39">
        <f ca="1">SUMPRODUCT(OFFSET(tConvElecPRV,0,15,1,_maxLT),INDEX(elecPRV,stdCSL+1,3)*allOnes,tpSurvPRV)</f>
        <v>0</v>
      </c>
      <c r="U165" s="39">
        <f ca="1">SUMPRODUCT(OFFSET(tConvElecPRV,0,16,1,_maxLT),INDEX(elecPRV,stdCSL+1,3)*allOnes,tpSurvPRV)</f>
        <v>0</v>
      </c>
      <c r="V165" s="39">
        <f ca="1">SUMPRODUCT(OFFSET(tConvElecPRV,0,17,1,_maxLT),INDEX(elecPRV,stdCSL+1,3)*allOnes,tpSurvPRV)</f>
        <v>0</v>
      </c>
      <c r="W165" s="39">
        <f ca="1">SUMPRODUCT(OFFSET(tConvElecPRV,0,18,1,_maxLT),INDEX(elecPRV,stdCSL+1,3)*allOnes,tpSurvPRV)</f>
        <v>0</v>
      </c>
      <c r="X165" s="39">
        <f ca="1">SUMPRODUCT(OFFSET(tConvElecPRV,0,19,1,_maxLT),INDEX(elecPRV,stdCSL+1,3)*allOnes,tpSurvPRV)</f>
        <v>0</v>
      </c>
      <c r="Y165" s="39">
        <f ca="1">SUMPRODUCT(OFFSET(tConvElecPRV,0,20,1,_maxLT),INDEX(elecPRV,stdCSL+1,3)*allOnes,tpSurvPRV)</f>
        <v>0</v>
      </c>
      <c r="Z165" s="39">
        <f ca="1">SUMPRODUCT(OFFSET(tConvElecPRV,0,21,1,_maxLT),INDEX(elecPRV,stdCSL+1,3)*allOnes,tpSurvPRV)</f>
        <v>0</v>
      </c>
      <c r="AA165" s="39">
        <f ca="1">SUMPRODUCT(OFFSET(tConvElecPRV,0,22,1,_maxLT),INDEX(elecPRV,stdCSL+1,3)*allOnes,tpSurvPRV)</f>
        <v>0</v>
      </c>
      <c r="AB165" s="39">
        <f ca="1">SUMPRODUCT(OFFSET(tConvElecPRV,0,23,1,_maxLT),INDEX(elecPRV,stdCSL+1,3)*allOnes,tpSurvPRV)</f>
        <v>0</v>
      </c>
      <c r="AC165" s="39">
        <f ca="1">SUMPRODUCT(OFFSET(tConvElecPRV,0,24,1,_maxLT),INDEX(elecPRV,stdCSL+1,3)*allOnes,tpSurvPRV)</f>
        <v>0</v>
      </c>
      <c r="AD165" s="39">
        <f ca="1">SUMPRODUCT(OFFSET(tConvElecPRV,0,25,1,_maxLT),INDEX(elecPRV,stdCSL+1,3)*allOnes,tpSurvPRV)</f>
        <v>0</v>
      </c>
      <c r="AE165" s="39">
        <f ca="1">SUMPRODUCT(OFFSET(tConvElecPRV,0,26,1,_maxLT),INDEX(elecPRV,stdCSL+1,3)*allOnes,tpSurvPRV)</f>
        <v>0</v>
      </c>
      <c r="AF165" s="39">
        <f ca="1">SUMPRODUCT(OFFSET(tConvElecPRV,0,27,1,_maxLT),INDEX(elecPRV,stdCSL+1,3)*allOnes,tpSurvPRV)</f>
        <v>0</v>
      </c>
      <c r="AG165" s="39">
        <f ca="1">SUMPRODUCT(OFFSET(tConvElecPRV,0,28,1,_maxLT),INDEX(elecPRV,stdCSL+1,3)*allOnes,tpSurvPRV)</f>
        <v>0</v>
      </c>
      <c r="AH165" s="39">
        <f ca="1">SUMPRODUCT(OFFSET(tConvElecPRV,0,29,1,_maxLT),INDEX(elecPRV,stdCSL+1,3)*allOnes,tpSurvPRV)</f>
        <v>0</v>
      </c>
      <c r="AI165" s="39">
        <f ca="1">SUMPRODUCT(OFFSET(tConvElecPRV,0,30,1,_maxLT),INDEX(elecPRV,stdCSL+1,3)*allOnes,tpSurvPRV)</f>
        <v>0</v>
      </c>
      <c r="AJ165" s="39">
        <f ca="1">SUMPRODUCT(OFFSET(tConvElecPRV,0,31,1,_maxLT),INDEX(elecPRV,stdCSL+1,3)*allOnes,tpSurvPRV)</f>
        <v>0</v>
      </c>
      <c r="AK165" s="39">
        <f ca="1">SUMPRODUCT(OFFSET(tConvElecPRV,0,32,1,_maxLT),INDEX(elecPRV,stdCSL+1,3)*allOnes,tpSurvPRV)</f>
        <v>0</v>
      </c>
      <c r="AL165" s="40">
        <f ca="1">SUMPRODUCT(OFFSET(tConvElecPRV,0,33,1,_maxLT),INDEX(elecPRV,stdCSL+1,3)*allOnes,tpSurvPRV)</f>
        <v>0</v>
      </c>
      <c r="AM165" s="10"/>
    </row>
    <row r="166" spans="2:39" ht="15">
      <c r="B166" s="10"/>
      <c r="C166" s="57" t="str">
        <f>"EL 3: " &amp; INDEX(_doName,7,4)</f>
        <v>EL 3: EL 3</v>
      </c>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3"/>
      <c r="AM166" s="10"/>
    </row>
    <row r="167" spans="2:39" ht="15">
      <c r="B167" s="10"/>
      <c r="C167" s="16" t="s">
        <v>69</v>
      </c>
      <c r="D167" s="12" t="str">
        <f>_yearDol &amp; "$"</f>
        <v>2015$</v>
      </c>
      <c r="E167" s="13">
        <f t="array" aca="1" ref="E167:AL167" ca="1">INDEX(mspPRV,stdCSL+1,4)*tPIdxAll + INDEX(instPRV,stdCSL+1,4) + IF(bESav,SUMPRODUCT(dFactor,tpSurvPRV,INDEX(mrPRV,stdCSL+1,4)*allOnes),0)</f>
        <v>0</v>
      </c>
      <c r="F167" s="13">
        <f ca="1"/>
        <v>0</v>
      </c>
      <c r="G167" s="13">
        <f ca="1"/>
        <v>0</v>
      </c>
      <c r="H167" s="13">
        <f ca="1"/>
        <v>0</v>
      </c>
      <c r="I167" s="13">
        <f ca="1"/>
        <v>0</v>
      </c>
      <c r="J167" s="13">
        <f ca="1"/>
        <v>0</v>
      </c>
      <c r="K167" s="13">
        <f ca="1"/>
        <v>0</v>
      </c>
      <c r="L167" s="13">
        <f ca="1"/>
        <v>0</v>
      </c>
      <c r="M167" s="13">
        <f ca="1"/>
        <v>0</v>
      </c>
      <c r="N167" s="13">
        <f ca="1"/>
        <v>0</v>
      </c>
      <c r="O167" s="13">
        <f ca="1"/>
        <v>0</v>
      </c>
      <c r="P167" s="13">
        <f ca="1"/>
        <v>0</v>
      </c>
      <c r="Q167" s="13">
        <f ca="1"/>
        <v>0</v>
      </c>
      <c r="R167" s="13">
        <f ca="1"/>
        <v>0</v>
      </c>
      <c r="S167" s="13">
        <f ca="1"/>
        <v>0</v>
      </c>
      <c r="T167" s="13">
        <f ca="1"/>
        <v>0</v>
      </c>
      <c r="U167" s="13">
        <f ca="1"/>
        <v>0</v>
      </c>
      <c r="V167" s="13">
        <f ca="1"/>
        <v>0</v>
      </c>
      <c r="W167" s="13">
        <f ca="1"/>
        <v>0</v>
      </c>
      <c r="X167" s="13">
        <f ca="1"/>
        <v>0</v>
      </c>
      <c r="Y167" s="13">
        <f ca="1"/>
        <v>0</v>
      </c>
      <c r="Z167" s="13">
        <f ca="1"/>
        <v>0</v>
      </c>
      <c r="AA167" s="13">
        <f ca="1"/>
        <v>0</v>
      </c>
      <c r="AB167" s="13">
        <f ca="1"/>
        <v>0</v>
      </c>
      <c r="AC167" s="13">
        <f ca="1"/>
        <v>0</v>
      </c>
      <c r="AD167" s="13">
        <f ca="1"/>
        <v>0</v>
      </c>
      <c r="AE167" s="13">
        <f ca="1"/>
        <v>0</v>
      </c>
      <c r="AF167" s="13">
        <f ca="1"/>
        <v>0</v>
      </c>
      <c r="AG167" s="13">
        <f ca="1"/>
        <v>0</v>
      </c>
      <c r="AH167" s="13">
        <f ca="1"/>
        <v>0</v>
      </c>
      <c r="AI167" s="13">
        <f ca="1"/>
        <v>0</v>
      </c>
      <c r="AJ167" s="13">
        <f ca="1"/>
        <v>0</v>
      </c>
      <c r="AK167" s="13">
        <f ca="1"/>
        <v>0</v>
      </c>
      <c r="AL167" s="56">
        <f ca="1"/>
        <v>0</v>
      </c>
      <c r="AM167" s="10"/>
    </row>
    <row r="168" spans="2:39" ht="15">
      <c r="B168" s="10"/>
      <c r="C168" s="16" t="str">
        <f>zEO&amp;" Costs"</f>
        <v>Operating Costs</v>
      </c>
      <c r="D168" s="12" t="str">
        <f>_yearDol &amp; "$"</f>
        <v>2015$</v>
      </c>
      <c r="E168" s="13">
        <f t="array" aca="1" ref="E168:AL168" ca="1">(tlccEFuElecpol3) + IF(bOSav,SUMPRODUCT(dFactor,tpSurvPRV,INDEX(mrPRV,stdCSL+1,4)*allOnes),0)</f>
        <v>0</v>
      </c>
      <c r="F168" s="13">
        <f ca="1"/>
        <v>0</v>
      </c>
      <c r="G168" s="13">
        <f ca="1"/>
        <v>0</v>
      </c>
      <c r="H168" s="13">
        <f ca="1"/>
        <v>0</v>
      </c>
      <c r="I168" s="13">
        <f ca="1"/>
        <v>0</v>
      </c>
      <c r="J168" s="13">
        <f ca="1"/>
        <v>0</v>
      </c>
      <c r="K168" s="13">
        <f ca="1"/>
        <v>0</v>
      </c>
      <c r="L168" s="13">
        <f ca="1"/>
        <v>0</v>
      </c>
      <c r="M168" s="13">
        <f ca="1"/>
        <v>0</v>
      </c>
      <c r="N168" s="13">
        <f ca="1"/>
        <v>0</v>
      </c>
      <c r="O168" s="13">
        <f ca="1"/>
        <v>0</v>
      </c>
      <c r="P168" s="13">
        <f ca="1"/>
        <v>0</v>
      </c>
      <c r="Q168" s="13">
        <f ca="1"/>
        <v>0</v>
      </c>
      <c r="R168" s="13">
        <f ca="1"/>
        <v>0</v>
      </c>
      <c r="S168" s="13">
        <f ca="1"/>
        <v>0</v>
      </c>
      <c r="T168" s="13">
        <f ca="1"/>
        <v>0</v>
      </c>
      <c r="U168" s="13">
        <f ca="1"/>
        <v>0</v>
      </c>
      <c r="V168" s="13">
        <f ca="1"/>
        <v>0</v>
      </c>
      <c r="W168" s="13">
        <f ca="1"/>
        <v>0</v>
      </c>
      <c r="X168" s="13">
        <f ca="1"/>
        <v>0</v>
      </c>
      <c r="Y168" s="13">
        <f ca="1"/>
        <v>0</v>
      </c>
      <c r="Z168" s="13">
        <f ca="1"/>
        <v>0</v>
      </c>
      <c r="AA168" s="13">
        <f ca="1"/>
        <v>0</v>
      </c>
      <c r="AB168" s="13">
        <f ca="1"/>
        <v>0</v>
      </c>
      <c r="AC168" s="13">
        <f ca="1"/>
        <v>0</v>
      </c>
      <c r="AD168" s="13">
        <f ca="1"/>
        <v>0</v>
      </c>
      <c r="AE168" s="13">
        <f ca="1"/>
        <v>0</v>
      </c>
      <c r="AF168" s="13">
        <f ca="1"/>
        <v>0</v>
      </c>
      <c r="AG168" s="13">
        <f ca="1"/>
        <v>0</v>
      </c>
      <c r="AH168" s="13">
        <f ca="1"/>
        <v>0</v>
      </c>
      <c r="AI168" s="13">
        <f ca="1"/>
        <v>0</v>
      </c>
      <c r="AJ168" s="13">
        <f ca="1"/>
        <v>0</v>
      </c>
      <c r="AK168" s="13">
        <f ca="1"/>
        <v>0</v>
      </c>
      <c r="AL168" s="56">
        <f ca="1"/>
        <v>0</v>
      </c>
      <c r="AM168" s="10"/>
    </row>
    <row r="169" spans="2:39" ht="15">
      <c r="B169" s="10"/>
      <c r="C169" s="28" t="str">
        <f>INDEX(_fuel,1)</f>
        <v>Electricity</v>
      </c>
      <c r="D169" s="12" t="str">
        <f>_yearDol &amp; "$"</f>
        <v>2015$</v>
      </c>
      <c r="E169" s="13">
        <f ca="1">SUMPRODUCT(dFactor,tpSurvPRV,INDEX(elecPRV,stdCSL+1,4)*allOnes,OFFSET(tPrcElec,0,0,1,_maxLT))</f>
        <v>0</v>
      </c>
      <c r="F169" s="13">
        <f ca="1">SUMPRODUCT(dFactor,tpSurvPRV,INDEX(elecPRV,stdCSL+1,4)*allOnes,OFFSET(tPrcElec,0,1,1,_maxLT))</f>
        <v>0</v>
      </c>
      <c r="G169" s="13">
        <f ca="1">SUMPRODUCT(dFactor,tpSurvPRV,INDEX(elecPRV,stdCSL+1,4)*allOnes,OFFSET(tPrcElec,0,2,1,_maxLT))</f>
        <v>0</v>
      </c>
      <c r="H169" s="13">
        <f ca="1">SUMPRODUCT(dFactor,tpSurvPRV,INDEX(elecPRV,stdCSL+1,4)*allOnes,OFFSET(tPrcElec,0,3,1,_maxLT))</f>
        <v>0</v>
      </c>
      <c r="I169" s="13">
        <f ca="1">SUMPRODUCT(dFactor,tpSurvPRV,INDEX(elecPRV,stdCSL+1,4)*allOnes,OFFSET(tPrcElec,0,4,1,_maxLT))</f>
        <v>0</v>
      </c>
      <c r="J169" s="13">
        <f ca="1">SUMPRODUCT(dFactor,tpSurvPRV,INDEX(elecPRV,stdCSL+1,4)*allOnes,OFFSET(tPrcElec,0,5,1,_maxLT))</f>
        <v>0</v>
      </c>
      <c r="K169" s="13">
        <f ca="1">SUMPRODUCT(dFactor,tpSurvPRV,INDEX(elecPRV,stdCSL+1,4)*allOnes,OFFSET(tPrcElec,0,6,1,_maxLT))</f>
        <v>0</v>
      </c>
      <c r="L169" s="13">
        <f ca="1">SUMPRODUCT(dFactor,tpSurvPRV,INDEX(elecPRV,stdCSL+1,4)*allOnes,OFFSET(tPrcElec,0,7,1,_maxLT))</f>
        <v>0</v>
      </c>
      <c r="M169" s="13">
        <f ca="1">SUMPRODUCT(dFactor,tpSurvPRV,INDEX(elecPRV,stdCSL+1,4)*allOnes,OFFSET(tPrcElec,0,8,1,_maxLT))</f>
        <v>0</v>
      </c>
      <c r="N169" s="13">
        <f ca="1">SUMPRODUCT(dFactor,tpSurvPRV,INDEX(elecPRV,stdCSL+1,4)*allOnes,OFFSET(tPrcElec,0,9,1,_maxLT))</f>
        <v>0</v>
      </c>
      <c r="O169" s="13">
        <f ca="1">SUMPRODUCT(dFactor,tpSurvPRV,INDEX(elecPRV,stdCSL+1,4)*allOnes,OFFSET(tPrcElec,0,10,1,_maxLT))</f>
        <v>0</v>
      </c>
      <c r="P169" s="13">
        <f ca="1">SUMPRODUCT(dFactor,tpSurvPRV,INDEX(elecPRV,stdCSL+1,4)*allOnes,OFFSET(tPrcElec,0,11,1,_maxLT))</f>
        <v>0</v>
      </c>
      <c r="Q169" s="13">
        <f ca="1">SUMPRODUCT(dFactor,tpSurvPRV,INDEX(elecPRV,stdCSL+1,4)*allOnes,OFFSET(tPrcElec,0,12,1,_maxLT))</f>
        <v>0</v>
      </c>
      <c r="R169" s="13">
        <f ca="1">SUMPRODUCT(dFactor,tpSurvPRV,INDEX(elecPRV,stdCSL+1,4)*allOnes,OFFSET(tPrcElec,0,13,1,_maxLT))</f>
        <v>0</v>
      </c>
      <c r="S169" s="13">
        <f ca="1">SUMPRODUCT(dFactor,tpSurvPRV,INDEX(elecPRV,stdCSL+1,4)*allOnes,OFFSET(tPrcElec,0,14,1,_maxLT))</f>
        <v>0</v>
      </c>
      <c r="T169" s="13">
        <f ca="1">SUMPRODUCT(dFactor,tpSurvPRV,INDEX(elecPRV,stdCSL+1,4)*allOnes,OFFSET(tPrcElec,0,15,1,_maxLT))</f>
        <v>0</v>
      </c>
      <c r="U169" s="13">
        <f ca="1">SUMPRODUCT(dFactor,tpSurvPRV,INDEX(elecPRV,stdCSL+1,4)*allOnes,OFFSET(tPrcElec,0,16,1,_maxLT))</f>
        <v>0</v>
      </c>
      <c r="V169" s="13">
        <f ca="1">SUMPRODUCT(dFactor,tpSurvPRV,INDEX(elecPRV,stdCSL+1,4)*allOnes,OFFSET(tPrcElec,0,17,1,_maxLT))</f>
        <v>0</v>
      </c>
      <c r="W169" s="13">
        <f ca="1">SUMPRODUCT(dFactor,tpSurvPRV,INDEX(elecPRV,stdCSL+1,4)*allOnes,OFFSET(tPrcElec,0,18,1,_maxLT))</f>
        <v>0</v>
      </c>
      <c r="X169" s="13">
        <f ca="1">SUMPRODUCT(dFactor,tpSurvPRV,INDEX(elecPRV,stdCSL+1,4)*allOnes,OFFSET(tPrcElec,0,19,1,_maxLT))</f>
        <v>0</v>
      </c>
      <c r="Y169" s="13">
        <f ca="1">SUMPRODUCT(dFactor,tpSurvPRV,INDEX(elecPRV,stdCSL+1,4)*allOnes,OFFSET(tPrcElec,0,20,1,_maxLT))</f>
        <v>0</v>
      </c>
      <c r="Z169" s="13">
        <f ca="1">SUMPRODUCT(dFactor,tpSurvPRV,INDEX(elecPRV,stdCSL+1,4)*allOnes,OFFSET(tPrcElec,0,21,1,_maxLT))</f>
        <v>0</v>
      </c>
      <c r="AA169" s="13">
        <f ca="1">SUMPRODUCT(dFactor,tpSurvPRV,INDEX(elecPRV,stdCSL+1,4)*allOnes,OFFSET(tPrcElec,0,22,1,_maxLT))</f>
        <v>0</v>
      </c>
      <c r="AB169" s="13">
        <f ca="1">SUMPRODUCT(dFactor,tpSurvPRV,INDEX(elecPRV,stdCSL+1,4)*allOnes,OFFSET(tPrcElec,0,23,1,_maxLT))</f>
        <v>0</v>
      </c>
      <c r="AC169" s="13">
        <f ca="1">SUMPRODUCT(dFactor,tpSurvPRV,INDEX(elecPRV,stdCSL+1,4)*allOnes,OFFSET(tPrcElec,0,24,1,_maxLT))</f>
        <v>0</v>
      </c>
      <c r="AD169" s="13">
        <f ca="1">SUMPRODUCT(dFactor,tpSurvPRV,INDEX(elecPRV,stdCSL+1,4)*allOnes,OFFSET(tPrcElec,0,25,1,_maxLT))</f>
        <v>0</v>
      </c>
      <c r="AE169" s="13">
        <f ca="1">SUMPRODUCT(dFactor,tpSurvPRV,INDEX(elecPRV,stdCSL+1,4)*allOnes,OFFSET(tPrcElec,0,26,1,_maxLT))</f>
        <v>0</v>
      </c>
      <c r="AF169" s="13">
        <f ca="1">SUMPRODUCT(dFactor,tpSurvPRV,INDEX(elecPRV,stdCSL+1,4)*allOnes,OFFSET(tPrcElec,0,27,1,_maxLT))</f>
        <v>0</v>
      </c>
      <c r="AG169" s="13">
        <f ca="1">SUMPRODUCT(dFactor,tpSurvPRV,INDEX(elecPRV,stdCSL+1,4)*allOnes,OFFSET(tPrcElec,0,28,1,_maxLT))</f>
        <v>0</v>
      </c>
      <c r="AH169" s="13">
        <f ca="1">SUMPRODUCT(dFactor,tpSurvPRV,INDEX(elecPRV,stdCSL+1,4)*allOnes,OFFSET(tPrcElec,0,29,1,_maxLT))</f>
        <v>0</v>
      </c>
      <c r="AI169" s="13">
        <f ca="1">SUMPRODUCT(dFactor,tpSurvPRV,INDEX(elecPRV,stdCSL+1,4)*allOnes,OFFSET(tPrcElec,0,30,1,_maxLT))</f>
        <v>0</v>
      </c>
      <c r="AJ169" s="13">
        <f ca="1">SUMPRODUCT(dFactor,tpSurvPRV,INDEX(elecPRV,stdCSL+1,4)*allOnes,OFFSET(tPrcElec,0,31,1,_maxLT))</f>
        <v>0</v>
      </c>
      <c r="AK169" s="13">
        <f ca="1">SUMPRODUCT(dFactor,tpSurvPRV,INDEX(elecPRV,stdCSL+1,4)*allOnes,OFFSET(tPrcElec,0,32,1,_maxLT))</f>
        <v>0</v>
      </c>
      <c r="AL169" s="56">
        <f ca="1">SUMPRODUCT(dFactor,tpSurvPRV,INDEX(elecPRV,stdCSL+1,4)*allOnes,OFFSET(tPrcElec,0,33,1,_maxLT))</f>
        <v>0</v>
      </c>
      <c r="AM169" s="10"/>
    </row>
    <row r="170" spans="2:39" ht="15">
      <c r="B170" s="10"/>
      <c r="C170" s="16" t="s">
        <v>79</v>
      </c>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5"/>
      <c r="AM170" s="10"/>
    </row>
    <row r="171" spans="2:39" ht="15">
      <c r="B171" s="10"/>
      <c r="C171" s="28" t="str">
        <f>INDEX(_fuel,1)</f>
        <v>Electricity</v>
      </c>
      <c r="D171" s="12" t="s">
        <v>83</v>
      </c>
      <c r="E171" s="39">
        <f ca="1">SUMPRODUCT(OFFSET(tConvElecPRV,0,0,1,_maxLT),INDEX(elecPRV,stdCSL+1,4)*allOnes,tpSurvPRV)</f>
        <v>0</v>
      </c>
      <c r="F171" s="39">
        <f ca="1">SUMPRODUCT(OFFSET(tConvElecPRV,0,1,1,_maxLT),INDEX(elecPRV,stdCSL+1,4)*allOnes,tpSurvPRV)</f>
        <v>0</v>
      </c>
      <c r="G171" s="39">
        <f ca="1">SUMPRODUCT(OFFSET(tConvElecPRV,0,2,1,_maxLT),INDEX(elecPRV,stdCSL+1,4)*allOnes,tpSurvPRV)</f>
        <v>0</v>
      </c>
      <c r="H171" s="39">
        <f ca="1">SUMPRODUCT(OFFSET(tConvElecPRV,0,3,1,_maxLT),INDEX(elecPRV,stdCSL+1,4)*allOnes,tpSurvPRV)</f>
        <v>0</v>
      </c>
      <c r="I171" s="39">
        <f ca="1">SUMPRODUCT(OFFSET(tConvElecPRV,0,4,1,_maxLT),INDEX(elecPRV,stdCSL+1,4)*allOnes,tpSurvPRV)</f>
        <v>0</v>
      </c>
      <c r="J171" s="39">
        <f ca="1">SUMPRODUCT(OFFSET(tConvElecPRV,0,5,1,_maxLT),INDEX(elecPRV,stdCSL+1,4)*allOnes,tpSurvPRV)</f>
        <v>0</v>
      </c>
      <c r="K171" s="39">
        <f ca="1">SUMPRODUCT(OFFSET(tConvElecPRV,0,6,1,_maxLT),INDEX(elecPRV,stdCSL+1,4)*allOnes,tpSurvPRV)</f>
        <v>0</v>
      </c>
      <c r="L171" s="39">
        <f ca="1">SUMPRODUCT(OFFSET(tConvElecPRV,0,7,1,_maxLT),INDEX(elecPRV,stdCSL+1,4)*allOnes,tpSurvPRV)</f>
        <v>0</v>
      </c>
      <c r="M171" s="39">
        <f ca="1">SUMPRODUCT(OFFSET(tConvElecPRV,0,8,1,_maxLT),INDEX(elecPRV,stdCSL+1,4)*allOnes,tpSurvPRV)</f>
        <v>0</v>
      </c>
      <c r="N171" s="39">
        <f ca="1">SUMPRODUCT(OFFSET(tConvElecPRV,0,9,1,_maxLT),INDEX(elecPRV,stdCSL+1,4)*allOnes,tpSurvPRV)</f>
        <v>0</v>
      </c>
      <c r="O171" s="39">
        <f ca="1">SUMPRODUCT(OFFSET(tConvElecPRV,0,10,1,_maxLT),INDEX(elecPRV,stdCSL+1,4)*allOnes,tpSurvPRV)</f>
        <v>0</v>
      </c>
      <c r="P171" s="39">
        <f ca="1">SUMPRODUCT(OFFSET(tConvElecPRV,0,11,1,_maxLT),INDEX(elecPRV,stdCSL+1,4)*allOnes,tpSurvPRV)</f>
        <v>0</v>
      </c>
      <c r="Q171" s="39">
        <f ca="1">SUMPRODUCT(OFFSET(tConvElecPRV,0,12,1,_maxLT),INDEX(elecPRV,stdCSL+1,4)*allOnes,tpSurvPRV)</f>
        <v>0</v>
      </c>
      <c r="R171" s="39">
        <f ca="1">SUMPRODUCT(OFFSET(tConvElecPRV,0,13,1,_maxLT),INDEX(elecPRV,stdCSL+1,4)*allOnes,tpSurvPRV)</f>
        <v>0</v>
      </c>
      <c r="S171" s="39">
        <f ca="1">SUMPRODUCT(OFFSET(tConvElecPRV,0,14,1,_maxLT),INDEX(elecPRV,stdCSL+1,4)*allOnes,tpSurvPRV)</f>
        <v>0</v>
      </c>
      <c r="T171" s="39">
        <f ca="1">SUMPRODUCT(OFFSET(tConvElecPRV,0,15,1,_maxLT),INDEX(elecPRV,stdCSL+1,4)*allOnes,tpSurvPRV)</f>
        <v>0</v>
      </c>
      <c r="U171" s="39">
        <f ca="1">SUMPRODUCT(OFFSET(tConvElecPRV,0,16,1,_maxLT),INDEX(elecPRV,stdCSL+1,4)*allOnes,tpSurvPRV)</f>
        <v>0</v>
      </c>
      <c r="V171" s="39">
        <f ca="1">SUMPRODUCT(OFFSET(tConvElecPRV,0,17,1,_maxLT),INDEX(elecPRV,stdCSL+1,4)*allOnes,tpSurvPRV)</f>
        <v>0</v>
      </c>
      <c r="W171" s="39">
        <f ca="1">SUMPRODUCT(OFFSET(tConvElecPRV,0,18,1,_maxLT),INDEX(elecPRV,stdCSL+1,4)*allOnes,tpSurvPRV)</f>
        <v>0</v>
      </c>
      <c r="X171" s="39">
        <f ca="1">SUMPRODUCT(OFFSET(tConvElecPRV,0,19,1,_maxLT),INDEX(elecPRV,stdCSL+1,4)*allOnes,tpSurvPRV)</f>
        <v>0</v>
      </c>
      <c r="Y171" s="39">
        <f ca="1">SUMPRODUCT(OFFSET(tConvElecPRV,0,20,1,_maxLT),INDEX(elecPRV,stdCSL+1,4)*allOnes,tpSurvPRV)</f>
        <v>0</v>
      </c>
      <c r="Z171" s="39">
        <f ca="1">SUMPRODUCT(OFFSET(tConvElecPRV,0,21,1,_maxLT),INDEX(elecPRV,stdCSL+1,4)*allOnes,tpSurvPRV)</f>
        <v>0</v>
      </c>
      <c r="AA171" s="39">
        <f ca="1">SUMPRODUCT(OFFSET(tConvElecPRV,0,22,1,_maxLT),INDEX(elecPRV,stdCSL+1,4)*allOnes,tpSurvPRV)</f>
        <v>0</v>
      </c>
      <c r="AB171" s="39">
        <f ca="1">SUMPRODUCT(OFFSET(tConvElecPRV,0,23,1,_maxLT),INDEX(elecPRV,stdCSL+1,4)*allOnes,tpSurvPRV)</f>
        <v>0</v>
      </c>
      <c r="AC171" s="39">
        <f ca="1">SUMPRODUCT(OFFSET(tConvElecPRV,0,24,1,_maxLT),INDEX(elecPRV,stdCSL+1,4)*allOnes,tpSurvPRV)</f>
        <v>0</v>
      </c>
      <c r="AD171" s="39">
        <f ca="1">SUMPRODUCT(OFFSET(tConvElecPRV,0,25,1,_maxLT),INDEX(elecPRV,stdCSL+1,4)*allOnes,tpSurvPRV)</f>
        <v>0</v>
      </c>
      <c r="AE171" s="39">
        <f ca="1">SUMPRODUCT(OFFSET(tConvElecPRV,0,26,1,_maxLT),INDEX(elecPRV,stdCSL+1,4)*allOnes,tpSurvPRV)</f>
        <v>0</v>
      </c>
      <c r="AF171" s="39">
        <f ca="1">SUMPRODUCT(OFFSET(tConvElecPRV,0,27,1,_maxLT),INDEX(elecPRV,stdCSL+1,4)*allOnes,tpSurvPRV)</f>
        <v>0</v>
      </c>
      <c r="AG171" s="39">
        <f ca="1">SUMPRODUCT(OFFSET(tConvElecPRV,0,28,1,_maxLT),INDEX(elecPRV,stdCSL+1,4)*allOnes,tpSurvPRV)</f>
        <v>0</v>
      </c>
      <c r="AH171" s="39">
        <f ca="1">SUMPRODUCT(OFFSET(tConvElecPRV,0,29,1,_maxLT),INDEX(elecPRV,stdCSL+1,4)*allOnes,tpSurvPRV)</f>
        <v>0</v>
      </c>
      <c r="AI171" s="39">
        <f ca="1">SUMPRODUCT(OFFSET(tConvElecPRV,0,30,1,_maxLT),INDEX(elecPRV,stdCSL+1,4)*allOnes,tpSurvPRV)</f>
        <v>0</v>
      </c>
      <c r="AJ171" s="39">
        <f ca="1">SUMPRODUCT(OFFSET(tConvElecPRV,0,31,1,_maxLT),INDEX(elecPRV,stdCSL+1,4)*allOnes,tpSurvPRV)</f>
        <v>0</v>
      </c>
      <c r="AK171" s="39">
        <f ca="1">SUMPRODUCT(OFFSET(tConvElecPRV,0,32,1,_maxLT),INDEX(elecPRV,stdCSL+1,4)*allOnes,tpSurvPRV)</f>
        <v>0</v>
      </c>
      <c r="AL171" s="40">
        <f ca="1">SUMPRODUCT(OFFSET(tConvElecPRV,0,33,1,_maxLT),INDEX(elecPRV,stdCSL+1,4)*allOnes,tpSurvPRV)</f>
        <v>0</v>
      </c>
      <c r="AM171" s="10"/>
    </row>
    <row r="172" spans="2:39" ht="15">
      <c r="B172" s="10"/>
      <c r="C172" s="57" t="str">
        <f>"EL 4: " &amp; INDEX(_doName,7,5)</f>
        <v>EL 4: EL 4</v>
      </c>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3"/>
      <c r="AM172" s="10"/>
    </row>
    <row r="173" spans="2:39" ht="15">
      <c r="B173" s="10"/>
      <c r="C173" s="16" t="s">
        <v>69</v>
      </c>
      <c r="D173" s="12" t="str">
        <f>_yearDol &amp; "$"</f>
        <v>2015$</v>
      </c>
      <c r="E173" s="13">
        <f t="array" aca="1" ref="E173:AL173" ca="1">INDEX(mspPRV,stdCSL+1,5)*tPIdxAll + INDEX(instPRV,stdCSL+1,5) + IF(bESav,SUMPRODUCT(dFactor,tpSurvPRV,INDEX(mrPRV,stdCSL+1,5)*allOnes),0)</f>
        <v>0</v>
      </c>
      <c r="F173" s="13">
        <f ca="1"/>
        <v>0</v>
      </c>
      <c r="G173" s="13">
        <f ca="1"/>
        <v>0</v>
      </c>
      <c r="H173" s="13">
        <f ca="1"/>
        <v>0</v>
      </c>
      <c r="I173" s="13">
        <f ca="1"/>
        <v>0</v>
      </c>
      <c r="J173" s="13">
        <f ca="1"/>
        <v>0</v>
      </c>
      <c r="K173" s="13">
        <f ca="1"/>
        <v>0</v>
      </c>
      <c r="L173" s="13">
        <f ca="1"/>
        <v>0</v>
      </c>
      <c r="M173" s="13">
        <f ca="1"/>
        <v>0</v>
      </c>
      <c r="N173" s="13">
        <f ca="1"/>
        <v>0</v>
      </c>
      <c r="O173" s="13">
        <f ca="1"/>
        <v>0</v>
      </c>
      <c r="P173" s="13">
        <f ca="1"/>
        <v>0</v>
      </c>
      <c r="Q173" s="13">
        <f ca="1"/>
        <v>0</v>
      </c>
      <c r="R173" s="13">
        <f ca="1"/>
        <v>0</v>
      </c>
      <c r="S173" s="13">
        <f ca="1"/>
        <v>0</v>
      </c>
      <c r="T173" s="13">
        <f ca="1"/>
        <v>0</v>
      </c>
      <c r="U173" s="13">
        <f ca="1"/>
        <v>0</v>
      </c>
      <c r="V173" s="13">
        <f ca="1"/>
        <v>0</v>
      </c>
      <c r="W173" s="13">
        <f ca="1"/>
        <v>0</v>
      </c>
      <c r="X173" s="13">
        <f ca="1"/>
        <v>0</v>
      </c>
      <c r="Y173" s="13">
        <f ca="1"/>
        <v>0</v>
      </c>
      <c r="Z173" s="13">
        <f ca="1"/>
        <v>0</v>
      </c>
      <c r="AA173" s="13">
        <f ca="1"/>
        <v>0</v>
      </c>
      <c r="AB173" s="13">
        <f ca="1"/>
        <v>0</v>
      </c>
      <c r="AC173" s="13">
        <f ca="1"/>
        <v>0</v>
      </c>
      <c r="AD173" s="13">
        <f ca="1"/>
        <v>0</v>
      </c>
      <c r="AE173" s="13">
        <f ca="1"/>
        <v>0</v>
      </c>
      <c r="AF173" s="13">
        <f ca="1"/>
        <v>0</v>
      </c>
      <c r="AG173" s="13">
        <f ca="1"/>
        <v>0</v>
      </c>
      <c r="AH173" s="13">
        <f ca="1"/>
        <v>0</v>
      </c>
      <c r="AI173" s="13">
        <f ca="1"/>
        <v>0</v>
      </c>
      <c r="AJ173" s="13">
        <f ca="1"/>
        <v>0</v>
      </c>
      <c r="AK173" s="13">
        <f ca="1"/>
        <v>0</v>
      </c>
      <c r="AL173" s="56">
        <f ca="1"/>
        <v>0</v>
      </c>
      <c r="AM173" s="10"/>
    </row>
    <row r="174" spans="2:39" ht="15">
      <c r="B174" s="10"/>
      <c r="C174" s="16" t="str">
        <f>zEO&amp;" Costs"</f>
        <v>Operating Costs</v>
      </c>
      <c r="D174" s="12" t="str">
        <f>_yearDol &amp; "$"</f>
        <v>2015$</v>
      </c>
      <c r="E174" s="13">
        <f t="array" aca="1" ref="E174:AL174" ca="1">(tlccEFuElecpol4) + IF(bOSav,SUMPRODUCT(dFactor,tpSurvPRV,INDEX(mrPRV,stdCSL+1,5)*allOnes),0)</f>
        <v>0</v>
      </c>
      <c r="F174" s="13">
        <f ca="1"/>
        <v>0</v>
      </c>
      <c r="G174" s="13">
        <f ca="1"/>
        <v>0</v>
      </c>
      <c r="H174" s="13">
        <f ca="1"/>
        <v>0</v>
      </c>
      <c r="I174" s="13">
        <f ca="1"/>
        <v>0</v>
      </c>
      <c r="J174" s="13">
        <f ca="1"/>
        <v>0</v>
      </c>
      <c r="K174" s="13">
        <f ca="1"/>
        <v>0</v>
      </c>
      <c r="L174" s="13">
        <f ca="1"/>
        <v>0</v>
      </c>
      <c r="M174" s="13">
        <f ca="1"/>
        <v>0</v>
      </c>
      <c r="N174" s="13">
        <f ca="1"/>
        <v>0</v>
      </c>
      <c r="O174" s="13">
        <f ca="1"/>
        <v>0</v>
      </c>
      <c r="P174" s="13">
        <f ca="1"/>
        <v>0</v>
      </c>
      <c r="Q174" s="13">
        <f ca="1"/>
        <v>0</v>
      </c>
      <c r="R174" s="13">
        <f ca="1"/>
        <v>0</v>
      </c>
      <c r="S174" s="13">
        <f ca="1"/>
        <v>0</v>
      </c>
      <c r="T174" s="13">
        <f ca="1"/>
        <v>0</v>
      </c>
      <c r="U174" s="13">
        <f ca="1"/>
        <v>0</v>
      </c>
      <c r="V174" s="13">
        <f ca="1"/>
        <v>0</v>
      </c>
      <c r="W174" s="13">
        <f ca="1"/>
        <v>0</v>
      </c>
      <c r="X174" s="13">
        <f ca="1"/>
        <v>0</v>
      </c>
      <c r="Y174" s="13">
        <f ca="1"/>
        <v>0</v>
      </c>
      <c r="Z174" s="13">
        <f ca="1"/>
        <v>0</v>
      </c>
      <c r="AA174" s="13">
        <f ca="1"/>
        <v>0</v>
      </c>
      <c r="AB174" s="13">
        <f ca="1"/>
        <v>0</v>
      </c>
      <c r="AC174" s="13">
        <f ca="1"/>
        <v>0</v>
      </c>
      <c r="AD174" s="13">
        <f ca="1"/>
        <v>0</v>
      </c>
      <c r="AE174" s="13">
        <f ca="1"/>
        <v>0</v>
      </c>
      <c r="AF174" s="13">
        <f ca="1"/>
        <v>0</v>
      </c>
      <c r="AG174" s="13">
        <f ca="1"/>
        <v>0</v>
      </c>
      <c r="AH174" s="13">
        <f ca="1"/>
        <v>0</v>
      </c>
      <c r="AI174" s="13">
        <f ca="1"/>
        <v>0</v>
      </c>
      <c r="AJ174" s="13">
        <f ca="1"/>
        <v>0</v>
      </c>
      <c r="AK174" s="13">
        <f ca="1"/>
        <v>0</v>
      </c>
      <c r="AL174" s="56">
        <f ca="1"/>
        <v>0</v>
      </c>
      <c r="AM174" s="10"/>
    </row>
    <row r="175" spans="2:39" ht="15">
      <c r="B175" s="10"/>
      <c r="C175" s="28" t="str">
        <f>INDEX(_fuel,1)</f>
        <v>Electricity</v>
      </c>
      <c r="D175" s="12" t="str">
        <f>_yearDol &amp; "$"</f>
        <v>2015$</v>
      </c>
      <c r="E175" s="13">
        <f ca="1">SUMPRODUCT(dFactor,tpSurvPRV,INDEX(elecPRV,stdCSL+1,5)*allOnes,OFFSET(tPrcElec,0,0,1,_maxLT))</f>
        <v>0</v>
      </c>
      <c r="F175" s="13">
        <f ca="1">SUMPRODUCT(dFactor,tpSurvPRV,INDEX(elecPRV,stdCSL+1,5)*allOnes,OFFSET(tPrcElec,0,1,1,_maxLT))</f>
        <v>0</v>
      </c>
      <c r="G175" s="13">
        <f ca="1">SUMPRODUCT(dFactor,tpSurvPRV,INDEX(elecPRV,stdCSL+1,5)*allOnes,OFFSET(tPrcElec,0,2,1,_maxLT))</f>
        <v>0</v>
      </c>
      <c r="H175" s="13">
        <f ca="1">SUMPRODUCT(dFactor,tpSurvPRV,INDEX(elecPRV,stdCSL+1,5)*allOnes,OFFSET(tPrcElec,0,3,1,_maxLT))</f>
        <v>0</v>
      </c>
      <c r="I175" s="13">
        <f ca="1">SUMPRODUCT(dFactor,tpSurvPRV,INDEX(elecPRV,stdCSL+1,5)*allOnes,OFFSET(tPrcElec,0,4,1,_maxLT))</f>
        <v>0</v>
      </c>
      <c r="J175" s="13">
        <f ca="1">SUMPRODUCT(dFactor,tpSurvPRV,INDEX(elecPRV,stdCSL+1,5)*allOnes,OFFSET(tPrcElec,0,5,1,_maxLT))</f>
        <v>0</v>
      </c>
      <c r="K175" s="13">
        <f ca="1">SUMPRODUCT(dFactor,tpSurvPRV,INDEX(elecPRV,stdCSL+1,5)*allOnes,OFFSET(tPrcElec,0,6,1,_maxLT))</f>
        <v>0</v>
      </c>
      <c r="L175" s="13">
        <f ca="1">SUMPRODUCT(dFactor,tpSurvPRV,INDEX(elecPRV,stdCSL+1,5)*allOnes,OFFSET(tPrcElec,0,7,1,_maxLT))</f>
        <v>0</v>
      </c>
      <c r="M175" s="13">
        <f ca="1">SUMPRODUCT(dFactor,tpSurvPRV,INDEX(elecPRV,stdCSL+1,5)*allOnes,OFFSET(tPrcElec,0,8,1,_maxLT))</f>
        <v>0</v>
      </c>
      <c r="N175" s="13">
        <f ca="1">SUMPRODUCT(dFactor,tpSurvPRV,INDEX(elecPRV,stdCSL+1,5)*allOnes,OFFSET(tPrcElec,0,9,1,_maxLT))</f>
        <v>0</v>
      </c>
      <c r="O175" s="13">
        <f ca="1">SUMPRODUCT(dFactor,tpSurvPRV,INDEX(elecPRV,stdCSL+1,5)*allOnes,OFFSET(tPrcElec,0,10,1,_maxLT))</f>
        <v>0</v>
      </c>
      <c r="P175" s="13">
        <f ca="1">SUMPRODUCT(dFactor,tpSurvPRV,INDEX(elecPRV,stdCSL+1,5)*allOnes,OFFSET(tPrcElec,0,11,1,_maxLT))</f>
        <v>0</v>
      </c>
      <c r="Q175" s="13">
        <f ca="1">SUMPRODUCT(dFactor,tpSurvPRV,INDEX(elecPRV,stdCSL+1,5)*allOnes,OFFSET(tPrcElec,0,12,1,_maxLT))</f>
        <v>0</v>
      </c>
      <c r="R175" s="13">
        <f ca="1">SUMPRODUCT(dFactor,tpSurvPRV,INDEX(elecPRV,stdCSL+1,5)*allOnes,OFFSET(tPrcElec,0,13,1,_maxLT))</f>
        <v>0</v>
      </c>
      <c r="S175" s="13">
        <f ca="1">SUMPRODUCT(dFactor,tpSurvPRV,INDEX(elecPRV,stdCSL+1,5)*allOnes,OFFSET(tPrcElec,0,14,1,_maxLT))</f>
        <v>0</v>
      </c>
      <c r="T175" s="13">
        <f ca="1">SUMPRODUCT(dFactor,tpSurvPRV,INDEX(elecPRV,stdCSL+1,5)*allOnes,OFFSET(tPrcElec,0,15,1,_maxLT))</f>
        <v>0</v>
      </c>
      <c r="U175" s="13">
        <f ca="1">SUMPRODUCT(dFactor,tpSurvPRV,INDEX(elecPRV,stdCSL+1,5)*allOnes,OFFSET(tPrcElec,0,16,1,_maxLT))</f>
        <v>0</v>
      </c>
      <c r="V175" s="13">
        <f ca="1">SUMPRODUCT(dFactor,tpSurvPRV,INDEX(elecPRV,stdCSL+1,5)*allOnes,OFFSET(tPrcElec,0,17,1,_maxLT))</f>
        <v>0</v>
      </c>
      <c r="W175" s="13">
        <f ca="1">SUMPRODUCT(dFactor,tpSurvPRV,INDEX(elecPRV,stdCSL+1,5)*allOnes,OFFSET(tPrcElec,0,18,1,_maxLT))</f>
        <v>0</v>
      </c>
      <c r="X175" s="13">
        <f ca="1">SUMPRODUCT(dFactor,tpSurvPRV,INDEX(elecPRV,stdCSL+1,5)*allOnes,OFFSET(tPrcElec,0,19,1,_maxLT))</f>
        <v>0</v>
      </c>
      <c r="Y175" s="13">
        <f ca="1">SUMPRODUCT(dFactor,tpSurvPRV,INDEX(elecPRV,stdCSL+1,5)*allOnes,OFFSET(tPrcElec,0,20,1,_maxLT))</f>
        <v>0</v>
      </c>
      <c r="Z175" s="13">
        <f ca="1">SUMPRODUCT(dFactor,tpSurvPRV,INDEX(elecPRV,stdCSL+1,5)*allOnes,OFFSET(tPrcElec,0,21,1,_maxLT))</f>
        <v>0</v>
      </c>
      <c r="AA175" s="13">
        <f ca="1">SUMPRODUCT(dFactor,tpSurvPRV,INDEX(elecPRV,stdCSL+1,5)*allOnes,OFFSET(tPrcElec,0,22,1,_maxLT))</f>
        <v>0</v>
      </c>
      <c r="AB175" s="13">
        <f ca="1">SUMPRODUCT(dFactor,tpSurvPRV,INDEX(elecPRV,stdCSL+1,5)*allOnes,OFFSET(tPrcElec,0,23,1,_maxLT))</f>
        <v>0</v>
      </c>
      <c r="AC175" s="13">
        <f ca="1">SUMPRODUCT(dFactor,tpSurvPRV,INDEX(elecPRV,stdCSL+1,5)*allOnes,OFFSET(tPrcElec,0,24,1,_maxLT))</f>
        <v>0</v>
      </c>
      <c r="AD175" s="13">
        <f ca="1">SUMPRODUCT(dFactor,tpSurvPRV,INDEX(elecPRV,stdCSL+1,5)*allOnes,OFFSET(tPrcElec,0,25,1,_maxLT))</f>
        <v>0</v>
      </c>
      <c r="AE175" s="13">
        <f ca="1">SUMPRODUCT(dFactor,tpSurvPRV,INDEX(elecPRV,stdCSL+1,5)*allOnes,OFFSET(tPrcElec,0,26,1,_maxLT))</f>
        <v>0</v>
      </c>
      <c r="AF175" s="13">
        <f ca="1">SUMPRODUCT(dFactor,tpSurvPRV,INDEX(elecPRV,stdCSL+1,5)*allOnes,OFFSET(tPrcElec,0,27,1,_maxLT))</f>
        <v>0</v>
      </c>
      <c r="AG175" s="13">
        <f ca="1">SUMPRODUCT(dFactor,tpSurvPRV,INDEX(elecPRV,stdCSL+1,5)*allOnes,OFFSET(tPrcElec,0,28,1,_maxLT))</f>
        <v>0</v>
      </c>
      <c r="AH175" s="13">
        <f ca="1">SUMPRODUCT(dFactor,tpSurvPRV,INDEX(elecPRV,stdCSL+1,5)*allOnes,OFFSET(tPrcElec,0,29,1,_maxLT))</f>
        <v>0</v>
      </c>
      <c r="AI175" s="13">
        <f ca="1">SUMPRODUCT(dFactor,tpSurvPRV,INDEX(elecPRV,stdCSL+1,5)*allOnes,OFFSET(tPrcElec,0,30,1,_maxLT))</f>
        <v>0</v>
      </c>
      <c r="AJ175" s="13">
        <f ca="1">SUMPRODUCT(dFactor,tpSurvPRV,INDEX(elecPRV,stdCSL+1,5)*allOnes,OFFSET(tPrcElec,0,31,1,_maxLT))</f>
        <v>0</v>
      </c>
      <c r="AK175" s="13">
        <f ca="1">SUMPRODUCT(dFactor,tpSurvPRV,INDEX(elecPRV,stdCSL+1,5)*allOnes,OFFSET(tPrcElec,0,32,1,_maxLT))</f>
        <v>0</v>
      </c>
      <c r="AL175" s="56">
        <f ca="1">SUMPRODUCT(dFactor,tpSurvPRV,INDEX(elecPRV,stdCSL+1,5)*allOnes,OFFSET(tPrcElec,0,33,1,_maxLT))</f>
        <v>0</v>
      </c>
      <c r="AM175" s="10"/>
    </row>
    <row r="176" spans="2:39" ht="15">
      <c r="B176" s="10"/>
      <c r="C176" s="16" t="s">
        <v>79</v>
      </c>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5"/>
      <c r="AM176" s="10"/>
    </row>
    <row r="177" spans="2:39" ht="15">
      <c r="B177" s="10"/>
      <c r="C177" s="28" t="str">
        <f>INDEX(_fuel,1)</f>
        <v>Electricity</v>
      </c>
      <c r="D177" s="12" t="s">
        <v>83</v>
      </c>
      <c r="E177" s="39">
        <f ca="1">SUMPRODUCT(OFFSET(tConvElecPRV,0,0,1,_maxLT),INDEX(elecPRV,stdCSL+1,5)*allOnes,tpSurvPRV)</f>
        <v>0</v>
      </c>
      <c r="F177" s="39">
        <f ca="1">SUMPRODUCT(OFFSET(tConvElecPRV,0,1,1,_maxLT),INDEX(elecPRV,stdCSL+1,5)*allOnes,tpSurvPRV)</f>
        <v>0</v>
      </c>
      <c r="G177" s="39">
        <f ca="1">SUMPRODUCT(OFFSET(tConvElecPRV,0,2,1,_maxLT),INDEX(elecPRV,stdCSL+1,5)*allOnes,tpSurvPRV)</f>
        <v>0</v>
      </c>
      <c r="H177" s="39">
        <f ca="1">SUMPRODUCT(OFFSET(tConvElecPRV,0,3,1,_maxLT),INDEX(elecPRV,stdCSL+1,5)*allOnes,tpSurvPRV)</f>
        <v>0</v>
      </c>
      <c r="I177" s="39">
        <f ca="1">SUMPRODUCT(OFFSET(tConvElecPRV,0,4,1,_maxLT),INDEX(elecPRV,stdCSL+1,5)*allOnes,tpSurvPRV)</f>
        <v>0</v>
      </c>
      <c r="J177" s="39">
        <f ca="1">SUMPRODUCT(OFFSET(tConvElecPRV,0,5,1,_maxLT),INDEX(elecPRV,stdCSL+1,5)*allOnes,tpSurvPRV)</f>
        <v>0</v>
      </c>
      <c r="K177" s="39">
        <f ca="1">SUMPRODUCT(OFFSET(tConvElecPRV,0,6,1,_maxLT),INDEX(elecPRV,stdCSL+1,5)*allOnes,tpSurvPRV)</f>
        <v>0</v>
      </c>
      <c r="L177" s="39">
        <f ca="1">SUMPRODUCT(OFFSET(tConvElecPRV,0,7,1,_maxLT),INDEX(elecPRV,stdCSL+1,5)*allOnes,tpSurvPRV)</f>
        <v>0</v>
      </c>
      <c r="M177" s="39">
        <f ca="1">SUMPRODUCT(OFFSET(tConvElecPRV,0,8,1,_maxLT),INDEX(elecPRV,stdCSL+1,5)*allOnes,tpSurvPRV)</f>
        <v>0</v>
      </c>
      <c r="N177" s="39">
        <f ca="1">SUMPRODUCT(OFFSET(tConvElecPRV,0,9,1,_maxLT),INDEX(elecPRV,stdCSL+1,5)*allOnes,tpSurvPRV)</f>
        <v>0</v>
      </c>
      <c r="O177" s="39">
        <f ca="1">SUMPRODUCT(OFFSET(tConvElecPRV,0,10,1,_maxLT),INDEX(elecPRV,stdCSL+1,5)*allOnes,tpSurvPRV)</f>
        <v>0</v>
      </c>
      <c r="P177" s="39">
        <f ca="1">SUMPRODUCT(OFFSET(tConvElecPRV,0,11,1,_maxLT),INDEX(elecPRV,stdCSL+1,5)*allOnes,tpSurvPRV)</f>
        <v>0</v>
      </c>
      <c r="Q177" s="39">
        <f ca="1">SUMPRODUCT(OFFSET(tConvElecPRV,0,12,1,_maxLT),INDEX(elecPRV,stdCSL+1,5)*allOnes,tpSurvPRV)</f>
        <v>0</v>
      </c>
      <c r="R177" s="39">
        <f ca="1">SUMPRODUCT(OFFSET(tConvElecPRV,0,13,1,_maxLT),INDEX(elecPRV,stdCSL+1,5)*allOnes,tpSurvPRV)</f>
        <v>0</v>
      </c>
      <c r="S177" s="39">
        <f ca="1">SUMPRODUCT(OFFSET(tConvElecPRV,0,14,1,_maxLT),INDEX(elecPRV,stdCSL+1,5)*allOnes,tpSurvPRV)</f>
        <v>0</v>
      </c>
      <c r="T177" s="39">
        <f ca="1">SUMPRODUCT(OFFSET(tConvElecPRV,0,15,1,_maxLT),INDEX(elecPRV,stdCSL+1,5)*allOnes,tpSurvPRV)</f>
        <v>0</v>
      </c>
      <c r="U177" s="39">
        <f ca="1">SUMPRODUCT(OFFSET(tConvElecPRV,0,16,1,_maxLT),INDEX(elecPRV,stdCSL+1,5)*allOnes,tpSurvPRV)</f>
        <v>0</v>
      </c>
      <c r="V177" s="39">
        <f ca="1">SUMPRODUCT(OFFSET(tConvElecPRV,0,17,1,_maxLT),INDEX(elecPRV,stdCSL+1,5)*allOnes,tpSurvPRV)</f>
        <v>0</v>
      </c>
      <c r="W177" s="39">
        <f ca="1">SUMPRODUCT(OFFSET(tConvElecPRV,0,18,1,_maxLT),INDEX(elecPRV,stdCSL+1,5)*allOnes,tpSurvPRV)</f>
        <v>0</v>
      </c>
      <c r="X177" s="39">
        <f ca="1">SUMPRODUCT(OFFSET(tConvElecPRV,0,19,1,_maxLT),INDEX(elecPRV,stdCSL+1,5)*allOnes,tpSurvPRV)</f>
        <v>0</v>
      </c>
      <c r="Y177" s="39">
        <f ca="1">SUMPRODUCT(OFFSET(tConvElecPRV,0,20,1,_maxLT),INDEX(elecPRV,stdCSL+1,5)*allOnes,tpSurvPRV)</f>
        <v>0</v>
      </c>
      <c r="Z177" s="39">
        <f ca="1">SUMPRODUCT(OFFSET(tConvElecPRV,0,21,1,_maxLT),INDEX(elecPRV,stdCSL+1,5)*allOnes,tpSurvPRV)</f>
        <v>0</v>
      </c>
      <c r="AA177" s="39">
        <f ca="1">SUMPRODUCT(OFFSET(tConvElecPRV,0,22,1,_maxLT),INDEX(elecPRV,stdCSL+1,5)*allOnes,tpSurvPRV)</f>
        <v>0</v>
      </c>
      <c r="AB177" s="39">
        <f ca="1">SUMPRODUCT(OFFSET(tConvElecPRV,0,23,1,_maxLT),INDEX(elecPRV,stdCSL+1,5)*allOnes,tpSurvPRV)</f>
        <v>0</v>
      </c>
      <c r="AC177" s="39">
        <f ca="1">SUMPRODUCT(OFFSET(tConvElecPRV,0,24,1,_maxLT),INDEX(elecPRV,stdCSL+1,5)*allOnes,tpSurvPRV)</f>
        <v>0</v>
      </c>
      <c r="AD177" s="39">
        <f ca="1">SUMPRODUCT(OFFSET(tConvElecPRV,0,25,1,_maxLT),INDEX(elecPRV,stdCSL+1,5)*allOnes,tpSurvPRV)</f>
        <v>0</v>
      </c>
      <c r="AE177" s="39">
        <f ca="1">SUMPRODUCT(OFFSET(tConvElecPRV,0,26,1,_maxLT),INDEX(elecPRV,stdCSL+1,5)*allOnes,tpSurvPRV)</f>
        <v>0</v>
      </c>
      <c r="AF177" s="39">
        <f ca="1">SUMPRODUCT(OFFSET(tConvElecPRV,0,27,1,_maxLT),INDEX(elecPRV,stdCSL+1,5)*allOnes,tpSurvPRV)</f>
        <v>0</v>
      </c>
      <c r="AG177" s="39">
        <f ca="1">SUMPRODUCT(OFFSET(tConvElecPRV,0,28,1,_maxLT),INDEX(elecPRV,stdCSL+1,5)*allOnes,tpSurvPRV)</f>
        <v>0</v>
      </c>
      <c r="AH177" s="39">
        <f ca="1">SUMPRODUCT(OFFSET(tConvElecPRV,0,29,1,_maxLT),INDEX(elecPRV,stdCSL+1,5)*allOnes,tpSurvPRV)</f>
        <v>0</v>
      </c>
      <c r="AI177" s="39">
        <f ca="1">SUMPRODUCT(OFFSET(tConvElecPRV,0,30,1,_maxLT),INDEX(elecPRV,stdCSL+1,5)*allOnes,tpSurvPRV)</f>
        <v>0</v>
      </c>
      <c r="AJ177" s="39">
        <f ca="1">SUMPRODUCT(OFFSET(tConvElecPRV,0,31,1,_maxLT),INDEX(elecPRV,stdCSL+1,5)*allOnes,tpSurvPRV)</f>
        <v>0</v>
      </c>
      <c r="AK177" s="39">
        <f ca="1">SUMPRODUCT(OFFSET(tConvElecPRV,0,32,1,_maxLT),INDEX(elecPRV,stdCSL+1,5)*allOnes,tpSurvPRV)</f>
        <v>0</v>
      </c>
      <c r="AL177" s="40">
        <f ca="1">SUMPRODUCT(OFFSET(tConvElecPRV,0,33,1,_maxLT),INDEX(elecPRV,stdCSL+1,5)*allOnes,tpSurvPRV)</f>
        <v>0</v>
      </c>
      <c r="AM177" s="10"/>
    </row>
    <row r="178" spans="2:39" ht="15">
      <c r="B178" s="10"/>
      <c r="C178" s="57" t="str">
        <f>"EL 5: " &amp; INDEX(_doName,7,6)</f>
        <v>EL 5: EL 5</v>
      </c>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3"/>
      <c r="AM178" s="10"/>
    </row>
    <row r="179" spans="2:39" ht="15">
      <c r="B179" s="10"/>
      <c r="C179" s="16" t="s">
        <v>69</v>
      </c>
      <c r="D179" s="12" t="str">
        <f>_yearDol &amp; "$"</f>
        <v>2015$</v>
      </c>
      <c r="E179" s="13">
        <f t="array" aca="1" ref="E179:AL179" ca="1">INDEX(mspPRV,stdCSL+1,6)*tPIdxAll + INDEX(instPRV,stdCSL+1,6) + IF(bESav,SUMPRODUCT(dFactor,tpSurvPRV,INDEX(mrPRV,stdCSL+1,6)*allOnes),0)</f>
        <v>3824.0208259036499</v>
      </c>
      <c r="F179" s="13">
        <f ca="1"/>
        <v>3824.0208259036499</v>
      </c>
      <c r="G179" s="13">
        <f ca="1"/>
        <v>3824.0208259036499</v>
      </c>
      <c r="H179" s="13">
        <f ca="1"/>
        <v>3824.0208259036499</v>
      </c>
      <c r="I179" s="13">
        <f ca="1"/>
        <v>3824.0208259036499</v>
      </c>
      <c r="J179" s="13">
        <f ca="1"/>
        <v>3824.0208259036499</v>
      </c>
      <c r="K179" s="13">
        <f ca="1"/>
        <v>3824.0208259036499</v>
      </c>
      <c r="L179" s="13">
        <f ca="1"/>
        <v>3824.0208259036499</v>
      </c>
      <c r="M179" s="13">
        <f ca="1"/>
        <v>3824.0208259036499</v>
      </c>
      <c r="N179" s="13">
        <f ca="1"/>
        <v>3824.0208259036499</v>
      </c>
      <c r="O179" s="13">
        <f ca="1"/>
        <v>3824.0208259036499</v>
      </c>
      <c r="P179" s="13">
        <f ca="1"/>
        <v>3824.0208259036499</v>
      </c>
      <c r="Q179" s="13">
        <f ca="1"/>
        <v>3824.0208259036499</v>
      </c>
      <c r="R179" s="13">
        <f ca="1"/>
        <v>3824.0208259036499</v>
      </c>
      <c r="S179" s="13">
        <f ca="1"/>
        <v>3824.0208259036499</v>
      </c>
      <c r="T179" s="13">
        <f ca="1"/>
        <v>3824.0208259036499</v>
      </c>
      <c r="U179" s="13">
        <f ca="1"/>
        <v>3824.0208259036499</v>
      </c>
      <c r="V179" s="13">
        <f ca="1"/>
        <v>3824.0208259036499</v>
      </c>
      <c r="W179" s="13">
        <f ca="1"/>
        <v>3824.0208259036499</v>
      </c>
      <c r="X179" s="13">
        <f ca="1"/>
        <v>3824.0208259036499</v>
      </c>
      <c r="Y179" s="13">
        <f ca="1"/>
        <v>3824.0208259036499</v>
      </c>
      <c r="Z179" s="13">
        <f ca="1"/>
        <v>3824.0208259036499</v>
      </c>
      <c r="AA179" s="13">
        <f ca="1"/>
        <v>3824.0208259036499</v>
      </c>
      <c r="AB179" s="13">
        <f ca="1"/>
        <v>3824.0208259036499</v>
      </c>
      <c r="AC179" s="13">
        <f ca="1"/>
        <v>3824.0208259036499</v>
      </c>
      <c r="AD179" s="13">
        <f ca="1"/>
        <v>3824.0208259036499</v>
      </c>
      <c r="AE179" s="13">
        <f ca="1"/>
        <v>3824.0208259036499</v>
      </c>
      <c r="AF179" s="13">
        <f ca="1"/>
        <v>3824.0208259036499</v>
      </c>
      <c r="AG179" s="13">
        <f ca="1"/>
        <v>3824.0208259036499</v>
      </c>
      <c r="AH179" s="13">
        <f ca="1"/>
        <v>3824.0208259036499</v>
      </c>
      <c r="AI179" s="13">
        <f ca="1"/>
        <v>3824.0208259036499</v>
      </c>
      <c r="AJ179" s="13">
        <f ca="1"/>
        <v>3824.0208259036499</v>
      </c>
      <c r="AK179" s="13">
        <f ca="1"/>
        <v>3824.0208259036499</v>
      </c>
      <c r="AL179" s="56">
        <f ca="1"/>
        <v>3824.0208259036499</v>
      </c>
      <c r="AM179" s="10"/>
    </row>
    <row r="180" spans="2:39" ht="15">
      <c r="B180" s="10"/>
      <c r="C180" s="16" t="str">
        <f>zEO&amp;" Costs"</f>
        <v>Operating Costs</v>
      </c>
      <c r="D180" s="12" t="str">
        <f>_yearDol &amp; "$"</f>
        <v>2015$</v>
      </c>
      <c r="E180" s="13">
        <f t="array" aca="1" ref="E180:AL180" ca="1">(tlccEFuElecpol5) + IF(bOSav,SUMPRODUCT(dFactor,tpSurvPRV,INDEX(mrPRV,stdCSL+1,6)*allOnes),0)</f>
        <v>9393.0844671831073</v>
      </c>
      <c r="F180" s="13">
        <f ca="1"/>
        <v>9469.302302314909</v>
      </c>
      <c r="G180" s="13">
        <f ca="1"/>
        <v>9543.2368816011349</v>
      </c>
      <c r="H180" s="13">
        <f ca="1"/>
        <v>9609.9468312902045</v>
      </c>
      <c r="I180" s="13">
        <f ca="1"/>
        <v>9670.4789093871004</v>
      </c>
      <c r="J180" s="13">
        <f ca="1"/>
        <v>9731.4004015602259</v>
      </c>
      <c r="K180" s="13">
        <f ca="1"/>
        <v>9792.7138722761756</v>
      </c>
      <c r="L180" s="13">
        <f ca="1"/>
        <v>9854.4219033131649</v>
      </c>
      <c r="M180" s="13">
        <f ca="1"/>
        <v>9916.5270938809081</v>
      </c>
      <c r="N180" s="13">
        <f ca="1"/>
        <v>9979.0320607412232</v>
      </c>
      <c r="O180" s="13">
        <f ca="1"/>
        <v>10041.939438329591</v>
      </c>
      <c r="P180" s="13">
        <f ca="1"/>
        <v>10105.251878877552</v>
      </c>
      <c r="Q180" s="13">
        <f ca="1"/>
        <v>10168.972052535915</v>
      </c>
      <c r="R180" s="13">
        <f ca="1"/>
        <v>10233.102647498932</v>
      </c>
      <c r="S180" s="13">
        <f ca="1"/>
        <v>10297.646370129278</v>
      </c>
      <c r="T180" s="13">
        <f ca="1"/>
        <v>10362.605945083928</v>
      </c>
      <c r="U180" s="13">
        <f ca="1"/>
        <v>10427.984115441028</v>
      </c>
      <c r="V180" s="13">
        <f ca="1"/>
        <v>10493.783642827459</v>
      </c>
      <c r="W180" s="13">
        <f ca="1"/>
        <v>10560.007307547558</v>
      </c>
      <c r="X180" s="13">
        <f ca="1"/>
        <v>10626.657908712516</v>
      </c>
      <c r="Y180" s="13">
        <f ca="1"/>
        <v>10693.738264370904</v>
      </c>
      <c r="Z180" s="13">
        <f ca="1"/>
        <v>10761.251211639934</v>
      </c>
      <c r="AA180" s="13">
        <f ca="1"/>
        <v>10829.199606837821</v>
      </c>
      <c r="AB180" s="13">
        <f ca="1"/>
        <v>10897.58632561697</v>
      </c>
      <c r="AC180" s="13">
        <f ca="1"/>
        <v>10966.414263098162</v>
      </c>
      <c r="AD180" s="13">
        <f ca="1"/>
        <v>11035.686334005673</v>
      </c>
      <c r="AE180" s="13">
        <f ca="1"/>
        <v>11105.405472803383</v>
      </c>
      <c r="AF180" s="13">
        <f ca="1"/>
        <v>11175.574633831793</v>
      </c>
      <c r="AG180" s="13">
        <f ca="1"/>
        <v>11246.196791446093</v>
      </c>
      <c r="AH180" s="13">
        <f ca="1"/>
        <v>11317.27494015515</v>
      </c>
      <c r="AI180" s="13">
        <f ca="1"/>
        <v>11388.812094761508</v>
      </c>
      <c r="AJ180" s="13">
        <f ca="1"/>
        <v>11460.811290502421</v>
      </c>
      <c r="AK180" s="13">
        <f ca="1"/>
        <v>11533.275583191762</v>
      </c>
      <c r="AL180" s="56">
        <f ca="1"/>
        <v>11606.208049363144</v>
      </c>
      <c r="AM180" s="10"/>
    </row>
    <row r="181" spans="2:39" ht="15">
      <c r="B181" s="10"/>
      <c r="C181" s="28" t="str">
        <f>INDEX(_fuel,1)</f>
        <v>Electricity</v>
      </c>
      <c r="D181" s="12" t="str">
        <f>_yearDol &amp; "$"</f>
        <v>2015$</v>
      </c>
      <c r="E181" s="13">
        <f ca="1">SUMPRODUCT(dFactor,tpSurvPRV,INDEX(elecPRV,stdCSL+1,6)*allOnes,OFFSET(tPrcElec,0,0,1,_maxLT))</f>
        <v>9393.0844671831073</v>
      </c>
      <c r="F181" s="13">
        <f ca="1">SUMPRODUCT(dFactor,tpSurvPRV,INDEX(elecPRV,stdCSL+1,6)*allOnes,OFFSET(tPrcElec,0,1,1,_maxLT))</f>
        <v>9469.302302314909</v>
      </c>
      <c r="G181" s="13">
        <f ca="1">SUMPRODUCT(dFactor,tpSurvPRV,INDEX(elecPRV,stdCSL+1,6)*allOnes,OFFSET(tPrcElec,0,2,1,_maxLT))</f>
        <v>9543.2368816011349</v>
      </c>
      <c r="H181" s="13">
        <f ca="1">SUMPRODUCT(dFactor,tpSurvPRV,INDEX(elecPRV,stdCSL+1,6)*allOnes,OFFSET(tPrcElec,0,3,1,_maxLT))</f>
        <v>9609.9468312902045</v>
      </c>
      <c r="I181" s="13">
        <f ca="1">SUMPRODUCT(dFactor,tpSurvPRV,INDEX(elecPRV,stdCSL+1,6)*allOnes,OFFSET(tPrcElec,0,4,1,_maxLT))</f>
        <v>9670.4789093871004</v>
      </c>
      <c r="J181" s="13">
        <f ca="1">SUMPRODUCT(dFactor,tpSurvPRV,INDEX(elecPRV,stdCSL+1,6)*allOnes,OFFSET(tPrcElec,0,5,1,_maxLT))</f>
        <v>9731.4004015602259</v>
      </c>
      <c r="K181" s="13">
        <f ca="1">SUMPRODUCT(dFactor,tpSurvPRV,INDEX(elecPRV,stdCSL+1,6)*allOnes,OFFSET(tPrcElec,0,6,1,_maxLT))</f>
        <v>9792.7138722761756</v>
      </c>
      <c r="L181" s="13">
        <f ca="1">SUMPRODUCT(dFactor,tpSurvPRV,INDEX(elecPRV,stdCSL+1,6)*allOnes,OFFSET(tPrcElec,0,7,1,_maxLT))</f>
        <v>9854.4219033131649</v>
      </c>
      <c r="M181" s="13">
        <f ca="1">SUMPRODUCT(dFactor,tpSurvPRV,INDEX(elecPRV,stdCSL+1,6)*allOnes,OFFSET(tPrcElec,0,8,1,_maxLT))</f>
        <v>9916.5270938809081</v>
      </c>
      <c r="N181" s="13">
        <f ca="1">SUMPRODUCT(dFactor,tpSurvPRV,INDEX(elecPRV,stdCSL+1,6)*allOnes,OFFSET(tPrcElec,0,9,1,_maxLT))</f>
        <v>9979.0320607412232</v>
      </c>
      <c r="O181" s="13">
        <f ca="1">SUMPRODUCT(dFactor,tpSurvPRV,INDEX(elecPRV,stdCSL+1,6)*allOnes,OFFSET(tPrcElec,0,10,1,_maxLT))</f>
        <v>10041.939438329591</v>
      </c>
      <c r="P181" s="13">
        <f ca="1">SUMPRODUCT(dFactor,tpSurvPRV,INDEX(elecPRV,stdCSL+1,6)*allOnes,OFFSET(tPrcElec,0,11,1,_maxLT))</f>
        <v>10105.251878877552</v>
      </c>
      <c r="Q181" s="13">
        <f ca="1">SUMPRODUCT(dFactor,tpSurvPRV,INDEX(elecPRV,stdCSL+1,6)*allOnes,OFFSET(tPrcElec,0,12,1,_maxLT))</f>
        <v>10168.972052535915</v>
      </c>
      <c r="R181" s="13">
        <f ca="1">SUMPRODUCT(dFactor,tpSurvPRV,INDEX(elecPRV,stdCSL+1,6)*allOnes,OFFSET(tPrcElec,0,13,1,_maxLT))</f>
        <v>10233.102647498932</v>
      </c>
      <c r="S181" s="13">
        <f ca="1">SUMPRODUCT(dFactor,tpSurvPRV,INDEX(elecPRV,stdCSL+1,6)*allOnes,OFFSET(tPrcElec,0,14,1,_maxLT))</f>
        <v>10297.646370129278</v>
      </c>
      <c r="T181" s="13">
        <f ca="1">SUMPRODUCT(dFactor,tpSurvPRV,INDEX(elecPRV,stdCSL+1,6)*allOnes,OFFSET(tPrcElec,0,15,1,_maxLT))</f>
        <v>10362.605945083928</v>
      </c>
      <c r="U181" s="13">
        <f ca="1">SUMPRODUCT(dFactor,tpSurvPRV,INDEX(elecPRV,stdCSL+1,6)*allOnes,OFFSET(tPrcElec,0,16,1,_maxLT))</f>
        <v>10427.984115441028</v>
      </c>
      <c r="V181" s="13">
        <f ca="1">SUMPRODUCT(dFactor,tpSurvPRV,INDEX(elecPRV,stdCSL+1,6)*allOnes,OFFSET(tPrcElec,0,17,1,_maxLT))</f>
        <v>10493.783642827459</v>
      </c>
      <c r="W181" s="13">
        <f ca="1">SUMPRODUCT(dFactor,tpSurvPRV,INDEX(elecPRV,stdCSL+1,6)*allOnes,OFFSET(tPrcElec,0,18,1,_maxLT))</f>
        <v>10560.007307547558</v>
      </c>
      <c r="X181" s="13">
        <f ca="1">SUMPRODUCT(dFactor,tpSurvPRV,INDEX(elecPRV,stdCSL+1,6)*allOnes,OFFSET(tPrcElec,0,19,1,_maxLT))</f>
        <v>10626.657908712516</v>
      </c>
      <c r="Y181" s="13">
        <f ca="1">SUMPRODUCT(dFactor,tpSurvPRV,INDEX(elecPRV,stdCSL+1,6)*allOnes,OFFSET(tPrcElec,0,20,1,_maxLT))</f>
        <v>10693.738264370904</v>
      </c>
      <c r="Z181" s="13">
        <f ca="1">SUMPRODUCT(dFactor,tpSurvPRV,INDEX(elecPRV,stdCSL+1,6)*allOnes,OFFSET(tPrcElec,0,21,1,_maxLT))</f>
        <v>10761.251211639934</v>
      </c>
      <c r="AA181" s="13">
        <f ca="1">SUMPRODUCT(dFactor,tpSurvPRV,INDEX(elecPRV,stdCSL+1,6)*allOnes,OFFSET(tPrcElec,0,22,1,_maxLT))</f>
        <v>10829.199606837821</v>
      </c>
      <c r="AB181" s="13">
        <f ca="1">SUMPRODUCT(dFactor,tpSurvPRV,INDEX(elecPRV,stdCSL+1,6)*allOnes,OFFSET(tPrcElec,0,23,1,_maxLT))</f>
        <v>10897.58632561697</v>
      </c>
      <c r="AC181" s="13">
        <f ca="1">SUMPRODUCT(dFactor,tpSurvPRV,INDEX(elecPRV,stdCSL+1,6)*allOnes,OFFSET(tPrcElec,0,24,1,_maxLT))</f>
        <v>10966.414263098162</v>
      </c>
      <c r="AD181" s="13">
        <f ca="1">SUMPRODUCT(dFactor,tpSurvPRV,INDEX(elecPRV,stdCSL+1,6)*allOnes,OFFSET(tPrcElec,0,25,1,_maxLT))</f>
        <v>11035.686334005673</v>
      </c>
      <c r="AE181" s="13">
        <f ca="1">SUMPRODUCT(dFactor,tpSurvPRV,INDEX(elecPRV,stdCSL+1,6)*allOnes,OFFSET(tPrcElec,0,26,1,_maxLT))</f>
        <v>11105.405472803383</v>
      </c>
      <c r="AF181" s="13">
        <f ca="1">SUMPRODUCT(dFactor,tpSurvPRV,INDEX(elecPRV,stdCSL+1,6)*allOnes,OFFSET(tPrcElec,0,27,1,_maxLT))</f>
        <v>11175.574633831793</v>
      </c>
      <c r="AG181" s="13">
        <f ca="1">SUMPRODUCT(dFactor,tpSurvPRV,INDEX(elecPRV,stdCSL+1,6)*allOnes,OFFSET(tPrcElec,0,28,1,_maxLT))</f>
        <v>11246.196791446093</v>
      </c>
      <c r="AH181" s="13">
        <f ca="1">SUMPRODUCT(dFactor,tpSurvPRV,INDEX(elecPRV,stdCSL+1,6)*allOnes,OFFSET(tPrcElec,0,29,1,_maxLT))</f>
        <v>11317.27494015515</v>
      </c>
      <c r="AI181" s="13">
        <f ca="1">SUMPRODUCT(dFactor,tpSurvPRV,INDEX(elecPRV,stdCSL+1,6)*allOnes,OFFSET(tPrcElec,0,30,1,_maxLT))</f>
        <v>11388.812094761508</v>
      </c>
      <c r="AJ181" s="13">
        <f ca="1">SUMPRODUCT(dFactor,tpSurvPRV,INDEX(elecPRV,stdCSL+1,6)*allOnes,OFFSET(tPrcElec,0,31,1,_maxLT))</f>
        <v>11460.811290502421</v>
      </c>
      <c r="AK181" s="13">
        <f ca="1">SUMPRODUCT(dFactor,tpSurvPRV,INDEX(elecPRV,stdCSL+1,6)*allOnes,OFFSET(tPrcElec,0,32,1,_maxLT))</f>
        <v>11533.275583191762</v>
      </c>
      <c r="AL181" s="56">
        <f ca="1">SUMPRODUCT(dFactor,tpSurvPRV,INDEX(elecPRV,stdCSL+1,6)*allOnes,OFFSET(tPrcElec,0,33,1,_maxLT))</f>
        <v>11606.208049363144</v>
      </c>
      <c r="AM181" s="10"/>
    </row>
    <row r="182" spans="2:39" ht="15">
      <c r="B182" s="10"/>
      <c r="C182" s="16" t="s">
        <v>79</v>
      </c>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5"/>
      <c r="AM182" s="10"/>
    </row>
    <row r="183" spans="2:39" ht="15">
      <c r="B183" s="10"/>
      <c r="C183" s="28" t="str">
        <f>INDEX(_fuel,1)</f>
        <v>Electricity</v>
      </c>
      <c r="D183" s="12" t="s">
        <v>83</v>
      </c>
      <c r="E183" s="39">
        <f ca="1">SUMPRODUCT(OFFSET(tConvElecPRV,0,0,1,_maxLT),INDEX(elecPRV,stdCSL+1,6)*allOnes,tpSurvPRV)</f>
        <v>1987.6935556741971</v>
      </c>
      <c r="F183" s="39">
        <f ca="1">SUMPRODUCT(OFFSET(tConvElecPRV,0,1,1,_maxLT),INDEX(elecPRV,stdCSL+1,6)*allOnes,tpSurvPRV)</f>
        <v>1974.5445874789514</v>
      </c>
      <c r="G183" s="39">
        <f ca="1">SUMPRODUCT(OFFSET(tConvElecPRV,0,2,1,_maxLT),INDEX(elecPRV,stdCSL+1,6)*allOnes,tpSurvPRV)</f>
        <v>1962.9393532512042</v>
      </c>
      <c r="H183" s="39">
        <f ca="1">SUMPRODUCT(OFFSET(tConvElecPRV,0,3,1,_maxLT),INDEX(elecPRV,stdCSL+1,6)*allOnes,tpSurvPRV)</f>
        <v>1951.9089811324604</v>
      </c>
      <c r="I183" s="39">
        <f ca="1">SUMPRODUCT(OFFSET(tConvElecPRV,0,4,1,_maxLT),INDEX(elecPRV,stdCSL+1,6)*allOnes,tpSurvPRV)</f>
        <v>1942.2457639218999</v>
      </c>
      <c r="J183" s="39">
        <f ca="1">SUMPRODUCT(OFFSET(tConvElecPRV,0,5,1,_maxLT),INDEX(elecPRV,stdCSL+1,6)*allOnes,tpSurvPRV)</f>
        <v>1934.7063275255603</v>
      </c>
      <c r="K183" s="39">
        <f ca="1">SUMPRODUCT(OFFSET(tConvElecPRV,0,6,1,_maxLT),INDEX(elecPRV,stdCSL+1,6)*allOnes,tpSurvPRV)</f>
        <v>1928.4075716087568</v>
      </c>
      <c r="L183" s="39">
        <f ca="1">SUMPRODUCT(OFFSET(tConvElecPRV,0,7,1,_maxLT),INDEX(elecPRV,stdCSL+1,6)*allOnes,tpSurvPRV)</f>
        <v>1922.0676507081505</v>
      </c>
      <c r="M183" s="39">
        <f ca="1">SUMPRODUCT(OFFSET(tConvElecPRV,0,8,1,_maxLT),INDEX(elecPRV,stdCSL+1,6)*allOnes,tpSurvPRV)</f>
        <v>1916.9552544811741</v>
      </c>
      <c r="N183" s="39">
        <f ca="1">SUMPRODUCT(OFFSET(tConvElecPRV,0,9,1,_maxLT),INDEX(elecPRV,stdCSL+1,6)*allOnes,tpSurvPRV)</f>
        <v>1913.3747825297182</v>
      </c>
      <c r="O183" s="39">
        <f ca="1">SUMPRODUCT(OFFSET(tConvElecPRV,0,10,1,_maxLT),INDEX(elecPRV,stdCSL+1,6)*allOnes,tpSurvPRV)</f>
        <v>1910.723918087916</v>
      </c>
      <c r="P183" s="39">
        <f ca="1">SUMPRODUCT(OFFSET(tConvElecPRV,0,11,1,_maxLT),INDEX(elecPRV,stdCSL+1,6)*allOnes,tpSurvPRV)</f>
        <v>1908.4673877301541</v>
      </c>
      <c r="Q183" s="39">
        <f ca="1">SUMPRODUCT(OFFSET(tConvElecPRV,0,12,1,_maxLT),INDEX(elecPRV,stdCSL+1,6)*allOnes,tpSurvPRV)</f>
        <v>1906.7771569919023</v>
      </c>
      <c r="R183" s="39">
        <f ca="1">SUMPRODUCT(OFFSET(tConvElecPRV,0,13,1,_maxLT),INDEX(elecPRV,stdCSL+1,6)*allOnes,tpSurvPRV)</f>
        <v>1905.4647660482253</v>
      </c>
      <c r="S183" s="39">
        <f ca="1">SUMPRODUCT(OFFSET(tConvElecPRV,0,14,1,_maxLT),INDEX(elecPRV,stdCSL+1,6)*allOnes,tpSurvPRV)</f>
        <v>1905.211448988452</v>
      </c>
      <c r="T183" s="39">
        <f ca="1">SUMPRODUCT(OFFSET(tConvElecPRV,0,15,1,_maxLT),INDEX(elecPRV,stdCSL+1,6)*allOnes,tpSurvPRV)</f>
        <v>1905.4399988003315</v>
      </c>
      <c r="U183" s="39">
        <f ca="1">SUMPRODUCT(OFFSET(tConvElecPRV,0,16,1,_maxLT),INDEX(elecPRV,stdCSL+1,6)*allOnes,tpSurvPRV)</f>
        <v>1905.8272675762546</v>
      </c>
      <c r="V183" s="39">
        <f ca="1">SUMPRODUCT(OFFSET(tConvElecPRV,0,17,1,_maxLT),INDEX(elecPRV,stdCSL+1,6)*allOnes,tpSurvPRV)</f>
        <v>1906.4175952813225</v>
      </c>
      <c r="W183" s="39">
        <f ca="1">SUMPRODUCT(OFFSET(tConvElecPRV,0,18,1,_maxLT),INDEX(elecPRV,stdCSL+1,6)*allOnes,tpSurvPRV)</f>
        <v>1906.98295538294</v>
      </c>
      <c r="X183" s="39">
        <f ca="1">SUMPRODUCT(OFFSET(tConvElecPRV,0,19,1,_maxLT),INDEX(elecPRV,stdCSL+1,6)*allOnes,tpSurvPRV)</f>
        <v>1907.4514777836466</v>
      </c>
      <c r="Y183" s="39">
        <f ca="1">SUMPRODUCT(OFFSET(tConvElecPRV,0,20,1,_maxLT),INDEX(elecPRV,stdCSL+1,6)*allOnes,tpSurvPRV)</f>
        <v>1907.7656084563437</v>
      </c>
      <c r="Z183" s="39">
        <f ca="1">SUMPRODUCT(OFFSET(tConvElecPRV,0,21,1,_maxLT),INDEX(elecPRV,stdCSL+1,6)*allOnes,tpSurvPRV)</f>
        <v>1907.9821520664464</v>
      </c>
      <c r="AA183" s="39">
        <f ca="1">SUMPRODUCT(OFFSET(tConvElecPRV,0,22,1,_maxLT),INDEX(elecPRV,stdCSL+1,6)*allOnes,tpSurvPRV)</f>
        <v>1907.9821520664464</v>
      </c>
      <c r="AB183" s="39">
        <f ca="1">SUMPRODUCT(OFFSET(tConvElecPRV,0,23,1,_maxLT),INDEX(elecPRV,stdCSL+1,6)*allOnes,tpSurvPRV)</f>
        <v>1907.9821520664464</v>
      </c>
      <c r="AC183" s="39">
        <f ca="1">SUMPRODUCT(OFFSET(tConvElecPRV,0,24,1,_maxLT),INDEX(elecPRV,stdCSL+1,6)*allOnes,tpSurvPRV)</f>
        <v>1907.9821520664464</v>
      </c>
      <c r="AD183" s="39">
        <f ca="1">SUMPRODUCT(OFFSET(tConvElecPRV,0,25,1,_maxLT),INDEX(elecPRV,stdCSL+1,6)*allOnes,tpSurvPRV)</f>
        <v>1907.9821520664464</v>
      </c>
      <c r="AE183" s="39">
        <f ca="1">SUMPRODUCT(OFFSET(tConvElecPRV,0,26,1,_maxLT),INDEX(elecPRV,stdCSL+1,6)*allOnes,tpSurvPRV)</f>
        <v>1907.9821520664464</v>
      </c>
      <c r="AF183" s="39">
        <f ca="1">SUMPRODUCT(OFFSET(tConvElecPRV,0,27,1,_maxLT),INDEX(elecPRV,stdCSL+1,6)*allOnes,tpSurvPRV)</f>
        <v>1907.9821520664464</v>
      </c>
      <c r="AG183" s="39">
        <f ca="1">SUMPRODUCT(OFFSET(tConvElecPRV,0,28,1,_maxLT),INDEX(elecPRV,stdCSL+1,6)*allOnes,tpSurvPRV)</f>
        <v>1907.9821520664464</v>
      </c>
      <c r="AH183" s="39">
        <f ca="1">SUMPRODUCT(OFFSET(tConvElecPRV,0,29,1,_maxLT),INDEX(elecPRV,stdCSL+1,6)*allOnes,tpSurvPRV)</f>
        <v>1907.9821520664464</v>
      </c>
      <c r="AI183" s="39">
        <f ca="1">SUMPRODUCT(OFFSET(tConvElecPRV,0,30,1,_maxLT),INDEX(elecPRV,stdCSL+1,6)*allOnes,tpSurvPRV)</f>
        <v>1907.9821520664464</v>
      </c>
      <c r="AJ183" s="39">
        <f ca="1">SUMPRODUCT(OFFSET(tConvElecPRV,0,31,1,_maxLT),INDEX(elecPRV,stdCSL+1,6)*allOnes,tpSurvPRV)</f>
        <v>1907.9821520664464</v>
      </c>
      <c r="AK183" s="39">
        <f ca="1">SUMPRODUCT(OFFSET(tConvElecPRV,0,32,1,_maxLT),INDEX(elecPRV,stdCSL+1,6)*allOnes,tpSurvPRV)</f>
        <v>1907.9821520664464</v>
      </c>
      <c r="AL183" s="40">
        <f ca="1">SUMPRODUCT(OFFSET(tConvElecPRV,0,33,1,_maxLT),INDEX(elecPRV,stdCSL+1,6)*allOnes,tpSurvPRV)</f>
        <v>1907.9821520664464</v>
      </c>
      <c r="AM183" s="10"/>
    </row>
    <row r="184" spans="2:39" ht="15">
      <c r="B184" s="10"/>
      <c r="C184" s="57" t="str">
        <f>"EL 6: " &amp; INDEX(_doName,7,7)</f>
        <v>EL 6: EL 6</v>
      </c>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3"/>
      <c r="AM184" s="10"/>
    </row>
    <row r="185" spans="2:39" ht="15">
      <c r="B185" s="10"/>
      <c r="C185" s="16" t="s">
        <v>69</v>
      </c>
      <c r="D185" s="12" t="str">
        <f>_yearDol &amp; "$"</f>
        <v>2015$</v>
      </c>
      <c r="E185" s="13">
        <f t="array" aca="1" ref="E185:AL185" ca="1">INDEX(mspPRV,stdCSL+1,7)*tPIdxAll + INDEX(instPRV,stdCSL+1,7) + IF(bESav,SUMPRODUCT(dFactor,tpSurvPRV,INDEX(mrPRV,stdCSL+1,7)*allOnes),0)</f>
        <v>3821.84135460993</v>
      </c>
      <c r="F185" s="13">
        <f ca="1"/>
        <v>3821.84135460993</v>
      </c>
      <c r="G185" s="13">
        <f ca="1"/>
        <v>3821.84135460993</v>
      </c>
      <c r="H185" s="13">
        <f ca="1"/>
        <v>3821.84135460993</v>
      </c>
      <c r="I185" s="13">
        <f ca="1"/>
        <v>3821.84135460993</v>
      </c>
      <c r="J185" s="13">
        <f ca="1"/>
        <v>3821.84135460993</v>
      </c>
      <c r="K185" s="13">
        <f ca="1"/>
        <v>3821.84135460993</v>
      </c>
      <c r="L185" s="13">
        <f ca="1"/>
        <v>3821.84135460993</v>
      </c>
      <c r="M185" s="13">
        <f ca="1"/>
        <v>3821.84135460993</v>
      </c>
      <c r="N185" s="13">
        <f ca="1"/>
        <v>3821.84135460993</v>
      </c>
      <c r="O185" s="13">
        <f ca="1"/>
        <v>3821.84135460993</v>
      </c>
      <c r="P185" s="13">
        <f ca="1"/>
        <v>3821.84135460993</v>
      </c>
      <c r="Q185" s="13">
        <f ca="1"/>
        <v>3821.84135460993</v>
      </c>
      <c r="R185" s="13">
        <f ca="1"/>
        <v>3821.84135460993</v>
      </c>
      <c r="S185" s="13">
        <f ca="1"/>
        <v>3821.84135460993</v>
      </c>
      <c r="T185" s="13">
        <f ca="1"/>
        <v>3821.84135460993</v>
      </c>
      <c r="U185" s="13">
        <f ca="1"/>
        <v>3821.84135460993</v>
      </c>
      <c r="V185" s="13">
        <f ca="1"/>
        <v>3821.84135460993</v>
      </c>
      <c r="W185" s="13">
        <f ca="1"/>
        <v>3821.84135460993</v>
      </c>
      <c r="X185" s="13">
        <f ca="1"/>
        <v>3821.84135460993</v>
      </c>
      <c r="Y185" s="13">
        <f ca="1"/>
        <v>3821.84135460993</v>
      </c>
      <c r="Z185" s="13">
        <f ca="1"/>
        <v>3821.84135460993</v>
      </c>
      <c r="AA185" s="13">
        <f ca="1"/>
        <v>3821.84135460993</v>
      </c>
      <c r="AB185" s="13">
        <f ca="1"/>
        <v>3821.84135460993</v>
      </c>
      <c r="AC185" s="13">
        <f ca="1"/>
        <v>3821.84135460993</v>
      </c>
      <c r="AD185" s="13">
        <f ca="1"/>
        <v>3821.84135460993</v>
      </c>
      <c r="AE185" s="13">
        <f ca="1"/>
        <v>3821.84135460993</v>
      </c>
      <c r="AF185" s="13">
        <f ca="1"/>
        <v>3821.84135460993</v>
      </c>
      <c r="AG185" s="13">
        <f ca="1"/>
        <v>3821.84135460993</v>
      </c>
      <c r="AH185" s="13">
        <f ca="1"/>
        <v>3821.84135460993</v>
      </c>
      <c r="AI185" s="13">
        <f ca="1"/>
        <v>3821.84135460993</v>
      </c>
      <c r="AJ185" s="13">
        <f ca="1"/>
        <v>3821.84135460993</v>
      </c>
      <c r="AK185" s="13">
        <f ca="1"/>
        <v>3821.84135460993</v>
      </c>
      <c r="AL185" s="56">
        <f ca="1"/>
        <v>3821.84135460993</v>
      </c>
      <c r="AM185" s="10"/>
    </row>
    <row r="186" spans="2:39" ht="15">
      <c r="B186" s="10"/>
      <c r="C186" s="16" t="str">
        <f>zEO&amp;" Costs"</f>
        <v>Operating Costs</v>
      </c>
      <c r="D186" s="12" t="str">
        <f>_yearDol &amp; "$"</f>
        <v>2015$</v>
      </c>
      <c r="E186" s="13">
        <f t="array" aca="1" ref="E186:AL186" ca="1">(tlccEFuElecpol6) + IF(bOSav,SUMPRODUCT(dFactor,tpSurvPRV,INDEX(mrPRV,stdCSL+1,7)*allOnes),0)</f>
        <v>7282.3562138607331</v>
      </c>
      <c r="F186" s="13">
        <f ca="1"/>
        <v>7341.4470723767317</v>
      </c>
      <c r="G186" s="13">
        <f ca="1"/>
        <v>7398.7677474718303</v>
      </c>
      <c r="H186" s="13">
        <f ca="1"/>
        <v>7450.4872458263671</v>
      </c>
      <c r="I186" s="13">
        <f ca="1"/>
        <v>7497.4171075354698</v>
      </c>
      <c r="J186" s="13">
        <f ca="1"/>
        <v>7544.6488777420118</v>
      </c>
      <c r="K186" s="13">
        <f ca="1"/>
        <v>7592.184544649047</v>
      </c>
      <c r="L186" s="13">
        <f ca="1"/>
        <v>7640.0261098811425</v>
      </c>
      <c r="M186" s="13">
        <f ca="1"/>
        <v>7688.17558857732</v>
      </c>
      <c r="N186" s="13">
        <f ca="1"/>
        <v>7736.6350094845466</v>
      </c>
      <c r="O186" s="13">
        <f ca="1"/>
        <v>7785.4064150520016</v>
      </c>
      <c r="P186" s="13">
        <f ca="1"/>
        <v>7834.4918615259448</v>
      </c>
      <c r="Q186" s="13">
        <f ca="1"/>
        <v>7883.8934190452501</v>
      </c>
      <c r="R186" s="13">
        <f ca="1"/>
        <v>7933.613171737692</v>
      </c>
      <c r="S186" s="13">
        <f ca="1"/>
        <v>7983.6532178167927</v>
      </c>
      <c r="T186" s="13">
        <f ca="1"/>
        <v>8034.0156696794975</v>
      </c>
      <c r="U186" s="13">
        <f ca="1"/>
        <v>8084.7026540044235</v>
      </c>
      <c r="V186" s="13">
        <f ca="1"/>
        <v>8135.7163118508779</v>
      </c>
      <c r="W186" s="13">
        <f ca="1"/>
        <v>8187.0587987585513</v>
      </c>
      <c r="X186" s="13">
        <f ca="1"/>
        <v>8238.7322848479216</v>
      </c>
      <c r="Y186" s="13">
        <f ca="1"/>
        <v>8290.7389549213603</v>
      </c>
      <c r="Z186" s="13">
        <f ca="1"/>
        <v>8343.0810085650228</v>
      </c>
      <c r="AA186" s="13">
        <f ca="1"/>
        <v>8395.7606602513151</v>
      </c>
      <c r="AB186" s="13">
        <f ca="1"/>
        <v>8448.780139442295</v>
      </c>
      <c r="AC186" s="13">
        <f ca="1"/>
        <v>8502.141690693592</v>
      </c>
      <c r="AD186" s="13">
        <f ca="1"/>
        <v>8555.8475737592416</v>
      </c>
      <c r="AE186" s="13">
        <f ca="1"/>
        <v>8609.9000636971705</v>
      </c>
      <c r="AF186" s="13">
        <f ca="1"/>
        <v>8664.3014509754303</v>
      </c>
      <c r="AG186" s="13">
        <f ca="1"/>
        <v>8719.0540415792475</v>
      </c>
      <c r="AH186" s="13">
        <f ca="1"/>
        <v>8774.1601571187712</v>
      </c>
      <c r="AI186" s="13">
        <f ca="1"/>
        <v>8829.6221349376265</v>
      </c>
      <c r="AJ186" s="13">
        <f ca="1"/>
        <v>8885.4423282222306</v>
      </c>
      <c r="AK186" s="13">
        <f ca="1"/>
        <v>8941.623106111856</v>
      </c>
      <c r="AL186" s="56">
        <f ca="1"/>
        <v>8998.1668538095309</v>
      </c>
      <c r="AM186" s="10"/>
    </row>
    <row r="187" spans="2:39" ht="15">
      <c r="B187" s="10"/>
      <c r="C187" s="28" t="str">
        <f>INDEX(_fuel,1)</f>
        <v>Electricity</v>
      </c>
      <c r="D187" s="12" t="str">
        <f>_yearDol &amp; "$"</f>
        <v>2015$</v>
      </c>
      <c r="E187" s="13">
        <f ca="1">SUMPRODUCT(dFactor,tpSurvPRV,INDEX(elecPRV,stdCSL+1,7)*allOnes,OFFSET(tPrcElec,0,0,1,_maxLT))</f>
        <v>7282.3562138607331</v>
      </c>
      <c r="F187" s="13">
        <f ca="1">SUMPRODUCT(dFactor,tpSurvPRV,INDEX(elecPRV,stdCSL+1,7)*allOnes,OFFSET(tPrcElec,0,1,1,_maxLT))</f>
        <v>7341.4470723767317</v>
      </c>
      <c r="G187" s="13">
        <f ca="1">SUMPRODUCT(dFactor,tpSurvPRV,INDEX(elecPRV,stdCSL+1,7)*allOnes,OFFSET(tPrcElec,0,2,1,_maxLT))</f>
        <v>7398.7677474718303</v>
      </c>
      <c r="H187" s="13">
        <f ca="1">SUMPRODUCT(dFactor,tpSurvPRV,INDEX(elecPRV,stdCSL+1,7)*allOnes,OFFSET(tPrcElec,0,3,1,_maxLT))</f>
        <v>7450.4872458263671</v>
      </c>
      <c r="I187" s="13">
        <f ca="1">SUMPRODUCT(dFactor,tpSurvPRV,INDEX(elecPRV,stdCSL+1,7)*allOnes,OFFSET(tPrcElec,0,4,1,_maxLT))</f>
        <v>7497.4171075354698</v>
      </c>
      <c r="J187" s="13">
        <f ca="1">SUMPRODUCT(dFactor,tpSurvPRV,INDEX(elecPRV,stdCSL+1,7)*allOnes,OFFSET(tPrcElec,0,5,1,_maxLT))</f>
        <v>7544.6488777420118</v>
      </c>
      <c r="K187" s="13">
        <f ca="1">SUMPRODUCT(dFactor,tpSurvPRV,INDEX(elecPRV,stdCSL+1,7)*allOnes,OFFSET(tPrcElec,0,6,1,_maxLT))</f>
        <v>7592.184544649047</v>
      </c>
      <c r="L187" s="13">
        <f ca="1">SUMPRODUCT(dFactor,tpSurvPRV,INDEX(elecPRV,stdCSL+1,7)*allOnes,OFFSET(tPrcElec,0,7,1,_maxLT))</f>
        <v>7640.0261098811425</v>
      </c>
      <c r="M187" s="13">
        <f ca="1">SUMPRODUCT(dFactor,tpSurvPRV,INDEX(elecPRV,stdCSL+1,7)*allOnes,OFFSET(tPrcElec,0,8,1,_maxLT))</f>
        <v>7688.17558857732</v>
      </c>
      <c r="N187" s="13">
        <f ca="1">SUMPRODUCT(dFactor,tpSurvPRV,INDEX(elecPRV,stdCSL+1,7)*allOnes,OFFSET(tPrcElec,0,9,1,_maxLT))</f>
        <v>7736.6350094845466</v>
      </c>
      <c r="O187" s="13">
        <f ca="1">SUMPRODUCT(dFactor,tpSurvPRV,INDEX(elecPRV,stdCSL+1,7)*allOnes,OFFSET(tPrcElec,0,10,1,_maxLT))</f>
        <v>7785.4064150520016</v>
      </c>
      <c r="P187" s="13">
        <f ca="1">SUMPRODUCT(dFactor,tpSurvPRV,INDEX(elecPRV,stdCSL+1,7)*allOnes,OFFSET(tPrcElec,0,11,1,_maxLT))</f>
        <v>7834.4918615259448</v>
      </c>
      <c r="Q187" s="13">
        <f ca="1">SUMPRODUCT(dFactor,tpSurvPRV,INDEX(elecPRV,stdCSL+1,7)*allOnes,OFFSET(tPrcElec,0,12,1,_maxLT))</f>
        <v>7883.8934190452501</v>
      </c>
      <c r="R187" s="13">
        <f ca="1">SUMPRODUCT(dFactor,tpSurvPRV,INDEX(elecPRV,stdCSL+1,7)*allOnes,OFFSET(tPrcElec,0,13,1,_maxLT))</f>
        <v>7933.613171737692</v>
      </c>
      <c r="S187" s="13">
        <f ca="1">SUMPRODUCT(dFactor,tpSurvPRV,INDEX(elecPRV,stdCSL+1,7)*allOnes,OFFSET(tPrcElec,0,14,1,_maxLT))</f>
        <v>7983.6532178167927</v>
      </c>
      <c r="T187" s="13">
        <f ca="1">SUMPRODUCT(dFactor,tpSurvPRV,INDEX(elecPRV,stdCSL+1,7)*allOnes,OFFSET(tPrcElec,0,15,1,_maxLT))</f>
        <v>8034.0156696794975</v>
      </c>
      <c r="U187" s="13">
        <f ca="1">SUMPRODUCT(dFactor,tpSurvPRV,INDEX(elecPRV,stdCSL+1,7)*allOnes,OFFSET(tPrcElec,0,16,1,_maxLT))</f>
        <v>8084.7026540044235</v>
      </c>
      <c r="V187" s="13">
        <f ca="1">SUMPRODUCT(dFactor,tpSurvPRV,INDEX(elecPRV,stdCSL+1,7)*allOnes,OFFSET(tPrcElec,0,17,1,_maxLT))</f>
        <v>8135.7163118508779</v>
      </c>
      <c r="W187" s="13">
        <f ca="1">SUMPRODUCT(dFactor,tpSurvPRV,INDEX(elecPRV,stdCSL+1,7)*allOnes,OFFSET(tPrcElec,0,18,1,_maxLT))</f>
        <v>8187.0587987585513</v>
      </c>
      <c r="X187" s="13">
        <f ca="1">SUMPRODUCT(dFactor,tpSurvPRV,INDEX(elecPRV,stdCSL+1,7)*allOnes,OFFSET(tPrcElec,0,19,1,_maxLT))</f>
        <v>8238.7322848479216</v>
      </c>
      <c r="Y187" s="13">
        <f ca="1">SUMPRODUCT(dFactor,tpSurvPRV,INDEX(elecPRV,stdCSL+1,7)*allOnes,OFFSET(tPrcElec,0,20,1,_maxLT))</f>
        <v>8290.7389549213603</v>
      </c>
      <c r="Z187" s="13">
        <f ca="1">SUMPRODUCT(dFactor,tpSurvPRV,INDEX(elecPRV,stdCSL+1,7)*allOnes,OFFSET(tPrcElec,0,21,1,_maxLT))</f>
        <v>8343.0810085650228</v>
      </c>
      <c r="AA187" s="13">
        <f ca="1">SUMPRODUCT(dFactor,tpSurvPRV,INDEX(elecPRV,stdCSL+1,7)*allOnes,OFFSET(tPrcElec,0,22,1,_maxLT))</f>
        <v>8395.7606602513151</v>
      </c>
      <c r="AB187" s="13">
        <f ca="1">SUMPRODUCT(dFactor,tpSurvPRV,INDEX(elecPRV,stdCSL+1,7)*allOnes,OFFSET(tPrcElec,0,23,1,_maxLT))</f>
        <v>8448.780139442295</v>
      </c>
      <c r="AC187" s="13">
        <f ca="1">SUMPRODUCT(dFactor,tpSurvPRV,INDEX(elecPRV,stdCSL+1,7)*allOnes,OFFSET(tPrcElec,0,24,1,_maxLT))</f>
        <v>8502.141690693592</v>
      </c>
      <c r="AD187" s="13">
        <f ca="1">SUMPRODUCT(dFactor,tpSurvPRV,INDEX(elecPRV,stdCSL+1,7)*allOnes,OFFSET(tPrcElec,0,25,1,_maxLT))</f>
        <v>8555.8475737592416</v>
      </c>
      <c r="AE187" s="13">
        <f ca="1">SUMPRODUCT(dFactor,tpSurvPRV,INDEX(elecPRV,stdCSL+1,7)*allOnes,OFFSET(tPrcElec,0,26,1,_maxLT))</f>
        <v>8609.9000636971705</v>
      </c>
      <c r="AF187" s="13">
        <f ca="1">SUMPRODUCT(dFactor,tpSurvPRV,INDEX(elecPRV,stdCSL+1,7)*allOnes,OFFSET(tPrcElec,0,27,1,_maxLT))</f>
        <v>8664.3014509754303</v>
      </c>
      <c r="AG187" s="13">
        <f ca="1">SUMPRODUCT(dFactor,tpSurvPRV,INDEX(elecPRV,stdCSL+1,7)*allOnes,OFFSET(tPrcElec,0,28,1,_maxLT))</f>
        <v>8719.0540415792475</v>
      </c>
      <c r="AH187" s="13">
        <f ca="1">SUMPRODUCT(dFactor,tpSurvPRV,INDEX(elecPRV,stdCSL+1,7)*allOnes,OFFSET(tPrcElec,0,29,1,_maxLT))</f>
        <v>8774.1601571187712</v>
      </c>
      <c r="AI187" s="13">
        <f ca="1">SUMPRODUCT(dFactor,tpSurvPRV,INDEX(elecPRV,stdCSL+1,7)*allOnes,OFFSET(tPrcElec,0,30,1,_maxLT))</f>
        <v>8829.6221349376265</v>
      </c>
      <c r="AJ187" s="13">
        <f ca="1">SUMPRODUCT(dFactor,tpSurvPRV,INDEX(elecPRV,stdCSL+1,7)*allOnes,OFFSET(tPrcElec,0,31,1,_maxLT))</f>
        <v>8885.4423282222306</v>
      </c>
      <c r="AK187" s="13">
        <f ca="1">SUMPRODUCT(dFactor,tpSurvPRV,INDEX(elecPRV,stdCSL+1,7)*allOnes,OFFSET(tPrcElec,0,32,1,_maxLT))</f>
        <v>8941.623106111856</v>
      </c>
      <c r="AL187" s="56">
        <f ca="1">SUMPRODUCT(dFactor,tpSurvPRV,INDEX(elecPRV,stdCSL+1,7)*allOnes,OFFSET(tPrcElec,0,33,1,_maxLT))</f>
        <v>8998.1668538095309</v>
      </c>
      <c r="AM187" s="10"/>
    </row>
    <row r="188" spans="2:39" ht="15">
      <c r="B188" s="10"/>
      <c r="C188" s="16" t="s">
        <v>79</v>
      </c>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5"/>
      <c r="AM188" s="10"/>
    </row>
    <row r="189" spans="2:39" ht="15">
      <c r="B189" s="10"/>
      <c r="C189" s="45" t="str">
        <f>INDEX(_fuel,1)</f>
        <v>Electricity</v>
      </c>
      <c r="D189" s="18" t="s">
        <v>83</v>
      </c>
      <c r="E189" s="49">
        <f ca="1">SUMPRODUCT(OFFSET(tConvElecPRV,0,0,1,_maxLT),INDEX(elecPRV,stdCSL+1,7)*allOnes,tpSurvPRV)</f>
        <v>1541.0371925204097</v>
      </c>
      <c r="F189" s="49">
        <f ca="1">SUMPRODUCT(OFFSET(tConvElecPRV,0,1,1,_maxLT),INDEX(elecPRV,stdCSL+1,7)*allOnes,tpSurvPRV)</f>
        <v>1530.8429405069157</v>
      </c>
      <c r="G189" s="49">
        <f ca="1">SUMPRODUCT(OFFSET(tConvElecPRV,0,2,1,_maxLT),INDEX(elecPRV,stdCSL+1,7)*allOnes,tpSurvPRV)</f>
        <v>1521.845528646412</v>
      </c>
      <c r="H189" s="49">
        <f ca="1">SUMPRODUCT(OFFSET(tConvElecPRV,0,3,1,_maxLT),INDEX(elecPRV,stdCSL+1,7)*allOnes,tpSurvPRV)</f>
        <v>1513.2938011259398</v>
      </c>
      <c r="I189" s="49">
        <f ca="1">SUMPRODUCT(OFFSET(tConvElecPRV,0,4,1,_maxLT),INDEX(elecPRV,stdCSL+1,7)*allOnes,tpSurvPRV)</f>
        <v>1505.8020139345149</v>
      </c>
      <c r="J189" s="49">
        <f ca="1">SUMPRODUCT(OFFSET(tConvElecPRV,0,5,1,_maxLT),INDEX(elecPRV,stdCSL+1,7)*allOnes,tpSurvPRV)</f>
        <v>1499.9567709068692</v>
      </c>
      <c r="K189" s="49">
        <f ca="1">SUMPRODUCT(OFFSET(tConvElecPRV,0,6,1,_maxLT),INDEX(elecPRV,stdCSL+1,7)*allOnes,tpSurvPRV)</f>
        <v>1495.0734139594701</v>
      </c>
      <c r="L189" s="49">
        <f ca="1">SUMPRODUCT(OFFSET(tConvElecPRV,0,7,1,_maxLT),INDEX(elecPRV,stdCSL+1,7)*allOnes,tpSurvPRV)</f>
        <v>1490.1581422479021</v>
      </c>
      <c r="M189" s="49">
        <f ca="1">SUMPRODUCT(OFFSET(tConvElecPRV,0,8,1,_maxLT),INDEX(elecPRV,stdCSL+1,7)*allOnes,tpSurvPRV)</f>
        <v>1486.1945570633638</v>
      </c>
      <c r="N189" s="49">
        <f ca="1">SUMPRODUCT(OFFSET(tConvElecPRV,0,9,1,_maxLT),INDEX(elecPRV,stdCSL+1,7)*allOnes,tpSurvPRV)</f>
        <v>1483.4186561060867</v>
      </c>
      <c r="O189" s="49">
        <f ca="1">SUMPRODUCT(OFFSET(tConvElecPRV,0,10,1,_maxLT),INDEX(elecPRV,stdCSL+1,7)*allOnes,tpSurvPRV)</f>
        <v>1481.3634697392117</v>
      </c>
      <c r="P189" s="49">
        <f ca="1">SUMPRODUCT(OFFSET(tConvElecPRV,0,11,1,_maxLT),INDEX(elecPRV,stdCSL+1,7)*allOnes,tpSurvPRV)</f>
        <v>1479.6140062983127</v>
      </c>
      <c r="Q189" s="49">
        <f ca="1">SUMPRODUCT(OFFSET(tConvElecPRV,0,12,1,_maxLT),INDEX(elecPRV,stdCSL+1,7)*allOnes,tpSurvPRV)</f>
        <v>1478.3035887924796</v>
      </c>
      <c r="R189" s="49">
        <f ca="1">SUMPRODUCT(OFFSET(tConvElecPRV,0,13,1,_maxLT),INDEX(elecPRV,stdCSL+1,7)*allOnes,tpSurvPRV)</f>
        <v>1477.286106369417</v>
      </c>
      <c r="S189" s="49">
        <f ca="1">SUMPRODUCT(OFFSET(tConvElecPRV,0,14,1,_maxLT),INDEX(elecPRV,stdCSL+1,7)*allOnes,tpSurvPRV)</f>
        <v>1477.0897124084383</v>
      </c>
      <c r="T189" s="49">
        <f ca="1">SUMPRODUCT(OFFSET(tConvElecPRV,0,15,1,_maxLT),INDEX(elecPRV,stdCSL+1,7)*allOnes,tpSurvPRV)</f>
        <v>1477.2669045915313</v>
      </c>
      <c r="U189" s="49">
        <f ca="1">SUMPRODUCT(OFFSET(tConvElecPRV,0,16,1,_maxLT),INDEX(elecPRV,stdCSL+1,7)*allOnes,tpSurvPRV)</f>
        <v>1477.5671498609772</v>
      </c>
      <c r="V189" s="49">
        <f ca="1">SUMPRODUCT(OFFSET(tConvElecPRV,0,17,1,_maxLT),INDEX(elecPRV,stdCSL+1,7)*allOnes,tpSurvPRV)</f>
        <v>1478.0248245094099</v>
      </c>
      <c r="W189" s="49">
        <f ca="1">SUMPRODUCT(OFFSET(tConvElecPRV,0,18,1,_maxLT),INDEX(elecPRV,stdCSL+1,7)*allOnes,tpSurvPRV)</f>
        <v>1478.4631420464732</v>
      </c>
      <c r="X189" s="49">
        <f ca="1">SUMPRODUCT(OFFSET(tConvElecPRV,0,19,1,_maxLT),INDEX(elecPRV,stdCSL+1,7)*allOnes,tpSurvPRV)</f>
        <v>1478.8263823673751</v>
      </c>
      <c r="Y189" s="49">
        <f ca="1">SUMPRODUCT(OFFSET(tConvElecPRV,0,20,1,_maxLT),INDEX(elecPRV,stdCSL+1,7)*allOnes,tpSurvPRV)</f>
        <v>1479.0699244609518</v>
      </c>
      <c r="Z189" s="49">
        <f ca="1">SUMPRODUCT(OFFSET(tConvElecPRV,0,21,1,_maxLT),INDEX(elecPRV,stdCSL+1,7)*allOnes,tpSurvPRV)</f>
        <v>1479.237808366405</v>
      </c>
      <c r="AA189" s="49">
        <f ca="1">SUMPRODUCT(OFFSET(tConvElecPRV,0,22,1,_maxLT),INDEX(elecPRV,stdCSL+1,7)*allOnes,tpSurvPRV)</f>
        <v>1479.237808366405</v>
      </c>
      <c r="AB189" s="49">
        <f ca="1">SUMPRODUCT(OFFSET(tConvElecPRV,0,23,1,_maxLT),INDEX(elecPRV,stdCSL+1,7)*allOnes,tpSurvPRV)</f>
        <v>1479.237808366405</v>
      </c>
      <c r="AC189" s="49">
        <f ca="1">SUMPRODUCT(OFFSET(tConvElecPRV,0,24,1,_maxLT),INDEX(elecPRV,stdCSL+1,7)*allOnes,tpSurvPRV)</f>
        <v>1479.237808366405</v>
      </c>
      <c r="AD189" s="49">
        <f ca="1">SUMPRODUCT(OFFSET(tConvElecPRV,0,25,1,_maxLT),INDEX(elecPRV,stdCSL+1,7)*allOnes,tpSurvPRV)</f>
        <v>1479.237808366405</v>
      </c>
      <c r="AE189" s="49">
        <f ca="1">SUMPRODUCT(OFFSET(tConvElecPRV,0,26,1,_maxLT),INDEX(elecPRV,stdCSL+1,7)*allOnes,tpSurvPRV)</f>
        <v>1479.237808366405</v>
      </c>
      <c r="AF189" s="49">
        <f ca="1">SUMPRODUCT(OFFSET(tConvElecPRV,0,27,1,_maxLT),INDEX(elecPRV,stdCSL+1,7)*allOnes,tpSurvPRV)</f>
        <v>1479.237808366405</v>
      </c>
      <c r="AG189" s="49">
        <f ca="1">SUMPRODUCT(OFFSET(tConvElecPRV,0,28,1,_maxLT),INDEX(elecPRV,stdCSL+1,7)*allOnes,tpSurvPRV)</f>
        <v>1479.237808366405</v>
      </c>
      <c r="AH189" s="49">
        <f ca="1">SUMPRODUCT(OFFSET(tConvElecPRV,0,29,1,_maxLT),INDEX(elecPRV,stdCSL+1,7)*allOnes,tpSurvPRV)</f>
        <v>1479.237808366405</v>
      </c>
      <c r="AI189" s="49">
        <f ca="1">SUMPRODUCT(OFFSET(tConvElecPRV,0,30,1,_maxLT),INDEX(elecPRV,stdCSL+1,7)*allOnes,tpSurvPRV)</f>
        <v>1479.237808366405</v>
      </c>
      <c r="AJ189" s="49">
        <f ca="1">SUMPRODUCT(OFFSET(tConvElecPRV,0,31,1,_maxLT),INDEX(elecPRV,stdCSL+1,7)*allOnes,tpSurvPRV)</f>
        <v>1479.237808366405</v>
      </c>
      <c r="AK189" s="49">
        <f ca="1">SUMPRODUCT(OFFSET(tConvElecPRV,0,32,1,_maxLT),INDEX(elecPRV,stdCSL+1,7)*allOnes,tpSurvPRV)</f>
        <v>1479.237808366405</v>
      </c>
      <c r="AL189" s="50">
        <f ca="1">SUMPRODUCT(OFFSET(tConvElecPRV,0,33,1,_maxLT),INDEX(elecPRV,stdCSL+1,7)*allOnes,tpSurvPRV)</f>
        <v>1479.237808366405</v>
      </c>
      <c r="AM189" s="10"/>
    </row>
    <row r="190" spans="2:39" ht="15">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row>
  </sheetData>
  <conditionalFormatting sqref="E106:AL106">
    <cfRule type="containsBlanks" dxfId="996" priority="1" stopIfTrue="1">
      <formula>LEN(TRIM(E106))=0</formula>
    </cfRule>
    <cfRule type="notContainsBlanks" dxfId="995" priority="2" stopIfTrue="1">
      <formula>LEN(TRIM(E106))&gt;0</formula>
    </cfRule>
  </conditionalFormatting>
  <conditionalFormatting sqref="E107:AL107">
    <cfRule type="containsBlanks" dxfId="994" priority="3" stopIfTrue="1">
      <formula>LEN(TRIM(E107))=0</formula>
    </cfRule>
    <cfRule type="notContainsBlanks" dxfId="993" priority="4" stopIfTrue="1">
      <formula>LEN(TRIM(E107))&gt;0</formula>
    </cfRule>
  </conditionalFormatting>
  <conditionalFormatting sqref="E108:AL108">
    <cfRule type="containsBlanks" dxfId="992" priority="5" stopIfTrue="1">
      <formula>LEN(TRIM(E108))=0</formula>
    </cfRule>
    <cfRule type="notContainsBlanks" dxfId="991" priority="6" stopIfTrue="1">
      <formula>LEN(TRIM(E108))&gt;0</formula>
    </cfRule>
  </conditionalFormatting>
  <conditionalFormatting sqref="E110:AL110">
    <cfRule type="containsBlanks" dxfId="990" priority="7" stopIfTrue="1">
      <formula>LEN(TRIM(E110))=0</formula>
    </cfRule>
    <cfRule type="notContainsBlanks" dxfId="989" priority="8" stopIfTrue="1">
      <formula>LEN(TRIM(E110))&gt;0</formula>
    </cfRule>
  </conditionalFormatting>
  <conditionalFormatting sqref="E112:AL112">
    <cfRule type="containsBlanks" dxfId="988" priority="9" stopIfTrue="1">
      <formula>LEN(TRIM(E112))=0</formula>
    </cfRule>
    <cfRule type="notContainsBlanks" dxfId="987" priority="10" stopIfTrue="1">
      <formula>LEN(TRIM(E112))&gt;0</formula>
    </cfRule>
  </conditionalFormatting>
  <conditionalFormatting sqref="E113:AL113">
    <cfRule type="containsBlanks" dxfId="986" priority="11" stopIfTrue="1">
      <formula>LEN(TRIM(E113))=0</formula>
    </cfRule>
    <cfRule type="notContainsBlanks" dxfId="985" priority="12" stopIfTrue="1">
      <formula>LEN(TRIM(E113))&gt;0</formula>
    </cfRule>
  </conditionalFormatting>
  <conditionalFormatting sqref="E114:AL114">
    <cfRule type="containsBlanks" dxfId="984" priority="13" stopIfTrue="1">
      <formula>LEN(TRIM(E114))=0</formula>
    </cfRule>
    <cfRule type="notContainsBlanks" dxfId="983" priority="14" stopIfTrue="1">
      <formula>LEN(TRIM(E114))&gt;0</formula>
    </cfRule>
  </conditionalFormatting>
  <conditionalFormatting sqref="E116:AL116">
    <cfRule type="containsBlanks" dxfId="982" priority="15" stopIfTrue="1">
      <formula>LEN(TRIM(E116))=0</formula>
    </cfRule>
    <cfRule type="notContainsBlanks" dxfId="981" priority="16" stopIfTrue="1">
      <formula>LEN(TRIM(E116))&gt;0</formula>
    </cfRule>
  </conditionalFormatting>
  <conditionalFormatting sqref="E118:AL118">
    <cfRule type="containsBlanks" dxfId="980" priority="17" stopIfTrue="1">
      <formula>LEN(TRIM(E118))=0</formula>
    </cfRule>
    <cfRule type="notContainsBlanks" dxfId="979" priority="18" stopIfTrue="1">
      <formula>LEN(TRIM(E118))&gt;0</formula>
    </cfRule>
  </conditionalFormatting>
  <conditionalFormatting sqref="E119:AL119">
    <cfRule type="containsBlanks" dxfId="978" priority="19" stopIfTrue="1">
      <formula>LEN(TRIM(E119))=0</formula>
    </cfRule>
    <cfRule type="notContainsBlanks" dxfId="977" priority="20" stopIfTrue="1">
      <formula>LEN(TRIM(E119))&gt;0</formula>
    </cfRule>
  </conditionalFormatting>
  <conditionalFormatting sqref="E120:AL120">
    <cfRule type="containsBlanks" dxfId="976" priority="21" stopIfTrue="1">
      <formula>LEN(TRIM(E120))=0</formula>
    </cfRule>
    <cfRule type="notContainsBlanks" dxfId="975" priority="22" stopIfTrue="1">
      <formula>LEN(TRIM(E120))&gt;0</formula>
    </cfRule>
  </conditionalFormatting>
  <conditionalFormatting sqref="E122:AL122">
    <cfRule type="containsBlanks" dxfId="974" priority="23" stopIfTrue="1">
      <formula>LEN(TRIM(E122))=0</formula>
    </cfRule>
    <cfRule type="notContainsBlanks" dxfId="973" priority="24" stopIfTrue="1">
      <formula>LEN(TRIM(E122))&gt;0</formula>
    </cfRule>
  </conditionalFormatting>
  <conditionalFormatting sqref="E124:AL124">
    <cfRule type="containsBlanks" dxfId="972" priority="25" stopIfTrue="1">
      <formula>LEN(TRIM(E124))=0</formula>
    </cfRule>
    <cfRule type="notContainsBlanks" dxfId="971" priority="26" stopIfTrue="1">
      <formula>LEN(TRIM(E124))&gt;0</formula>
    </cfRule>
  </conditionalFormatting>
  <conditionalFormatting sqref="E125:AL125">
    <cfRule type="containsBlanks" dxfId="970" priority="27" stopIfTrue="1">
      <formula>LEN(TRIM(E125))=0</formula>
    </cfRule>
    <cfRule type="notContainsBlanks" dxfId="969" priority="28" stopIfTrue="1">
      <formula>LEN(TRIM(E125))&gt;0</formula>
    </cfRule>
  </conditionalFormatting>
  <conditionalFormatting sqref="E126:AL126">
    <cfRule type="containsBlanks" dxfId="968" priority="29" stopIfTrue="1">
      <formula>LEN(TRIM(E126))=0</formula>
    </cfRule>
    <cfRule type="notContainsBlanks" dxfId="967" priority="30" stopIfTrue="1">
      <formula>LEN(TRIM(E126))&gt;0</formula>
    </cfRule>
  </conditionalFormatting>
  <conditionalFormatting sqref="E128:AL128">
    <cfRule type="containsBlanks" dxfId="966" priority="31" stopIfTrue="1">
      <formula>LEN(TRIM(E128))=0</formula>
    </cfRule>
    <cfRule type="notContainsBlanks" dxfId="965" priority="32" stopIfTrue="1">
      <formula>LEN(TRIM(E128))&gt;0</formula>
    </cfRule>
  </conditionalFormatting>
  <conditionalFormatting sqref="E130:AL130">
    <cfRule type="containsBlanks" dxfId="964" priority="33" stopIfTrue="1">
      <formula>LEN(TRIM(E130))=0</formula>
    </cfRule>
    <cfRule type="notContainsBlanks" dxfId="963" priority="34" stopIfTrue="1">
      <formula>LEN(TRIM(E130))&gt;0</formula>
    </cfRule>
  </conditionalFormatting>
  <conditionalFormatting sqref="E131:AL131">
    <cfRule type="containsBlanks" dxfId="962" priority="35" stopIfTrue="1">
      <formula>LEN(TRIM(E131))=0</formula>
    </cfRule>
    <cfRule type="notContainsBlanks" dxfId="961" priority="36" stopIfTrue="1">
      <formula>LEN(TRIM(E131))&gt;0</formula>
    </cfRule>
  </conditionalFormatting>
  <conditionalFormatting sqref="E132:AL132">
    <cfRule type="containsBlanks" dxfId="960" priority="37" stopIfTrue="1">
      <formula>LEN(TRIM(E132))=0</formula>
    </cfRule>
    <cfRule type="notContainsBlanks" dxfId="959" priority="38" stopIfTrue="1">
      <formula>LEN(TRIM(E132))&gt;0</formula>
    </cfRule>
  </conditionalFormatting>
  <conditionalFormatting sqref="E134:AL134">
    <cfRule type="containsBlanks" dxfId="958" priority="39" stopIfTrue="1">
      <formula>LEN(TRIM(E134))=0</formula>
    </cfRule>
    <cfRule type="notContainsBlanks" dxfId="957" priority="40" stopIfTrue="1">
      <formula>LEN(TRIM(E134))&gt;0</formula>
    </cfRule>
  </conditionalFormatting>
  <conditionalFormatting sqref="E136:AL136">
    <cfRule type="containsBlanks" dxfId="956" priority="41" stopIfTrue="1">
      <formula>LEN(TRIM(E136))=0</formula>
    </cfRule>
  </conditionalFormatting>
  <conditionalFormatting sqref="E136:AL136">
    <cfRule type="notContainsBlanks" dxfId="955" priority="42" stopIfTrue="1">
      <formula>LEN(TRIM(E136))&gt;0</formula>
    </cfRule>
  </conditionalFormatting>
  <conditionalFormatting sqref="E137:AL137">
    <cfRule type="containsBlanks" dxfId="954" priority="43" stopIfTrue="1">
      <formula>LEN(TRIM(E137))=0</formula>
    </cfRule>
  </conditionalFormatting>
  <conditionalFormatting sqref="E137:AL137">
    <cfRule type="notContainsBlanks" dxfId="953" priority="44" stopIfTrue="1">
      <formula>LEN(TRIM(E137))&gt;0</formula>
    </cfRule>
  </conditionalFormatting>
  <conditionalFormatting sqref="E138:AL138">
    <cfRule type="containsBlanks" dxfId="952" priority="45" stopIfTrue="1">
      <formula>LEN(TRIM(E138))=0</formula>
    </cfRule>
  </conditionalFormatting>
  <conditionalFormatting sqref="E138:AL138">
    <cfRule type="notContainsBlanks" dxfId="951" priority="46" stopIfTrue="1">
      <formula>LEN(TRIM(E138))&gt;0</formula>
    </cfRule>
  </conditionalFormatting>
  <conditionalFormatting sqref="E140:AL140">
    <cfRule type="containsBlanks" dxfId="950" priority="47" stopIfTrue="1">
      <formula>LEN(TRIM(E140))=0</formula>
    </cfRule>
  </conditionalFormatting>
  <conditionalFormatting sqref="E140:AL140">
    <cfRule type="notContainsBlanks" dxfId="949" priority="48" stopIfTrue="1">
      <formula>LEN(TRIM(E140))&gt;0</formula>
    </cfRule>
  </conditionalFormatting>
  <conditionalFormatting sqref="E142:AL142">
    <cfRule type="containsBlanks" dxfId="948" priority="49" stopIfTrue="1">
      <formula>LEN(TRIM(E142))=0</formula>
    </cfRule>
  </conditionalFormatting>
  <conditionalFormatting sqref="E142:AL142">
    <cfRule type="notContainsBlanks" dxfId="947" priority="50" stopIfTrue="1">
      <formula>LEN(TRIM(E142))&gt;0</formula>
    </cfRule>
  </conditionalFormatting>
  <conditionalFormatting sqref="E143:AL143">
    <cfRule type="containsBlanks" dxfId="946" priority="51" stopIfTrue="1">
      <formula>LEN(TRIM(E143))=0</formula>
    </cfRule>
  </conditionalFormatting>
  <conditionalFormatting sqref="E143:AL143">
    <cfRule type="notContainsBlanks" dxfId="945" priority="52" stopIfTrue="1">
      <formula>LEN(TRIM(E143))&gt;0</formula>
    </cfRule>
  </conditionalFormatting>
  <conditionalFormatting sqref="E144:AL144">
    <cfRule type="containsBlanks" dxfId="944" priority="53" stopIfTrue="1">
      <formula>LEN(TRIM(E144))=0</formula>
    </cfRule>
  </conditionalFormatting>
  <conditionalFormatting sqref="E144:AL144">
    <cfRule type="notContainsBlanks" dxfId="943" priority="54" stopIfTrue="1">
      <formula>LEN(TRIM(E144))&gt;0</formula>
    </cfRule>
  </conditionalFormatting>
  <conditionalFormatting sqref="E146:AL146">
    <cfRule type="containsBlanks" dxfId="942" priority="55" stopIfTrue="1">
      <formula>LEN(TRIM(E146))=0</formula>
    </cfRule>
  </conditionalFormatting>
  <conditionalFormatting sqref="E146:AL146">
    <cfRule type="notContainsBlanks" dxfId="941" priority="56" stopIfTrue="1">
      <formula>LEN(TRIM(E146))&gt;0</formula>
    </cfRule>
  </conditionalFormatting>
  <conditionalFormatting sqref="E149:AL149">
    <cfRule type="containsBlanks" dxfId="940" priority="57" stopIfTrue="1">
      <formula>LEN(TRIM(E149))=0</formula>
    </cfRule>
  </conditionalFormatting>
  <conditionalFormatting sqref="E149:AL149">
    <cfRule type="notContainsBlanks" dxfId="939" priority="58" stopIfTrue="1">
      <formula>LEN(TRIM(E149))&gt;0</formula>
    </cfRule>
  </conditionalFormatting>
  <conditionalFormatting sqref="E150:AL150">
    <cfRule type="containsBlanks" dxfId="938" priority="59" stopIfTrue="1">
      <formula>LEN(TRIM(E150))=0</formula>
    </cfRule>
  </conditionalFormatting>
  <conditionalFormatting sqref="E150:AL150">
    <cfRule type="notContainsBlanks" dxfId="937" priority="60" stopIfTrue="1">
      <formula>LEN(TRIM(E150))&gt;0</formula>
    </cfRule>
  </conditionalFormatting>
  <conditionalFormatting sqref="E151:AL151">
    <cfRule type="containsBlanks" dxfId="936" priority="61" stopIfTrue="1">
      <formula>LEN(TRIM(E151))=0</formula>
    </cfRule>
  </conditionalFormatting>
  <conditionalFormatting sqref="E151:AL151">
    <cfRule type="notContainsBlanks" dxfId="935" priority="62" stopIfTrue="1">
      <formula>LEN(TRIM(E151))&gt;0</formula>
    </cfRule>
  </conditionalFormatting>
  <conditionalFormatting sqref="E153:AL153">
    <cfRule type="containsBlanks" dxfId="934" priority="63" stopIfTrue="1">
      <formula>LEN(TRIM(E153))=0</formula>
    </cfRule>
  </conditionalFormatting>
  <conditionalFormatting sqref="E153:AL153">
    <cfRule type="notContainsBlanks" dxfId="933" priority="64" stopIfTrue="1">
      <formula>LEN(TRIM(E153))&gt;0</formula>
    </cfRule>
  </conditionalFormatting>
  <conditionalFormatting sqref="E155:AL155">
    <cfRule type="containsBlanks" dxfId="932" priority="65" stopIfTrue="1">
      <formula>LEN(TRIM(E155))=0</formula>
    </cfRule>
  </conditionalFormatting>
  <conditionalFormatting sqref="E155:AL155">
    <cfRule type="notContainsBlanks" dxfId="931" priority="66" stopIfTrue="1">
      <formula>LEN(TRIM(E155))&gt;0</formula>
    </cfRule>
  </conditionalFormatting>
  <conditionalFormatting sqref="E156:AL156">
    <cfRule type="containsBlanks" dxfId="930" priority="67" stopIfTrue="1">
      <formula>LEN(TRIM(E156))=0</formula>
    </cfRule>
  </conditionalFormatting>
  <conditionalFormatting sqref="E156:AL156">
    <cfRule type="notContainsBlanks" dxfId="929" priority="68" stopIfTrue="1">
      <formula>LEN(TRIM(E156))&gt;0</formula>
    </cfRule>
  </conditionalFormatting>
  <conditionalFormatting sqref="E157:AL157">
    <cfRule type="containsBlanks" dxfId="928" priority="69" stopIfTrue="1">
      <formula>LEN(TRIM(E157))=0</formula>
    </cfRule>
  </conditionalFormatting>
  <conditionalFormatting sqref="E157:AL157">
    <cfRule type="notContainsBlanks" dxfId="927" priority="70" stopIfTrue="1">
      <formula>LEN(TRIM(E157))&gt;0</formula>
    </cfRule>
  </conditionalFormatting>
  <conditionalFormatting sqref="E159:AL159">
    <cfRule type="containsBlanks" dxfId="926" priority="71" stopIfTrue="1">
      <formula>LEN(TRIM(E159))=0</formula>
    </cfRule>
  </conditionalFormatting>
  <conditionalFormatting sqref="E159:AL159">
    <cfRule type="notContainsBlanks" dxfId="925" priority="72" stopIfTrue="1">
      <formula>LEN(TRIM(E159))&gt;0</formula>
    </cfRule>
  </conditionalFormatting>
  <conditionalFormatting sqref="E161:AL161">
    <cfRule type="containsBlanks" dxfId="924" priority="73" stopIfTrue="1">
      <formula>LEN(TRIM(E161))=0</formula>
    </cfRule>
  </conditionalFormatting>
  <conditionalFormatting sqref="E161:AL161">
    <cfRule type="notContainsBlanks" dxfId="923" priority="74" stopIfTrue="1">
      <formula>LEN(TRIM(E161))&gt;0</formula>
    </cfRule>
  </conditionalFormatting>
  <conditionalFormatting sqref="E162:AL162">
    <cfRule type="containsBlanks" dxfId="922" priority="75" stopIfTrue="1">
      <formula>LEN(TRIM(E162))=0</formula>
    </cfRule>
  </conditionalFormatting>
  <conditionalFormatting sqref="E162:AL162">
    <cfRule type="notContainsBlanks" dxfId="921" priority="76" stopIfTrue="1">
      <formula>LEN(TRIM(E162))&gt;0</formula>
    </cfRule>
  </conditionalFormatting>
  <conditionalFormatting sqref="E163:AL163">
    <cfRule type="containsBlanks" dxfId="920" priority="77" stopIfTrue="1">
      <formula>LEN(TRIM(E163))=0</formula>
    </cfRule>
  </conditionalFormatting>
  <conditionalFormatting sqref="E163:AL163">
    <cfRule type="notContainsBlanks" dxfId="919" priority="78" stopIfTrue="1">
      <formula>LEN(TRIM(E163))&gt;0</formula>
    </cfRule>
  </conditionalFormatting>
  <conditionalFormatting sqref="E165:AL165">
    <cfRule type="containsBlanks" dxfId="918" priority="79" stopIfTrue="1">
      <formula>LEN(TRIM(E165))=0</formula>
    </cfRule>
  </conditionalFormatting>
  <conditionalFormatting sqref="E165:AL165">
    <cfRule type="notContainsBlanks" dxfId="917" priority="80" stopIfTrue="1">
      <formula>LEN(TRIM(E165))&gt;0</formula>
    </cfRule>
  </conditionalFormatting>
  <conditionalFormatting sqref="E167:AL167">
    <cfRule type="containsBlanks" dxfId="916" priority="81" stopIfTrue="1">
      <formula>LEN(TRIM(E167))=0</formula>
    </cfRule>
  </conditionalFormatting>
  <conditionalFormatting sqref="E167:AL167">
    <cfRule type="notContainsBlanks" dxfId="915" priority="82" stopIfTrue="1">
      <formula>LEN(TRIM(E167))&gt;0</formula>
    </cfRule>
  </conditionalFormatting>
  <conditionalFormatting sqref="E168:AL168">
    <cfRule type="containsBlanks" dxfId="914" priority="83" stopIfTrue="1">
      <formula>LEN(TRIM(E168))=0</formula>
    </cfRule>
  </conditionalFormatting>
  <conditionalFormatting sqref="E168:AL168">
    <cfRule type="notContainsBlanks" dxfId="913" priority="84" stopIfTrue="1">
      <formula>LEN(TRIM(E168))&gt;0</formula>
    </cfRule>
  </conditionalFormatting>
  <conditionalFormatting sqref="E169:AL169">
    <cfRule type="containsBlanks" dxfId="912" priority="85" stopIfTrue="1">
      <formula>LEN(TRIM(E169))=0</formula>
    </cfRule>
  </conditionalFormatting>
  <conditionalFormatting sqref="E169:AL169">
    <cfRule type="notContainsBlanks" dxfId="911" priority="86" stopIfTrue="1">
      <formula>LEN(TRIM(E169))&gt;0</formula>
    </cfRule>
  </conditionalFormatting>
  <conditionalFormatting sqref="E171:AL171">
    <cfRule type="containsBlanks" dxfId="910" priority="87" stopIfTrue="1">
      <formula>LEN(TRIM(E171))=0</formula>
    </cfRule>
  </conditionalFormatting>
  <conditionalFormatting sqref="E171:AL171">
    <cfRule type="notContainsBlanks" dxfId="909" priority="88" stopIfTrue="1">
      <formula>LEN(TRIM(E171))&gt;0</formula>
    </cfRule>
  </conditionalFormatting>
  <conditionalFormatting sqref="E173:AL173">
    <cfRule type="containsBlanks" dxfId="908" priority="89" stopIfTrue="1">
      <formula>LEN(TRIM(E173))=0</formula>
    </cfRule>
  </conditionalFormatting>
  <conditionalFormatting sqref="E173:AL173">
    <cfRule type="notContainsBlanks" dxfId="907" priority="90" stopIfTrue="1">
      <formula>LEN(TRIM(E173))&gt;0</formula>
    </cfRule>
  </conditionalFormatting>
  <conditionalFormatting sqref="E174:AL174">
    <cfRule type="containsBlanks" dxfId="906" priority="91" stopIfTrue="1">
      <formula>LEN(TRIM(E174))=0</formula>
    </cfRule>
  </conditionalFormatting>
  <conditionalFormatting sqref="E174:AL174">
    <cfRule type="notContainsBlanks" dxfId="905" priority="92" stopIfTrue="1">
      <formula>LEN(TRIM(E174))&gt;0</formula>
    </cfRule>
  </conditionalFormatting>
  <conditionalFormatting sqref="E175:AL175">
    <cfRule type="containsBlanks" dxfId="904" priority="93" stopIfTrue="1">
      <formula>LEN(TRIM(E175))=0</formula>
    </cfRule>
  </conditionalFormatting>
  <conditionalFormatting sqref="E175:AL175">
    <cfRule type="notContainsBlanks" dxfId="903" priority="94" stopIfTrue="1">
      <formula>LEN(TRIM(E175))&gt;0</formula>
    </cfRule>
  </conditionalFormatting>
  <conditionalFormatting sqref="E177:AL177">
    <cfRule type="containsBlanks" dxfId="902" priority="95" stopIfTrue="1">
      <formula>LEN(TRIM(E177))=0</formula>
    </cfRule>
  </conditionalFormatting>
  <conditionalFormatting sqref="E177:AL177">
    <cfRule type="notContainsBlanks" dxfId="901" priority="96" stopIfTrue="1">
      <formula>LEN(TRIM(E177))&gt;0</formula>
    </cfRule>
  </conditionalFormatting>
  <conditionalFormatting sqref="E179:AL179">
    <cfRule type="containsBlanks" dxfId="900" priority="97" stopIfTrue="1">
      <formula>LEN(TRIM(E179))=0</formula>
    </cfRule>
  </conditionalFormatting>
  <conditionalFormatting sqref="E179:AL179">
    <cfRule type="notContainsBlanks" dxfId="899" priority="98" stopIfTrue="1">
      <formula>LEN(TRIM(E179))&gt;0</formula>
    </cfRule>
  </conditionalFormatting>
  <conditionalFormatting sqref="E180:AL180">
    <cfRule type="containsBlanks" dxfId="898" priority="99" stopIfTrue="1">
      <formula>LEN(TRIM(E180))=0</formula>
    </cfRule>
  </conditionalFormatting>
  <conditionalFormatting sqref="E180:AL180">
    <cfRule type="notContainsBlanks" dxfId="897" priority="100" stopIfTrue="1">
      <formula>LEN(TRIM(E180))&gt;0</formula>
    </cfRule>
  </conditionalFormatting>
  <conditionalFormatting sqref="E181:AL181">
    <cfRule type="containsBlanks" dxfId="896" priority="101" stopIfTrue="1">
      <formula>LEN(TRIM(E181))=0</formula>
    </cfRule>
  </conditionalFormatting>
  <conditionalFormatting sqref="E181:AL181">
    <cfRule type="notContainsBlanks" dxfId="895" priority="102" stopIfTrue="1">
      <formula>LEN(TRIM(E181))&gt;0</formula>
    </cfRule>
  </conditionalFormatting>
  <conditionalFormatting sqref="E183:AL183">
    <cfRule type="containsBlanks" dxfId="894" priority="103" stopIfTrue="1">
      <formula>LEN(TRIM(E183))=0</formula>
    </cfRule>
  </conditionalFormatting>
  <conditionalFormatting sqref="E183:AL183">
    <cfRule type="notContainsBlanks" dxfId="893" priority="104" stopIfTrue="1">
      <formula>LEN(TRIM(E183))&gt;0</formula>
    </cfRule>
  </conditionalFormatting>
  <conditionalFormatting sqref="E185:AL185">
    <cfRule type="containsBlanks" dxfId="892" priority="105" stopIfTrue="1">
      <formula>LEN(TRIM(E185))=0</formula>
    </cfRule>
  </conditionalFormatting>
  <conditionalFormatting sqref="E185:AL185">
    <cfRule type="notContainsBlanks" dxfId="891" priority="106" stopIfTrue="1">
      <formula>LEN(TRIM(E185))&gt;0</formula>
    </cfRule>
  </conditionalFormatting>
  <conditionalFormatting sqref="E186:AL186">
    <cfRule type="containsBlanks" dxfId="890" priority="107" stopIfTrue="1">
      <formula>LEN(TRIM(E186))=0</formula>
    </cfRule>
  </conditionalFormatting>
  <conditionalFormatting sqref="E186:AL186">
    <cfRule type="notContainsBlanks" dxfId="889" priority="108" stopIfTrue="1">
      <formula>LEN(TRIM(E186))&gt;0</formula>
    </cfRule>
  </conditionalFormatting>
  <conditionalFormatting sqref="E187:AL187">
    <cfRule type="containsBlanks" dxfId="888" priority="109" stopIfTrue="1">
      <formula>LEN(TRIM(E187))=0</formula>
    </cfRule>
  </conditionalFormatting>
  <conditionalFormatting sqref="E187:AL187">
    <cfRule type="notContainsBlanks" dxfId="887" priority="110" stopIfTrue="1">
      <formula>LEN(TRIM(E187))&gt;0</formula>
    </cfRule>
  </conditionalFormatting>
  <conditionalFormatting sqref="E189:AL189">
    <cfRule type="containsBlanks" dxfId="886" priority="111" stopIfTrue="1">
      <formula>LEN(TRIM(E189))=0</formula>
    </cfRule>
  </conditionalFormatting>
  <conditionalFormatting sqref="E189:AL189">
    <cfRule type="notContainsBlanks" dxfId="885" priority="112" stopIfTrue="1">
      <formula>LEN(TRIM(E189))&gt;0</formula>
    </cfRule>
  </conditionalFormatting>
  <conditionalFormatting sqref="E95:AL95">
    <cfRule type="containsBlanks" dxfId="884" priority="113" stopIfTrue="1">
      <formula>LEN(TRIM(E95))=0</formula>
    </cfRule>
    <cfRule type="notContainsBlanks" dxfId="883" priority="114" stopIfTrue="1">
      <formula>LEN(TRIM(E95))&gt;0</formula>
    </cfRule>
  </conditionalFormatting>
  <conditionalFormatting sqref="E96:AL96">
    <cfRule type="containsBlanks" dxfId="882" priority="115" stopIfTrue="1">
      <formula>LEN(TRIM(E96))=0</formula>
    </cfRule>
    <cfRule type="notContainsBlanks" dxfId="881" priority="116" stopIfTrue="1">
      <formula>LEN(TRIM(E96))&gt;0</formula>
    </cfRule>
  </conditionalFormatting>
  <conditionalFormatting sqref="E97:AL97">
    <cfRule type="containsBlanks" dxfId="880" priority="117" stopIfTrue="1">
      <formula>LEN(TRIM(E97))=0</formula>
    </cfRule>
    <cfRule type="notContainsBlanks" dxfId="879" priority="118" stopIfTrue="1">
      <formula>LEN(TRIM(E97))&gt;0</formula>
    </cfRule>
  </conditionalFormatting>
  <conditionalFormatting sqref="E98:AL98">
    <cfRule type="containsBlanks" dxfId="878" priority="119" stopIfTrue="1">
      <formula>LEN(TRIM(E98))=0</formula>
    </cfRule>
    <cfRule type="notContainsBlanks" dxfId="877" priority="120" stopIfTrue="1">
      <formula>LEN(TRIM(E98))&gt;0</formula>
    </cfRule>
  </conditionalFormatting>
  <conditionalFormatting sqref="E99:AL99">
    <cfRule type="containsBlanks" dxfId="876" priority="121" stopIfTrue="1">
      <formula>LEN(TRIM(E99))=0</formula>
    </cfRule>
    <cfRule type="notContainsBlanks" dxfId="875" priority="122" stopIfTrue="1">
      <formula>LEN(TRIM(E99))&gt;0</formula>
    </cfRule>
  </conditionalFormatting>
  <conditionalFormatting sqref="E100:AL100">
    <cfRule type="containsBlanks" dxfId="874" priority="123" stopIfTrue="1">
      <formula>LEN(TRIM(E100))=0</formula>
    </cfRule>
    <cfRule type="notContainsBlanks" dxfId="873" priority="124" stopIfTrue="1">
      <formula>LEN(TRIM(E100))&gt;0</formula>
    </cfRule>
  </conditionalFormatting>
  <conditionalFormatting sqref="E101:AL101">
    <cfRule type="containsBlanks" dxfId="872" priority="125" stopIfTrue="1">
      <formula>LEN(TRIM(E101))=0</formula>
    </cfRule>
    <cfRule type="notContainsBlanks" dxfId="871" priority="126" stopIfTrue="1">
      <formula>LEN(TRIM(E101))&gt;0</formula>
    </cfRule>
  </conditionalFormatting>
  <conditionalFormatting sqref="E86:AL86">
    <cfRule type="containsBlanks" dxfId="870" priority="127" stopIfTrue="1">
      <formula>LEN(TRIM(E86))=0</formula>
    </cfRule>
    <cfRule type="notContainsBlanks" dxfId="869" priority="128" stopIfTrue="1">
      <formula>LEN(TRIM(E86))&gt;0</formula>
    </cfRule>
  </conditionalFormatting>
  <conditionalFormatting sqref="E87:AL87">
    <cfRule type="containsBlanks" dxfId="868" priority="129" stopIfTrue="1">
      <formula>LEN(TRIM(E87))=0</formula>
    </cfRule>
    <cfRule type="notContainsBlanks" dxfId="867" priority="130" stopIfTrue="1">
      <formula>LEN(TRIM(E87))&gt;0</formula>
    </cfRule>
  </conditionalFormatting>
  <conditionalFormatting sqref="E88:AL88">
    <cfRule type="containsBlanks" dxfId="866" priority="131" stopIfTrue="1">
      <formula>LEN(TRIM(E88))=0</formula>
    </cfRule>
    <cfRule type="notContainsBlanks" dxfId="865" priority="132" stopIfTrue="1">
      <formula>LEN(TRIM(E88))&gt;0</formula>
    </cfRule>
  </conditionalFormatting>
  <conditionalFormatting sqref="E89:AL89">
    <cfRule type="containsBlanks" dxfId="864" priority="133" stopIfTrue="1">
      <formula>LEN(TRIM(E89))=0</formula>
    </cfRule>
    <cfRule type="notContainsBlanks" dxfId="863" priority="134" stopIfTrue="1">
      <formula>LEN(TRIM(E89))&gt;0</formula>
    </cfRule>
  </conditionalFormatting>
  <conditionalFormatting sqref="E90:AL90">
    <cfRule type="containsBlanks" dxfId="862" priority="135" stopIfTrue="1">
      <formula>LEN(TRIM(E90))=0</formula>
    </cfRule>
    <cfRule type="notContainsBlanks" dxfId="861" priority="136" stopIfTrue="1">
      <formula>LEN(TRIM(E90))&gt;0</formula>
    </cfRule>
  </conditionalFormatting>
  <conditionalFormatting sqref="E91:AL91">
    <cfRule type="containsBlanks" dxfId="860" priority="137" stopIfTrue="1">
      <formula>LEN(TRIM(E91))=0</formula>
    </cfRule>
    <cfRule type="notContainsBlanks" dxfId="859" priority="138" stopIfTrue="1">
      <formula>LEN(TRIM(E91))&gt;0</formula>
    </cfRule>
  </conditionalFormatting>
  <conditionalFormatting sqref="E92:AL92">
    <cfRule type="containsBlanks" dxfId="858" priority="139" stopIfTrue="1">
      <formula>LEN(TRIM(E92))=0</formula>
    </cfRule>
    <cfRule type="notContainsBlanks" dxfId="857" priority="140" stopIfTrue="1">
      <formula>LEN(TRIM(E92))&gt;0</formula>
    </cfRule>
  </conditionalFormatting>
  <conditionalFormatting sqref="E77:AL77">
    <cfRule type="containsBlanks" dxfId="856" priority="141" stopIfTrue="1">
      <formula>LEN(TRIM(E77))=0</formula>
    </cfRule>
    <cfRule type="notContainsBlanks" dxfId="855" priority="142" stopIfTrue="1">
      <formula>LEN(TRIM(E77))&gt;0</formula>
    </cfRule>
  </conditionalFormatting>
  <conditionalFormatting sqref="E78:AL78">
    <cfRule type="containsBlanks" dxfId="854" priority="143" stopIfTrue="1">
      <formula>LEN(TRIM(E78))=0</formula>
    </cfRule>
    <cfRule type="notContainsBlanks" dxfId="853" priority="144" stopIfTrue="1">
      <formula>LEN(TRIM(E78))&gt;0</formula>
    </cfRule>
  </conditionalFormatting>
  <conditionalFormatting sqref="E79:AL79">
    <cfRule type="containsBlanks" dxfId="852" priority="145" stopIfTrue="1">
      <formula>LEN(TRIM(E79))=0</formula>
    </cfRule>
    <cfRule type="notContainsBlanks" dxfId="851" priority="146" stopIfTrue="1">
      <formula>LEN(TRIM(E79))&gt;0</formula>
    </cfRule>
  </conditionalFormatting>
  <conditionalFormatting sqref="E80:AL80">
    <cfRule type="containsBlanks" dxfId="850" priority="147" stopIfTrue="1">
      <formula>LEN(TRIM(E80))=0</formula>
    </cfRule>
    <cfRule type="notContainsBlanks" dxfId="849" priority="148" stopIfTrue="1">
      <formula>LEN(TRIM(E80))&gt;0</formula>
    </cfRule>
  </conditionalFormatting>
  <conditionalFormatting sqref="E81:AL81">
    <cfRule type="containsBlanks" dxfId="848" priority="149" stopIfTrue="1">
      <formula>LEN(TRIM(E81))=0</formula>
    </cfRule>
    <cfRule type="notContainsBlanks" dxfId="847" priority="150" stopIfTrue="1">
      <formula>LEN(TRIM(E81))&gt;0</formula>
    </cfRule>
  </conditionalFormatting>
  <conditionalFormatting sqref="E82:AL82">
    <cfRule type="containsBlanks" dxfId="846" priority="151" stopIfTrue="1">
      <formula>LEN(TRIM(E82))=0</formula>
    </cfRule>
    <cfRule type="notContainsBlanks" dxfId="845" priority="152" stopIfTrue="1">
      <formula>LEN(TRIM(E82))&gt;0</formula>
    </cfRule>
  </conditionalFormatting>
  <conditionalFormatting sqref="E83:AL83">
    <cfRule type="containsBlanks" dxfId="844" priority="153" stopIfTrue="1">
      <formula>LEN(TRIM(E83))=0</formula>
    </cfRule>
    <cfRule type="notContainsBlanks" dxfId="843" priority="154" stopIfTrue="1">
      <formula>LEN(TRIM(E83))&gt;0</formula>
    </cfRule>
  </conditionalFormatting>
  <conditionalFormatting sqref="E68:AL68">
    <cfRule type="containsBlanks" dxfId="842" priority="155" stopIfTrue="1">
      <formula>LEN(TRIM(E68))=0</formula>
    </cfRule>
    <cfRule type="notContainsBlanks" dxfId="841" priority="156" stopIfTrue="1">
      <formula>LEN(TRIM(E68))&gt;0</formula>
    </cfRule>
  </conditionalFormatting>
  <conditionalFormatting sqref="E69:AL69">
    <cfRule type="containsBlanks" dxfId="840" priority="157" stopIfTrue="1">
      <formula>LEN(TRIM(E69))=0</formula>
    </cfRule>
    <cfRule type="notContainsBlanks" dxfId="839" priority="158" stopIfTrue="1">
      <formula>LEN(TRIM(E69))&gt;0</formula>
    </cfRule>
  </conditionalFormatting>
  <conditionalFormatting sqref="E70:AL70">
    <cfRule type="containsBlanks" dxfId="838" priority="159" stopIfTrue="1">
      <formula>LEN(TRIM(E70))=0</formula>
    </cfRule>
    <cfRule type="notContainsBlanks" dxfId="837" priority="160" stopIfTrue="1">
      <formula>LEN(TRIM(E70))&gt;0</formula>
    </cfRule>
  </conditionalFormatting>
  <conditionalFormatting sqref="E71:AL71">
    <cfRule type="containsBlanks" dxfId="836" priority="161" stopIfTrue="1">
      <formula>LEN(TRIM(E71))=0</formula>
    </cfRule>
    <cfRule type="notContainsBlanks" dxfId="835" priority="162" stopIfTrue="1">
      <formula>LEN(TRIM(E71))&gt;0</formula>
    </cfRule>
  </conditionalFormatting>
  <conditionalFormatting sqref="E72:AL72">
    <cfRule type="containsBlanks" dxfId="834" priority="163" stopIfTrue="1">
      <formula>LEN(TRIM(E72))=0</formula>
    </cfRule>
    <cfRule type="notContainsBlanks" dxfId="833" priority="164" stopIfTrue="1">
      <formula>LEN(TRIM(E72))&gt;0</formula>
    </cfRule>
  </conditionalFormatting>
  <conditionalFormatting sqref="E73:AL73">
    <cfRule type="containsBlanks" dxfId="832" priority="165" stopIfTrue="1">
      <formula>LEN(TRIM(E73))=0</formula>
    </cfRule>
    <cfRule type="notContainsBlanks" dxfId="831" priority="166" stopIfTrue="1">
      <formula>LEN(TRIM(E73))&gt;0</formula>
    </cfRule>
  </conditionalFormatting>
  <conditionalFormatting sqref="E74:AL74">
    <cfRule type="containsBlanks" dxfId="830" priority="167" stopIfTrue="1">
      <formula>LEN(TRIM(E74))=0</formula>
    </cfRule>
    <cfRule type="notContainsBlanks" dxfId="829" priority="168" stopIfTrue="1">
      <formula>LEN(TRIM(E74))&gt;0</formula>
    </cfRule>
  </conditionalFormatting>
  <conditionalFormatting sqref="E59:AL59">
    <cfRule type="containsBlanks" dxfId="828" priority="169" stopIfTrue="1">
      <formula>LEN(TRIM(E59))=0</formula>
    </cfRule>
    <cfRule type="notContainsBlanks" dxfId="827" priority="170" stopIfTrue="1">
      <formula>LEN(TRIM(E59))&gt;0</formula>
    </cfRule>
  </conditionalFormatting>
  <conditionalFormatting sqref="E60:AL60">
    <cfRule type="containsBlanks" dxfId="826" priority="171" stopIfTrue="1">
      <formula>LEN(TRIM(E60))=0</formula>
    </cfRule>
    <cfRule type="notContainsBlanks" dxfId="825" priority="172" stopIfTrue="1">
      <formula>LEN(TRIM(E60))&gt;0</formula>
    </cfRule>
  </conditionalFormatting>
  <conditionalFormatting sqref="E61:AL61">
    <cfRule type="containsBlanks" dxfId="824" priority="173" stopIfTrue="1">
      <formula>LEN(TRIM(E61))=0</formula>
    </cfRule>
    <cfRule type="notContainsBlanks" dxfId="823" priority="174" stopIfTrue="1">
      <formula>LEN(TRIM(E61))&gt;0</formula>
    </cfRule>
  </conditionalFormatting>
  <conditionalFormatting sqref="E62:AL62">
    <cfRule type="containsBlanks" dxfId="822" priority="175" stopIfTrue="1">
      <formula>LEN(TRIM(E62))=0</formula>
    </cfRule>
    <cfRule type="notContainsBlanks" dxfId="821" priority="176" stopIfTrue="1">
      <formula>LEN(TRIM(E62))&gt;0</formula>
    </cfRule>
  </conditionalFormatting>
  <conditionalFormatting sqref="E63:AL63">
    <cfRule type="containsBlanks" dxfId="820" priority="177" stopIfTrue="1">
      <formula>LEN(TRIM(E63))=0</formula>
    </cfRule>
    <cfRule type="notContainsBlanks" dxfId="819" priority="178" stopIfTrue="1">
      <formula>LEN(TRIM(E63))&gt;0</formula>
    </cfRule>
  </conditionalFormatting>
  <conditionalFormatting sqref="E64:AL64">
    <cfRule type="containsBlanks" dxfId="818" priority="179" stopIfTrue="1">
      <formula>LEN(TRIM(E64))=0</formula>
    </cfRule>
    <cfRule type="notContainsBlanks" dxfId="817" priority="180" stopIfTrue="1">
      <formula>LEN(TRIM(E64))&gt;0</formula>
    </cfRule>
  </conditionalFormatting>
  <conditionalFormatting sqref="E65:AL65">
    <cfRule type="containsBlanks" dxfId="816" priority="181" stopIfTrue="1">
      <formula>LEN(TRIM(E65))=0</formula>
    </cfRule>
    <cfRule type="notContainsBlanks" dxfId="815" priority="182" stopIfTrue="1">
      <formula>LEN(TRIM(E65))&gt;0</formula>
    </cfRule>
  </conditionalFormatting>
  <conditionalFormatting sqref="E50:AL50">
    <cfRule type="containsBlanks" dxfId="814" priority="183" stopIfTrue="1">
      <formula>LEN(TRIM(E50))=0</formula>
    </cfRule>
    <cfRule type="notContainsBlanks" dxfId="813" priority="184" stopIfTrue="1">
      <formula>LEN(TRIM(E50))&gt;0</formula>
    </cfRule>
  </conditionalFormatting>
  <conditionalFormatting sqref="E51:AL51">
    <cfRule type="containsBlanks" dxfId="812" priority="185" stopIfTrue="1">
      <formula>LEN(TRIM(E51))=0</formula>
    </cfRule>
    <cfRule type="notContainsBlanks" dxfId="811" priority="186" stopIfTrue="1">
      <formula>LEN(TRIM(E51))&gt;0</formula>
    </cfRule>
  </conditionalFormatting>
  <conditionalFormatting sqref="E52:AL52">
    <cfRule type="containsBlanks" dxfId="810" priority="187" stopIfTrue="1">
      <formula>LEN(TRIM(E52))=0</formula>
    </cfRule>
    <cfRule type="notContainsBlanks" dxfId="809" priority="188" stopIfTrue="1">
      <formula>LEN(TRIM(E52))&gt;0</formula>
    </cfRule>
  </conditionalFormatting>
  <conditionalFormatting sqref="E53:AL53">
    <cfRule type="containsBlanks" dxfId="808" priority="189" stopIfTrue="1">
      <formula>LEN(TRIM(E53))=0</formula>
    </cfRule>
    <cfRule type="notContainsBlanks" dxfId="807" priority="190" stopIfTrue="1">
      <formula>LEN(TRIM(E53))&gt;0</formula>
    </cfRule>
  </conditionalFormatting>
  <conditionalFormatting sqref="E54:AL54">
    <cfRule type="containsBlanks" dxfId="806" priority="191" stopIfTrue="1">
      <formula>LEN(TRIM(E54))=0</formula>
    </cfRule>
    <cfRule type="notContainsBlanks" dxfId="805" priority="192" stopIfTrue="1">
      <formula>LEN(TRIM(E54))&gt;0</formula>
    </cfRule>
  </conditionalFormatting>
  <conditionalFormatting sqref="E55:AL55">
    <cfRule type="containsBlanks" dxfId="804" priority="193" stopIfTrue="1">
      <formula>LEN(TRIM(E55))=0</formula>
    </cfRule>
    <cfRule type="notContainsBlanks" dxfId="803" priority="194" stopIfTrue="1">
      <formula>LEN(TRIM(E55))&gt;0</formula>
    </cfRule>
  </conditionalFormatting>
  <conditionalFormatting sqref="E56:AL56">
    <cfRule type="containsBlanks" dxfId="802" priority="195" stopIfTrue="1">
      <formula>LEN(TRIM(E56))=0</formula>
    </cfRule>
    <cfRule type="notContainsBlanks" dxfId="801" priority="196" stopIfTrue="1">
      <formula>LEN(TRIM(E56))&gt;0</formula>
    </cfRule>
  </conditionalFormatting>
  <conditionalFormatting sqref="E41:E47">
    <cfRule type="containsBlanks" dxfId="800" priority="211" stopIfTrue="1">
      <formula>LEN(TRIM(E41))=0</formula>
    </cfRule>
    <cfRule type="expression" dxfId="799" priority="212" stopIfTrue="1">
      <formula>SUM($E$41:$E$47)&lt;&gt;1</formula>
    </cfRule>
    <cfRule type="notContainsBlanks" dxfId="798" priority="213" stopIfTrue="1">
      <formula>LEN(TRIM(E41))&gt;0</formula>
    </cfRule>
  </conditionalFormatting>
  <conditionalFormatting sqref="F41:F47">
    <cfRule type="containsBlanks" dxfId="797" priority="214" stopIfTrue="1">
      <formula>LEN(TRIM(F41))=0</formula>
    </cfRule>
    <cfRule type="expression" dxfId="796" priority="215" stopIfTrue="1">
      <formula>SUM($F$41:$F$47)&lt;&gt;1</formula>
    </cfRule>
    <cfRule type="notContainsBlanks" dxfId="795" priority="216" stopIfTrue="1">
      <formula>LEN(TRIM(F41))&gt;0</formula>
    </cfRule>
  </conditionalFormatting>
  <conditionalFormatting sqref="G41:G47">
    <cfRule type="containsBlanks" dxfId="794" priority="217" stopIfTrue="1">
      <formula>LEN(TRIM(G41))=0</formula>
    </cfRule>
    <cfRule type="expression" dxfId="793" priority="218" stopIfTrue="1">
      <formula>SUM($G$41:$G$47)&lt;&gt;1</formula>
    </cfRule>
    <cfRule type="notContainsBlanks" dxfId="792" priority="219" stopIfTrue="1">
      <formula>LEN(TRIM(G41))&gt;0</formula>
    </cfRule>
  </conditionalFormatting>
  <conditionalFormatting sqref="H41:H47">
    <cfRule type="containsBlanks" dxfId="791" priority="220" stopIfTrue="1">
      <formula>LEN(TRIM(H41))=0</formula>
    </cfRule>
    <cfRule type="expression" dxfId="790" priority="221" stopIfTrue="1">
      <formula>SUM($H$41:$H$47)&lt;&gt;1</formula>
    </cfRule>
    <cfRule type="notContainsBlanks" dxfId="789" priority="222" stopIfTrue="1">
      <formula>LEN(TRIM(H41))&gt;0</formula>
    </cfRule>
  </conditionalFormatting>
  <conditionalFormatting sqref="I41:I47">
    <cfRule type="containsBlanks" dxfId="788" priority="223" stopIfTrue="1">
      <formula>LEN(TRIM(I41))=0</formula>
    </cfRule>
    <cfRule type="expression" dxfId="787" priority="224" stopIfTrue="1">
      <formula>SUM($I$41:$I$47)&lt;&gt;1</formula>
    </cfRule>
    <cfRule type="notContainsBlanks" dxfId="786" priority="225" stopIfTrue="1">
      <formula>LEN(TRIM(I41))&gt;0</formula>
    </cfRule>
  </conditionalFormatting>
  <conditionalFormatting sqref="J41:J47">
    <cfRule type="containsBlanks" dxfId="785" priority="226" stopIfTrue="1">
      <formula>LEN(TRIM(J41))=0</formula>
    </cfRule>
    <cfRule type="expression" dxfId="784" priority="227" stopIfTrue="1">
      <formula>SUM($J$41:$J$47)&lt;&gt;1</formula>
    </cfRule>
    <cfRule type="notContainsBlanks" dxfId="783" priority="228" stopIfTrue="1">
      <formula>LEN(TRIM(J41))&gt;0</formula>
    </cfRule>
  </conditionalFormatting>
  <conditionalFormatting sqref="K41:K47">
    <cfRule type="containsBlanks" dxfId="782" priority="229" stopIfTrue="1">
      <formula>LEN(TRIM(K41))=0</formula>
    </cfRule>
    <cfRule type="expression" dxfId="781" priority="230" stopIfTrue="1">
      <formula>SUM($K$41:$K$47)&lt;&gt;1</formula>
    </cfRule>
    <cfRule type="notContainsBlanks" dxfId="780" priority="231" stopIfTrue="1">
      <formula>LEN(TRIM(K41))&gt;0</formula>
    </cfRule>
  </conditionalFormatting>
  <conditionalFormatting sqref="L41:L47">
    <cfRule type="containsBlanks" dxfId="779" priority="232" stopIfTrue="1">
      <formula>LEN(TRIM(L41))=0</formula>
    </cfRule>
    <cfRule type="expression" dxfId="778" priority="233" stopIfTrue="1">
      <formula>SUM($L$41:$L$47)&lt;&gt;1</formula>
    </cfRule>
    <cfRule type="notContainsBlanks" dxfId="777" priority="234" stopIfTrue="1">
      <formula>LEN(TRIM(L41))&gt;0</formula>
    </cfRule>
  </conditionalFormatting>
  <conditionalFormatting sqref="M41:M47">
    <cfRule type="containsBlanks" dxfId="776" priority="235" stopIfTrue="1">
      <formula>LEN(TRIM(M41))=0</formula>
    </cfRule>
    <cfRule type="expression" dxfId="775" priority="236" stopIfTrue="1">
      <formula>SUM($M$41:$M$47)&lt;&gt;1</formula>
    </cfRule>
    <cfRule type="notContainsBlanks" dxfId="774" priority="237" stopIfTrue="1">
      <formula>LEN(TRIM(M41))&gt;0</formula>
    </cfRule>
  </conditionalFormatting>
  <conditionalFormatting sqref="N41:N47">
    <cfRule type="containsBlanks" dxfId="773" priority="238" stopIfTrue="1">
      <formula>LEN(TRIM(N41))=0</formula>
    </cfRule>
    <cfRule type="expression" dxfId="772" priority="239" stopIfTrue="1">
      <formula>SUM($N$41:$N$47)&lt;&gt;1</formula>
    </cfRule>
    <cfRule type="notContainsBlanks" dxfId="771" priority="240" stopIfTrue="1">
      <formula>LEN(TRIM(N41))&gt;0</formula>
    </cfRule>
  </conditionalFormatting>
  <conditionalFormatting sqref="O41:O47">
    <cfRule type="containsBlanks" dxfId="770" priority="241" stopIfTrue="1">
      <formula>LEN(TRIM(O41))=0</formula>
    </cfRule>
    <cfRule type="expression" dxfId="769" priority="242" stopIfTrue="1">
      <formula>SUM($O$41:$O$47)&lt;&gt;1</formula>
    </cfRule>
    <cfRule type="notContainsBlanks" dxfId="768" priority="243" stopIfTrue="1">
      <formula>LEN(TRIM(O41))&gt;0</formula>
    </cfRule>
  </conditionalFormatting>
  <conditionalFormatting sqref="P41:P47">
    <cfRule type="containsBlanks" dxfId="767" priority="244" stopIfTrue="1">
      <formula>LEN(TRIM(P41))=0</formula>
    </cfRule>
    <cfRule type="expression" dxfId="766" priority="245" stopIfTrue="1">
      <formula>SUM($P$41:$P$47)&lt;&gt;1</formula>
    </cfRule>
    <cfRule type="notContainsBlanks" dxfId="765" priority="246" stopIfTrue="1">
      <formula>LEN(TRIM(P41))&gt;0</formula>
    </cfRule>
  </conditionalFormatting>
  <conditionalFormatting sqref="Q41:Q47">
    <cfRule type="containsBlanks" dxfId="764" priority="247" stopIfTrue="1">
      <formula>LEN(TRIM(Q41))=0</formula>
    </cfRule>
    <cfRule type="expression" dxfId="763" priority="248" stopIfTrue="1">
      <formula>SUM($Q$41:$Q$47)&lt;&gt;1</formula>
    </cfRule>
    <cfRule type="notContainsBlanks" dxfId="762" priority="249" stopIfTrue="1">
      <formula>LEN(TRIM(Q41))&gt;0</formula>
    </cfRule>
  </conditionalFormatting>
  <conditionalFormatting sqref="R41:R47">
    <cfRule type="containsBlanks" dxfId="761" priority="250" stopIfTrue="1">
      <formula>LEN(TRIM(R41))=0</formula>
    </cfRule>
  </conditionalFormatting>
  <conditionalFormatting sqref="R41:R47">
    <cfRule type="expression" dxfId="760" priority="251" stopIfTrue="1">
      <formula>SUM($R$41:$R$47)&lt;&gt;1</formula>
    </cfRule>
  </conditionalFormatting>
  <conditionalFormatting sqref="R41:R47">
    <cfRule type="notContainsBlanks" dxfId="759" priority="252" stopIfTrue="1">
      <formula>LEN(TRIM(R41))&gt;0</formula>
    </cfRule>
  </conditionalFormatting>
  <conditionalFormatting sqref="S41:S47">
    <cfRule type="containsBlanks" dxfId="758" priority="253" stopIfTrue="1">
      <formula>LEN(TRIM(S41))=0</formula>
    </cfRule>
  </conditionalFormatting>
  <conditionalFormatting sqref="S41:S47">
    <cfRule type="expression" dxfId="757" priority="254" stopIfTrue="1">
      <formula>SUM($S$41:$S$47)&lt;&gt;1</formula>
    </cfRule>
  </conditionalFormatting>
  <conditionalFormatting sqref="S41:S47">
    <cfRule type="notContainsBlanks" dxfId="756" priority="255" stopIfTrue="1">
      <formula>LEN(TRIM(S41))&gt;0</formula>
    </cfRule>
  </conditionalFormatting>
  <conditionalFormatting sqref="T41:T47">
    <cfRule type="containsBlanks" dxfId="755" priority="256" stopIfTrue="1">
      <formula>LEN(TRIM(T41))=0</formula>
    </cfRule>
  </conditionalFormatting>
  <conditionalFormatting sqref="T41:T47">
    <cfRule type="expression" dxfId="754" priority="257" stopIfTrue="1">
      <formula>SUM($T$41:$T$47)&lt;&gt;1</formula>
    </cfRule>
  </conditionalFormatting>
  <conditionalFormatting sqref="T41:T47">
    <cfRule type="notContainsBlanks" dxfId="753" priority="258" stopIfTrue="1">
      <formula>LEN(TRIM(T41))&gt;0</formula>
    </cfRule>
  </conditionalFormatting>
  <conditionalFormatting sqref="U41:U47">
    <cfRule type="containsBlanks" dxfId="752" priority="259" stopIfTrue="1">
      <formula>LEN(TRIM(U41))=0</formula>
    </cfRule>
  </conditionalFormatting>
  <conditionalFormatting sqref="U41:U47">
    <cfRule type="expression" dxfId="751" priority="260" stopIfTrue="1">
      <formula>SUM($U$41:$U$47)&lt;&gt;1</formula>
    </cfRule>
  </conditionalFormatting>
  <conditionalFormatting sqref="U41:U47">
    <cfRule type="notContainsBlanks" dxfId="750" priority="261" stopIfTrue="1">
      <formula>LEN(TRIM(U41))&gt;0</formula>
    </cfRule>
  </conditionalFormatting>
  <conditionalFormatting sqref="V41:V47">
    <cfRule type="containsBlanks" dxfId="749" priority="262" stopIfTrue="1">
      <formula>LEN(TRIM(V41))=0</formula>
    </cfRule>
  </conditionalFormatting>
  <conditionalFormatting sqref="V41:V47">
    <cfRule type="expression" dxfId="748" priority="263" stopIfTrue="1">
      <formula>SUM($V$41:$V$47)&lt;&gt;1</formula>
    </cfRule>
  </conditionalFormatting>
  <conditionalFormatting sqref="V41:V47">
    <cfRule type="notContainsBlanks" dxfId="747" priority="264" stopIfTrue="1">
      <formula>LEN(TRIM(V41))&gt;0</formula>
    </cfRule>
  </conditionalFormatting>
  <conditionalFormatting sqref="W41:W47">
    <cfRule type="containsBlanks" dxfId="746" priority="265" stopIfTrue="1">
      <formula>LEN(TRIM(W41))=0</formula>
    </cfRule>
  </conditionalFormatting>
  <conditionalFormatting sqref="W41:W47">
    <cfRule type="expression" dxfId="745" priority="266" stopIfTrue="1">
      <formula>SUM($W$41:$W$47)&lt;&gt;1</formula>
    </cfRule>
  </conditionalFormatting>
  <conditionalFormatting sqref="W41:W47">
    <cfRule type="notContainsBlanks" dxfId="744" priority="267" stopIfTrue="1">
      <formula>LEN(TRIM(W41))&gt;0</formula>
    </cfRule>
  </conditionalFormatting>
  <conditionalFormatting sqref="X41:X47">
    <cfRule type="containsBlanks" dxfId="743" priority="268" stopIfTrue="1">
      <formula>LEN(TRIM(X41))=0</formula>
    </cfRule>
  </conditionalFormatting>
  <conditionalFormatting sqref="X41:X47">
    <cfRule type="expression" dxfId="742" priority="269" stopIfTrue="1">
      <formula>SUM($X$41:$X$47)&lt;&gt;1</formula>
    </cfRule>
  </conditionalFormatting>
  <conditionalFormatting sqref="X41:X47">
    <cfRule type="notContainsBlanks" dxfId="741" priority="270" stopIfTrue="1">
      <formula>LEN(TRIM(X41))&gt;0</formula>
    </cfRule>
  </conditionalFormatting>
  <conditionalFormatting sqref="Y41:Y47">
    <cfRule type="containsBlanks" dxfId="740" priority="271" stopIfTrue="1">
      <formula>LEN(TRIM(Y41))=0</formula>
    </cfRule>
  </conditionalFormatting>
  <conditionalFormatting sqref="Y41:Y47">
    <cfRule type="expression" dxfId="739" priority="272" stopIfTrue="1">
      <formula>SUM($Y$41:$Y$47)&lt;&gt;1</formula>
    </cfRule>
  </conditionalFormatting>
  <conditionalFormatting sqref="Y41:Y47">
    <cfRule type="notContainsBlanks" dxfId="738" priority="273" stopIfTrue="1">
      <formula>LEN(TRIM(Y41))&gt;0</formula>
    </cfRule>
  </conditionalFormatting>
  <conditionalFormatting sqref="Z41:Z47">
    <cfRule type="containsBlanks" dxfId="737" priority="274" stopIfTrue="1">
      <formula>LEN(TRIM(Z41))=0</formula>
    </cfRule>
  </conditionalFormatting>
  <conditionalFormatting sqref="Z41:Z47">
    <cfRule type="expression" dxfId="736" priority="275" stopIfTrue="1">
      <formula>SUM($Z$41:$Z$47)&lt;&gt;1</formula>
    </cfRule>
  </conditionalFormatting>
  <conditionalFormatting sqref="Z41:Z47">
    <cfRule type="notContainsBlanks" dxfId="735" priority="276" stopIfTrue="1">
      <formula>LEN(TRIM(Z41))&gt;0</formula>
    </cfRule>
  </conditionalFormatting>
  <conditionalFormatting sqref="AA41:AA47">
    <cfRule type="containsBlanks" dxfId="734" priority="277" stopIfTrue="1">
      <formula>LEN(TRIM(AA41))=0</formula>
    </cfRule>
  </conditionalFormatting>
  <conditionalFormatting sqref="AA41:AA47">
    <cfRule type="expression" dxfId="733" priority="278" stopIfTrue="1">
      <formula>SUM($AA$41:$AA$47)&lt;&gt;1</formula>
    </cfRule>
  </conditionalFormatting>
  <conditionalFormatting sqref="AA41:AA47">
    <cfRule type="notContainsBlanks" dxfId="732" priority="279" stopIfTrue="1">
      <formula>LEN(TRIM(AA41))&gt;0</formula>
    </cfRule>
  </conditionalFormatting>
  <conditionalFormatting sqref="AB41:AB47">
    <cfRule type="containsBlanks" dxfId="731" priority="280" stopIfTrue="1">
      <formula>LEN(TRIM(AB41))=0</formula>
    </cfRule>
  </conditionalFormatting>
  <conditionalFormatting sqref="AB41:AB47">
    <cfRule type="expression" dxfId="730" priority="281" stopIfTrue="1">
      <formula>SUM($AB$41:$AB$47)&lt;&gt;1</formula>
    </cfRule>
  </conditionalFormatting>
  <conditionalFormatting sqref="AB41:AB47">
    <cfRule type="notContainsBlanks" dxfId="729" priority="282" stopIfTrue="1">
      <formula>LEN(TRIM(AB41))&gt;0</formula>
    </cfRule>
  </conditionalFormatting>
  <conditionalFormatting sqref="AC41:AC47">
    <cfRule type="containsBlanks" dxfId="728" priority="283" stopIfTrue="1">
      <formula>LEN(TRIM(AC41))=0</formula>
    </cfRule>
  </conditionalFormatting>
  <conditionalFormatting sqref="AC41:AC47">
    <cfRule type="expression" dxfId="727" priority="284" stopIfTrue="1">
      <formula>SUM($AC$41:$AC$47)&lt;&gt;1</formula>
    </cfRule>
  </conditionalFormatting>
  <conditionalFormatting sqref="AC41:AC47">
    <cfRule type="notContainsBlanks" dxfId="726" priority="285" stopIfTrue="1">
      <formula>LEN(TRIM(AC41))&gt;0</formula>
    </cfRule>
  </conditionalFormatting>
  <conditionalFormatting sqref="AD41:AD47">
    <cfRule type="containsBlanks" dxfId="725" priority="286" stopIfTrue="1">
      <formula>LEN(TRIM(AD41))=0</formula>
    </cfRule>
  </conditionalFormatting>
  <conditionalFormatting sqref="AD41:AD47">
    <cfRule type="expression" dxfId="724" priority="287" stopIfTrue="1">
      <formula>SUM($AD$41:$AD$47)&lt;&gt;1</formula>
    </cfRule>
  </conditionalFormatting>
  <conditionalFormatting sqref="AD41:AD47">
    <cfRule type="notContainsBlanks" dxfId="723" priority="288" stopIfTrue="1">
      <formula>LEN(TRIM(AD41))&gt;0</formula>
    </cfRule>
  </conditionalFormatting>
  <conditionalFormatting sqref="AE41:AE47">
    <cfRule type="containsBlanks" dxfId="722" priority="289" stopIfTrue="1">
      <formula>LEN(TRIM(AE41))=0</formula>
    </cfRule>
  </conditionalFormatting>
  <conditionalFormatting sqref="AE41:AE47">
    <cfRule type="expression" dxfId="721" priority="290" stopIfTrue="1">
      <formula>SUM($AE$41:$AE$47)&lt;&gt;1</formula>
    </cfRule>
  </conditionalFormatting>
  <conditionalFormatting sqref="AE41:AE47">
    <cfRule type="notContainsBlanks" dxfId="720" priority="291" stopIfTrue="1">
      <formula>LEN(TRIM(AE41))&gt;0</formula>
    </cfRule>
  </conditionalFormatting>
  <conditionalFormatting sqref="AF41:AF47">
    <cfRule type="containsBlanks" dxfId="719" priority="292" stopIfTrue="1">
      <formula>LEN(TRIM(AF41))=0</formula>
    </cfRule>
  </conditionalFormatting>
  <conditionalFormatting sqref="AF41:AF47">
    <cfRule type="expression" dxfId="718" priority="293" stopIfTrue="1">
      <formula>SUM($AF$41:$AF$47)&lt;&gt;1</formula>
    </cfRule>
  </conditionalFormatting>
  <conditionalFormatting sqref="AF41:AF47">
    <cfRule type="notContainsBlanks" dxfId="717" priority="294" stopIfTrue="1">
      <formula>LEN(TRIM(AF41))&gt;0</formula>
    </cfRule>
  </conditionalFormatting>
  <conditionalFormatting sqref="AG41:AG47">
    <cfRule type="containsBlanks" dxfId="716" priority="295" stopIfTrue="1">
      <formula>LEN(TRIM(AG41))=0</formula>
    </cfRule>
  </conditionalFormatting>
  <conditionalFormatting sqref="AG41:AG47">
    <cfRule type="expression" dxfId="715" priority="296" stopIfTrue="1">
      <formula>SUM($AG$41:$AG$47)&lt;&gt;1</formula>
    </cfRule>
  </conditionalFormatting>
  <conditionalFormatting sqref="AG41:AG47">
    <cfRule type="notContainsBlanks" dxfId="714" priority="297" stopIfTrue="1">
      <formula>LEN(TRIM(AG41))&gt;0</formula>
    </cfRule>
  </conditionalFormatting>
  <conditionalFormatting sqref="AH41:AH47">
    <cfRule type="containsBlanks" dxfId="713" priority="298" stopIfTrue="1">
      <formula>LEN(TRIM(AH41))=0</formula>
    </cfRule>
  </conditionalFormatting>
  <conditionalFormatting sqref="AH41:AH47">
    <cfRule type="expression" dxfId="712" priority="299" stopIfTrue="1">
      <formula>SUM($AH$41:$AH$47)&lt;&gt;1</formula>
    </cfRule>
  </conditionalFormatting>
  <conditionalFormatting sqref="AH41:AH47">
    <cfRule type="notContainsBlanks" dxfId="711" priority="300" stopIfTrue="1">
      <formula>LEN(TRIM(AH41))&gt;0</formula>
    </cfRule>
  </conditionalFormatting>
  <conditionalFormatting sqref="AI41:AI47">
    <cfRule type="containsBlanks" dxfId="710" priority="301" stopIfTrue="1">
      <formula>LEN(TRIM(AI41))=0</formula>
    </cfRule>
  </conditionalFormatting>
  <conditionalFormatting sqref="AI41:AI47">
    <cfRule type="expression" dxfId="709" priority="302" stopIfTrue="1">
      <formula>SUM($AI$41:$AI$47)&lt;&gt;1</formula>
    </cfRule>
  </conditionalFormatting>
  <conditionalFormatting sqref="AI41:AI47">
    <cfRule type="notContainsBlanks" dxfId="708" priority="303" stopIfTrue="1">
      <formula>LEN(TRIM(AI41))&gt;0</formula>
    </cfRule>
  </conditionalFormatting>
  <conditionalFormatting sqref="AJ41:AJ47">
    <cfRule type="containsBlanks" dxfId="707" priority="304" stopIfTrue="1">
      <formula>LEN(TRIM(AJ41))=0</formula>
    </cfRule>
  </conditionalFormatting>
  <conditionalFormatting sqref="AJ41:AJ47">
    <cfRule type="expression" dxfId="706" priority="305" stopIfTrue="1">
      <formula>SUM($AJ$41:$AJ$47)&lt;&gt;1</formula>
    </cfRule>
  </conditionalFormatting>
  <conditionalFormatting sqref="AJ41:AJ47">
    <cfRule type="notContainsBlanks" dxfId="705" priority="306" stopIfTrue="1">
      <formula>LEN(TRIM(AJ41))&gt;0</formula>
    </cfRule>
  </conditionalFormatting>
  <conditionalFormatting sqref="AK41:AK47">
    <cfRule type="containsBlanks" dxfId="704" priority="307" stopIfTrue="1">
      <formula>LEN(TRIM(AK41))=0</formula>
    </cfRule>
  </conditionalFormatting>
  <conditionalFormatting sqref="AK41:AK47">
    <cfRule type="expression" dxfId="703" priority="308" stopIfTrue="1">
      <formula>SUM($AK$41:$AK$47)&lt;&gt;1</formula>
    </cfRule>
  </conditionalFormatting>
  <conditionalFormatting sqref="AK41:AK47">
    <cfRule type="notContainsBlanks" dxfId="702" priority="309" stopIfTrue="1">
      <formula>LEN(TRIM(AK41))&gt;0</formula>
    </cfRule>
  </conditionalFormatting>
  <conditionalFormatting sqref="AL41:AL47">
    <cfRule type="containsBlanks" dxfId="701" priority="310" stopIfTrue="1">
      <formula>LEN(TRIM(AL41))=0</formula>
    </cfRule>
  </conditionalFormatting>
  <conditionalFormatting sqref="AL41:AL47">
    <cfRule type="expression" dxfId="700" priority="311" stopIfTrue="1">
      <formula>SUM($AL$41:$AL$47)&lt;&gt;1</formula>
    </cfRule>
  </conditionalFormatting>
  <conditionalFormatting sqref="AL41:AL47">
    <cfRule type="notContainsBlanks" dxfId="699" priority="312" stopIfTrue="1">
      <formula>LEN(TRIM(AL41))&gt;0</formula>
    </cfRule>
  </conditionalFormatting>
  <conditionalFormatting sqref="E32:E38">
    <cfRule type="containsBlanks" dxfId="698" priority="327" stopIfTrue="1">
      <formula>LEN(TRIM(E32))=0</formula>
    </cfRule>
    <cfRule type="expression" dxfId="697" priority="328" stopIfTrue="1">
      <formula>SUM($E$32:$E$38)&lt;&gt;1</formula>
    </cfRule>
    <cfRule type="notContainsBlanks" dxfId="696" priority="329" stopIfTrue="1">
      <formula>LEN(TRIM(E32))&gt;0</formula>
    </cfRule>
  </conditionalFormatting>
  <conditionalFormatting sqref="F32:F38">
    <cfRule type="containsBlanks" dxfId="695" priority="330" stopIfTrue="1">
      <formula>LEN(TRIM(F32))=0</formula>
    </cfRule>
    <cfRule type="expression" dxfId="694" priority="331" stopIfTrue="1">
      <formula>SUM($F$32:$F$38)&lt;&gt;1</formula>
    </cfRule>
    <cfRule type="notContainsBlanks" dxfId="693" priority="332" stopIfTrue="1">
      <formula>LEN(TRIM(F32))&gt;0</formula>
    </cfRule>
  </conditionalFormatting>
  <conditionalFormatting sqref="G32:G38">
    <cfRule type="containsBlanks" dxfId="692" priority="333" stopIfTrue="1">
      <formula>LEN(TRIM(G32))=0</formula>
    </cfRule>
    <cfRule type="expression" dxfId="691" priority="334" stopIfTrue="1">
      <formula>SUM($G$32:$G$38)&lt;&gt;1</formula>
    </cfRule>
    <cfRule type="notContainsBlanks" dxfId="690" priority="335" stopIfTrue="1">
      <formula>LEN(TRIM(G32))&gt;0</formula>
    </cfRule>
  </conditionalFormatting>
  <conditionalFormatting sqref="H32:H38">
    <cfRule type="containsBlanks" dxfId="689" priority="336" stopIfTrue="1">
      <formula>LEN(TRIM(H32))=0</formula>
    </cfRule>
    <cfRule type="expression" dxfId="688" priority="337" stopIfTrue="1">
      <formula>SUM($H$32:$H$38)&lt;&gt;1</formula>
    </cfRule>
    <cfRule type="notContainsBlanks" dxfId="687" priority="338" stopIfTrue="1">
      <formula>LEN(TRIM(H32))&gt;0</formula>
    </cfRule>
  </conditionalFormatting>
  <conditionalFormatting sqref="I32:I38">
    <cfRule type="containsBlanks" dxfId="686" priority="339" stopIfTrue="1">
      <formula>LEN(TRIM(I32))=0</formula>
    </cfRule>
    <cfRule type="expression" dxfId="685" priority="340" stopIfTrue="1">
      <formula>SUM($I$32:$I$38)&lt;&gt;1</formula>
    </cfRule>
    <cfRule type="notContainsBlanks" dxfId="684" priority="341" stopIfTrue="1">
      <formula>LEN(TRIM(I32))&gt;0</formula>
    </cfRule>
  </conditionalFormatting>
  <conditionalFormatting sqref="J32:J38">
    <cfRule type="containsBlanks" dxfId="683" priority="342" stopIfTrue="1">
      <formula>LEN(TRIM(J32))=0</formula>
    </cfRule>
    <cfRule type="expression" dxfId="682" priority="343" stopIfTrue="1">
      <formula>SUM($J$32:$J$38)&lt;&gt;1</formula>
    </cfRule>
    <cfRule type="notContainsBlanks" dxfId="681" priority="344" stopIfTrue="1">
      <formula>LEN(TRIM(J32))&gt;0</formula>
    </cfRule>
  </conditionalFormatting>
  <conditionalFormatting sqref="K32:K38">
    <cfRule type="containsBlanks" dxfId="680" priority="345" stopIfTrue="1">
      <formula>LEN(TRIM(K32))=0</formula>
    </cfRule>
  </conditionalFormatting>
  <conditionalFormatting sqref="K32:K38">
    <cfRule type="expression" dxfId="679" priority="346" stopIfTrue="1">
      <formula>SUM($K$32:$K$38)&lt;&gt;1</formula>
    </cfRule>
  </conditionalFormatting>
  <conditionalFormatting sqref="K32:K38">
    <cfRule type="notContainsBlanks" dxfId="678" priority="347" stopIfTrue="1">
      <formula>LEN(TRIM(K32))&gt;0</formula>
    </cfRule>
  </conditionalFormatting>
  <conditionalFormatting sqref="L32:L38">
    <cfRule type="containsBlanks" dxfId="677" priority="348" stopIfTrue="1">
      <formula>LEN(TRIM(L32))=0</formula>
    </cfRule>
  </conditionalFormatting>
  <conditionalFormatting sqref="L32:L38">
    <cfRule type="expression" dxfId="676" priority="349" stopIfTrue="1">
      <formula>SUM($L$32:$L$38)&lt;&gt;1</formula>
    </cfRule>
  </conditionalFormatting>
  <conditionalFormatting sqref="L32:L38">
    <cfRule type="notContainsBlanks" dxfId="675" priority="350" stopIfTrue="1">
      <formula>LEN(TRIM(L32))&gt;0</formula>
    </cfRule>
  </conditionalFormatting>
  <conditionalFormatting sqref="M32:M38">
    <cfRule type="containsBlanks" dxfId="674" priority="351" stopIfTrue="1">
      <formula>LEN(TRIM(M32))=0</formula>
    </cfRule>
  </conditionalFormatting>
  <conditionalFormatting sqref="M32:M38">
    <cfRule type="expression" dxfId="673" priority="352" stopIfTrue="1">
      <formula>SUM($M$32:$M$38)&lt;&gt;1</formula>
    </cfRule>
  </conditionalFormatting>
  <conditionalFormatting sqref="M32:M38">
    <cfRule type="notContainsBlanks" dxfId="672" priority="353" stopIfTrue="1">
      <formula>LEN(TRIM(M32))&gt;0</formula>
    </cfRule>
  </conditionalFormatting>
  <conditionalFormatting sqref="N32:N38">
    <cfRule type="containsBlanks" dxfId="671" priority="354" stopIfTrue="1">
      <formula>LEN(TRIM(N32))=0</formula>
    </cfRule>
  </conditionalFormatting>
  <conditionalFormatting sqref="N32:N38">
    <cfRule type="expression" dxfId="670" priority="355" stopIfTrue="1">
      <formula>SUM($N$32:$N$38)&lt;&gt;1</formula>
    </cfRule>
  </conditionalFormatting>
  <conditionalFormatting sqref="N32:N38">
    <cfRule type="notContainsBlanks" dxfId="669" priority="356" stopIfTrue="1">
      <formula>LEN(TRIM(N32))&gt;0</formula>
    </cfRule>
  </conditionalFormatting>
  <conditionalFormatting sqref="O32:O38">
    <cfRule type="containsBlanks" dxfId="668" priority="357" stopIfTrue="1">
      <formula>LEN(TRIM(O32))=0</formula>
    </cfRule>
  </conditionalFormatting>
  <conditionalFormatting sqref="O32:O38">
    <cfRule type="expression" dxfId="667" priority="358" stopIfTrue="1">
      <formula>SUM($O$32:$O$38)&lt;&gt;1</formula>
    </cfRule>
  </conditionalFormatting>
  <conditionalFormatting sqref="O32:O38">
    <cfRule type="notContainsBlanks" dxfId="666" priority="359" stopIfTrue="1">
      <formula>LEN(TRIM(O32))&gt;0</formula>
    </cfRule>
  </conditionalFormatting>
  <conditionalFormatting sqref="P32:P38">
    <cfRule type="containsBlanks" dxfId="665" priority="360" stopIfTrue="1">
      <formula>LEN(TRIM(P32))=0</formula>
    </cfRule>
  </conditionalFormatting>
  <conditionalFormatting sqref="P32:P38">
    <cfRule type="expression" dxfId="664" priority="361" stopIfTrue="1">
      <formula>SUM($P$32:$P$38)&lt;&gt;1</formula>
    </cfRule>
  </conditionalFormatting>
  <conditionalFormatting sqref="P32:P38">
    <cfRule type="notContainsBlanks" dxfId="663" priority="362" stopIfTrue="1">
      <formula>LEN(TRIM(P32))&gt;0</formula>
    </cfRule>
  </conditionalFormatting>
  <conditionalFormatting sqref="Q32:Q38">
    <cfRule type="containsBlanks" dxfId="662" priority="363" stopIfTrue="1">
      <formula>LEN(TRIM(Q32))=0</formula>
    </cfRule>
  </conditionalFormatting>
  <conditionalFormatting sqref="Q32:Q38">
    <cfRule type="expression" dxfId="661" priority="364" stopIfTrue="1">
      <formula>SUM($Q$32:$Q$38)&lt;&gt;1</formula>
    </cfRule>
  </conditionalFormatting>
  <conditionalFormatting sqref="Q32:Q38">
    <cfRule type="notContainsBlanks" dxfId="660" priority="365" stopIfTrue="1">
      <formula>LEN(TRIM(Q32))&gt;0</formula>
    </cfRule>
  </conditionalFormatting>
  <conditionalFormatting sqref="R32:R38">
    <cfRule type="containsBlanks" dxfId="659" priority="366" stopIfTrue="1">
      <formula>LEN(TRIM(R32))=0</formula>
    </cfRule>
  </conditionalFormatting>
  <conditionalFormatting sqref="R32:R38">
    <cfRule type="expression" dxfId="658" priority="367" stopIfTrue="1">
      <formula>SUM($R$32:$R$38)&lt;&gt;1</formula>
    </cfRule>
  </conditionalFormatting>
  <conditionalFormatting sqref="R32:R38">
    <cfRule type="notContainsBlanks" dxfId="657" priority="368" stopIfTrue="1">
      <formula>LEN(TRIM(R32))&gt;0</formula>
    </cfRule>
  </conditionalFormatting>
  <conditionalFormatting sqref="S32:S38">
    <cfRule type="containsBlanks" dxfId="656" priority="369" stopIfTrue="1">
      <formula>LEN(TRIM(S32))=0</formula>
    </cfRule>
  </conditionalFormatting>
  <conditionalFormatting sqref="S32:S38">
    <cfRule type="expression" dxfId="655" priority="370" stopIfTrue="1">
      <formula>SUM($S$32:$S$38)&lt;&gt;1</formula>
    </cfRule>
  </conditionalFormatting>
  <conditionalFormatting sqref="S32:S38">
    <cfRule type="notContainsBlanks" dxfId="654" priority="371" stopIfTrue="1">
      <formula>LEN(TRIM(S32))&gt;0</formula>
    </cfRule>
  </conditionalFormatting>
  <conditionalFormatting sqref="T32:T38">
    <cfRule type="containsBlanks" dxfId="653" priority="372" stopIfTrue="1">
      <formula>LEN(TRIM(T32))=0</formula>
    </cfRule>
  </conditionalFormatting>
  <conditionalFormatting sqref="T32:T38">
    <cfRule type="expression" dxfId="652" priority="373" stopIfTrue="1">
      <formula>SUM($T$32:$T$38)&lt;&gt;1</formula>
    </cfRule>
  </conditionalFormatting>
  <conditionalFormatting sqref="T32:T38">
    <cfRule type="notContainsBlanks" dxfId="651" priority="374" stopIfTrue="1">
      <formula>LEN(TRIM(T32))&gt;0</formula>
    </cfRule>
  </conditionalFormatting>
  <conditionalFormatting sqref="U32:U38">
    <cfRule type="containsBlanks" dxfId="650" priority="375" stopIfTrue="1">
      <formula>LEN(TRIM(U32))=0</formula>
    </cfRule>
  </conditionalFormatting>
  <conditionalFormatting sqref="U32:U38">
    <cfRule type="expression" dxfId="649" priority="376" stopIfTrue="1">
      <formula>SUM($U$32:$U$38)&lt;&gt;1</formula>
    </cfRule>
  </conditionalFormatting>
  <conditionalFormatting sqref="U32:U38">
    <cfRule type="notContainsBlanks" dxfId="648" priority="377" stopIfTrue="1">
      <formula>LEN(TRIM(U32))&gt;0</formula>
    </cfRule>
  </conditionalFormatting>
  <conditionalFormatting sqref="V32:V38">
    <cfRule type="containsBlanks" dxfId="647" priority="378" stopIfTrue="1">
      <formula>LEN(TRIM(V32))=0</formula>
    </cfRule>
  </conditionalFormatting>
  <conditionalFormatting sqref="V32:V38">
    <cfRule type="expression" dxfId="646" priority="379" stopIfTrue="1">
      <formula>SUM($V$32:$V$38)&lt;&gt;1</formula>
    </cfRule>
  </conditionalFormatting>
  <conditionalFormatting sqref="V32:V38">
    <cfRule type="notContainsBlanks" dxfId="645" priority="380" stopIfTrue="1">
      <formula>LEN(TRIM(V32))&gt;0</formula>
    </cfRule>
  </conditionalFormatting>
  <conditionalFormatting sqref="W32:W38">
    <cfRule type="containsBlanks" dxfId="644" priority="381" stopIfTrue="1">
      <formula>LEN(TRIM(W32))=0</formula>
    </cfRule>
  </conditionalFormatting>
  <conditionalFormatting sqref="W32:W38">
    <cfRule type="expression" dxfId="643" priority="382" stopIfTrue="1">
      <formula>SUM($W$32:$W$38)&lt;&gt;1</formula>
    </cfRule>
  </conditionalFormatting>
  <conditionalFormatting sqref="W32:W38">
    <cfRule type="notContainsBlanks" dxfId="642" priority="383" stopIfTrue="1">
      <formula>LEN(TRIM(W32))&gt;0</formula>
    </cfRule>
  </conditionalFormatting>
  <conditionalFormatting sqref="X32:X38">
    <cfRule type="containsBlanks" dxfId="641" priority="384" stopIfTrue="1">
      <formula>LEN(TRIM(X32))=0</formula>
    </cfRule>
  </conditionalFormatting>
  <conditionalFormatting sqref="X32:X38">
    <cfRule type="expression" dxfId="640" priority="385" stopIfTrue="1">
      <formula>SUM($X$32:$X$38)&lt;&gt;1</formula>
    </cfRule>
  </conditionalFormatting>
  <conditionalFormatting sqref="X32:X38">
    <cfRule type="notContainsBlanks" dxfId="639" priority="386" stopIfTrue="1">
      <formula>LEN(TRIM(X32))&gt;0</formula>
    </cfRule>
  </conditionalFormatting>
  <conditionalFormatting sqref="Y32:Y38">
    <cfRule type="containsBlanks" dxfId="638" priority="387" stopIfTrue="1">
      <formula>LEN(TRIM(Y32))=0</formula>
    </cfRule>
  </conditionalFormatting>
  <conditionalFormatting sqref="Y32:Y38">
    <cfRule type="expression" dxfId="637" priority="388" stopIfTrue="1">
      <formula>SUM($Y$32:$Y$38)&lt;&gt;1</formula>
    </cfRule>
  </conditionalFormatting>
  <conditionalFormatting sqref="Y32:Y38">
    <cfRule type="notContainsBlanks" dxfId="636" priority="389" stopIfTrue="1">
      <formula>LEN(TRIM(Y32))&gt;0</formula>
    </cfRule>
  </conditionalFormatting>
  <conditionalFormatting sqref="Z32:Z38">
    <cfRule type="containsBlanks" dxfId="635" priority="390" stopIfTrue="1">
      <formula>LEN(TRIM(Z32))=0</formula>
    </cfRule>
  </conditionalFormatting>
  <conditionalFormatting sqref="Z32:Z38">
    <cfRule type="expression" dxfId="634" priority="391" stopIfTrue="1">
      <formula>SUM($Z$32:$Z$38)&lt;&gt;1</formula>
    </cfRule>
  </conditionalFormatting>
  <conditionalFormatting sqref="Z32:Z38">
    <cfRule type="notContainsBlanks" dxfId="633" priority="392" stopIfTrue="1">
      <formula>LEN(TRIM(Z32))&gt;0</formula>
    </cfRule>
  </conditionalFormatting>
  <conditionalFormatting sqref="AA32:AA38">
    <cfRule type="containsBlanks" dxfId="632" priority="393" stopIfTrue="1">
      <formula>LEN(TRIM(AA32))=0</formula>
    </cfRule>
  </conditionalFormatting>
  <conditionalFormatting sqref="AA32:AA38">
    <cfRule type="expression" dxfId="631" priority="394" stopIfTrue="1">
      <formula>SUM($AA$32:$AA$38)&lt;&gt;1</formula>
    </cfRule>
  </conditionalFormatting>
  <conditionalFormatting sqref="AA32:AA38">
    <cfRule type="notContainsBlanks" dxfId="630" priority="395" stopIfTrue="1">
      <formula>LEN(TRIM(AA32))&gt;0</formula>
    </cfRule>
  </conditionalFormatting>
  <conditionalFormatting sqref="AB32:AB38">
    <cfRule type="containsBlanks" dxfId="629" priority="396" stopIfTrue="1">
      <formula>LEN(TRIM(AB32))=0</formula>
    </cfRule>
  </conditionalFormatting>
  <conditionalFormatting sqref="AB32:AB38">
    <cfRule type="expression" dxfId="628" priority="397" stopIfTrue="1">
      <formula>SUM($AB$32:$AB$38)&lt;&gt;1</formula>
    </cfRule>
  </conditionalFormatting>
  <conditionalFormatting sqref="AB32:AB38">
    <cfRule type="notContainsBlanks" dxfId="627" priority="398" stopIfTrue="1">
      <formula>LEN(TRIM(AB32))&gt;0</formula>
    </cfRule>
  </conditionalFormatting>
  <conditionalFormatting sqref="AC32:AC38">
    <cfRule type="containsBlanks" dxfId="626" priority="399" stopIfTrue="1">
      <formula>LEN(TRIM(AC32))=0</formula>
    </cfRule>
  </conditionalFormatting>
  <conditionalFormatting sqref="AC32:AC38">
    <cfRule type="expression" dxfId="625" priority="400" stopIfTrue="1">
      <formula>SUM($AC$32:$AC$38)&lt;&gt;1</formula>
    </cfRule>
  </conditionalFormatting>
  <conditionalFormatting sqref="AC32:AC38">
    <cfRule type="notContainsBlanks" dxfId="624" priority="401" stopIfTrue="1">
      <formula>LEN(TRIM(AC32))&gt;0</formula>
    </cfRule>
  </conditionalFormatting>
  <conditionalFormatting sqref="AD32:AD38">
    <cfRule type="containsBlanks" dxfId="623" priority="402" stopIfTrue="1">
      <formula>LEN(TRIM(AD32))=0</formula>
    </cfRule>
  </conditionalFormatting>
  <conditionalFormatting sqref="AD32:AD38">
    <cfRule type="expression" dxfId="622" priority="403" stopIfTrue="1">
      <formula>SUM($AD$32:$AD$38)&lt;&gt;1</formula>
    </cfRule>
  </conditionalFormatting>
  <conditionalFormatting sqref="AD32:AD38">
    <cfRule type="notContainsBlanks" dxfId="621" priority="404" stopIfTrue="1">
      <formula>LEN(TRIM(AD32))&gt;0</formula>
    </cfRule>
  </conditionalFormatting>
  <conditionalFormatting sqref="AE32:AE38">
    <cfRule type="containsBlanks" dxfId="620" priority="405" stopIfTrue="1">
      <formula>LEN(TRIM(AE32))=0</formula>
    </cfRule>
  </conditionalFormatting>
  <conditionalFormatting sqref="AE32:AE38">
    <cfRule type="expression" dxfId="619" priority="406" stopIfTrue="1">
      <formula>SUM($AE$32:$AE$38)&lt;&gt;1</formula>
    </cfRule>
  </conditionalFormatting>
  <conditionalFormatting sqref="AE32:AE38">
    <cfRule type="notContainsBlanks" dxfId="618" priority="407" stopIfTrue="1">
      <formula>LEN(TRIM(AE32))&gt;0</formula>
    </cfRule>
  </conditionalFormatting>
  <conditionalFormatting sqref="AF32:AF38">
    <cfRule type="containsBlanks" dxfId="617" priority="408" stopIfTrue="1">
      <formula>LEN(TRIM(AF32))=0</formula>
    </cfRule>
  </conditionalFormatting>
  <conditionalFormatting sqref="AF32:AF38">
    <cfRule type="expression" dxfId="616" priority="409" stopIfTrue="1">
      <formula>SUM($AF$32:$AF$38)&lt;&gt;1</formula>
    </cfRule>
  </conditionalFormatting>
  <conditionalFormatting sqref="AF32:AF38">
    <cfRule type="notContainsBlanks" dxfId="615" priority="410" stopIfTrue="1">
      <formula>LEN(TRIM(AF32))&gt;0</formula>
    </cfRule>
  </conditionalFormatting>
  <conditionalFormatting sqref="AG32:AG38">
    <cfRule type="containsBlanks" dxfId="614" priority="411" stopIfTrue="1">
      <formula>LEN(TRIM(AG32))=0</formula>
    </cfRule>
  </conditionalFormatting>
  <conditionalFormatting sqref="AG32:AG38">
    <cfRule type="expression" dxfId="613" priority="412" stopIfTrue="1">
      <formula>SUM($AG$32:$AG$38)&lt;&gt;1</formula>
    </cfRule>
  </conditionalFormatting>
  <conditionalFormatting sqref="AG32:AG38">
    <cfRule type="notContainsBlanks" dxfId="612" priority="413" stopIfTrue="1">
      <formula>LEN(TRIM(AG32))&gt;0</formula>
    </cfRule>
  </conditionalFormatting>
  <conditionalFormatting sqref="AH32:AH38">
    <cfRule type="containsBlanks" dxfId="611" priority="414" stopIfTrue="1">
      <formula>LEN(TRIM(AH32))=0</formula>
    </cfRule>
  </conditionalFormatting>
  <conditionalFormatting sqref="AH32:AH38">
    <cfRule type="expression" dxfId="610" priority="415" stopIfTrue="1">
      <formula>SUM($AH$32:$AH$38)&lt;&gt;1</formula>
    </cfRule>
  </conditionalFormatting>
  <conditionalFormatting sqref="AH32:AH38">
    <cfRule type="notContainsBlanks" dxfId="609" priority="416" stopIfTrue="1">
      <formula>LEN(TRIM(AH32))&gt;0</formula>
    </cfRule>
  </conditionalFormatting>
  <conditionalFormatting sqref="AI32:AI38">
    <cfRule type="containsBlanks" dxfId="608" priority="417" stopIfTrue="1">
      <formula>LEN(TRIM(AI32))=0</formula>
    </cfRule>
  </conditionalFormatting>
  <conditionalFormatting sqref="AI32:AI38">
    <cfRule type="expression" dxfId="607" priority="418" stopIfTrue="1">
      <formula>SUM($AI$32:$AI$38)&lt;&gt;1</formula>
    </cfRule>
  </conditionalFormatting>
  <conditionalFormatting sqref="AI32:AI38">
    <cfRule type="notContainsBlanks" dxfId="606" priority="419" stopIfTrue="1">
      <formula>LEN(TRIM(AI32))&gt;0</formula>
    </cfRule>
  </conditionalFormatting>
  <conditionalFormatting sqref="AJ32:AJ38">
    <cfRule type="containsBlanks" dxfId="605" priority="420" stopIfTrue="1">
      <formula>LEN(TRIM(AJ32))=0</formula>
    </cfRule>
  </conditionalFormatting>
  <conditionalFormatting sqref="AJ32:AJ38">
    <cfRule type="expression" dxfId="604" priority="421" stopIfTrue="1">
      <formula>SUM($AJ$32:$AJ$38)&lt;&gt;1</formula>
    </cfRule>
  </conditionalFormatting>
  <conditionalFormatting sqref="AJ32:AJ38">
    <cfRule type="notContainsBlanks" dxfId="603" priority="422" stopIfTrue="1">
      <formula>LEN(TRIM(AJ32))&gt;0</formula>
    </cfRule>
  </conditionalFormatting>
  <conditionalFormatting sqref="AK32:AK38">
    <cfRule type="containsBlanks" dxfId="602" priority="423" stopIfTrue="1">
      <formula>LEN(TRIM(AK32))=0</formula>
    </cfRule>
  </conditionalFormatting>
  <conditionalFormatting sqref="AK32:AK38">
    <cfRule type="expression" dxfId="601" priority="424" stopIfTrue="1">
      <formula>SUM($AK$32:$AK$38)&lt;&gt;1</formula>
    </cfRule>
  </conditionalFormatting>
  <conditionalFormatting sqref="AK32:AK38">
    <cfRule type="notContainsBlanks" dxfId="600" priority="425" stopIfTrue="1">
      <formula>LEN(TRIM(AK32))&gt;0</formula>
    </cfRule>
  </conditionalFormatting>
  <conditionalFormatting sqref="AL32:AL38">
    <cfRule type="containsBlanks" dxfId="599" priority="426" stopIfTrue="1">
      <formula>LEN(TRIM(AL32))=0</formula>
    </cfRule>
  </conditionalFormatting>
  <conditionalFormatting sqref="AL32:AL38">
    <cfRule type="expression" dxfId="598" priority="427" stopIfTrue="1">
      <formula>SUM($AL$32:$AL$38)&lt;&gt;1</formula>
    </cfRule>
  </conditionalFormatting>
  <conditionalFormatting sqref="AL32:AL38">
    <cfRule type="notContainsBlanks" dxfId="597" priority="428" stopIfTrue="1">
      <formula>LEN(TRIM(AL32))&gt;0</formula>
    </cfRule>
  </conditionalFormatting>
  <conditionalFormatting sqref="E21:AL21">
    <cfRule type="containsBlanks" dxfId="596" priority="429" stopIfTrue="1">
      <formula>LEN(TRIM(E21))=0</formula>
    </cfRule>
  </conditionalFormatting>
  <conditionalFormatting sqref="E21:AL21">
    <cfRule type="notContainsBlanks" dxfId="595" priority="430" stopIfTrue="1">
      <formula>LEN(TRIM(E21))&gt;0</formula>
    </cfRule>
  </conditionalFormatting>
  <conditionalFormatting sqref="E22:AL22">
    <cfRule type="containsBlanks" dxfId="594" priority="431" stopIfTrue="1">
      <formula>LEN(TRIM(E22))=0</formula>
    </cfRule>
  </conditionalFormatting>
  <conditionalFormatting sqref="E22:AL22">
    <cfRule type="notContainsBlanks" dxfId="593" priority="432" stopIfTrue="1">
      <formula>LEN(TRIM(E22))&gt;0</formula>
    </cfRule>
  </conditionalFormatting>
  <conditionalFormatting sqref="E24:AL24">
    <cfRule type="containsBlanks" dxfId="592" priority="433" stopIfTrue="1">
      <formula>LEN(TRIM(E24))=0</formula>
    </cfRule>
  </conditionalFormatting>
  <conditionalFormatting sqref="E24:AL24">
    <cfRule type="notContainsBlanks" dxfId="591" priority="434" stopIfTrue="1">
      <formula>LEN(TRIM(E24))&gt;0</formula>
    </cfRule>
  </conditionalFormatting>
  <conditionalFormatting sqref="E26:AL26">
    <cfRule type="containsBlanks" dxfId="590" priority="435" stopIfTrue="1">
      <formula>LEN(TRIM(E26))=0</formula>
    </cfRule>
  </conditionalFormatting>
  <conditionalFormatting sqref="E26:AL26">
    <cfRule type="notContainsBlanks" dxfId="589" priority="436" stopIfTrue="1">
      <formula>LEN(TRIM(E26))&gt;0</formula>
    </cfRule>
  </conditionalFormatting>
  <conditionalFormatting sqref="E27:AL27">
    <cfRule type="containsBlanks" dxfId="588" priority="437" stopIfTrue="1">
      <formula>LEN(TRIM(E27))=0</formula>
    </cfRule>
  </conditionalFormatting>
  <conditionalFormatting sqref="E27:AL27">
    <cfRule type="notContainsBlanks" dxfId="587" priority="438" stopIfTrue="1">
      <formula>LEN(TRIM(E27))&gt;0</formula>
    </cfRule>
  </conditionalFormatting>
  <conditionalFormatting sqref="E29:AL29">
    <cfRule type="containsBlanks" dxfId="586" priority="439" stopIfTrue="1">
      <formula>LEN(TRIM(E29))=0</formula>
    </cfRule>
  </conditionalFormatting>
  <conditionalFormatting sqref="E29:AL29">
    <cfRule type="notContainsBlanks" dxfId="585" priority="440" stopIfTrue="1">
      <formula>LEN(TRIM(E29))&gt;0</formula>
    </cfRule>
  </conditionalFormatting>
  <conditionalFormatting sqref="E13:AL13">
    <cfRule type="containsBlanks" dxfId="584" priority="441" stopIfTrue="1">
      <formula>LEN(TRIM(E13))=0</formula>
    </cfRule>
  </conditionalFormatting>
  <conditionalFormatting sqref="E13:AL13">
    <cfRule type="notContainsBlanks" dxfId="583" priority="442" stopIfTrue="1">
      <formula>LEN(TRIM(E13))&gt;0</formula>
    </cfRule>
  </conditionalFormatting>
  <conditionalFormatting sqref="E14:AL14">
    <cfRule type="containsBlanks" dxfId="582" priority="443" stopIfTrue="1">
      <formula>LEN(TRIM(E14))=0</formula>
    </cfRule>
  </conditionalFormatting>
  <conditionalFormatting sqref="E14:AL14">
    <cfRule type="notContainsBlanks" dxfId="581" priority="444" stopIfTrue="1">
      <formula>LEN(TRIM(E14))&gt;0</formula>
    </cfRule>
  </conditionalFormatting>
  <conditionalFormatting sqref="E15:AL15">
    <cfRule type="containsBlanks" dxfId="580" priority="445" stopIfTrue="1">
      <formula>LEN(TRIM(E15))=0</formula>
    </cfRule>
  </conditionalFormatting>
  <conditionalFormatting sqref="E15:AL15">
    <cfRule type="notContainsBlanks" dxfId="579" priority="446" stopIfTrue="1">
      <formula>LEN(TRIM(E15))&gt;0</formula>
    </cfRule>
  </conditionalFormatting>
  <conditionalFormatting sqref="E17:AL17">
    <cfRule type="containsBlanks" dxfId="578" priority="447" stopIfTrue="1">
      <formula>LEN(TRIM(E17))=0</formula>
    </cfRule>
  </conditionalFormatting>
  <conditionalFormatting sqref="E17:AL17">
    <cfRule type="notContainsBlanks" dxfId="577" priority="448" stopIfTrue="1">
      <formula>LEN(TRIM(E17))&gt;0</formula>
    </cfRule>
  </conditionalFormatting>
  <conditionalFormatting sqref="E5:AL5">
    <cfRule type="containsBlanks" dxfId="576" priority="449" stopIfTrue="1">
      <formula>LEN(TRIM(E5))=0</formula>
    </cfRule>
  </conditionalFormatting>
  <conditionalFormatting sqref="E5:AL5">
    <cfRule type="notContainsBlanks" dxfId="575" priority="450" stopIfTrue="1">
      <formula>LEN(TRIM(E5))&gt;0</formula>
    </cfRule>
  </conditionalFormatting>
  <conditionalFormatting sqref="E6:AL6">
    <cfRule type="containsBlanks" dxfId="574" priority="451" stopIfTrue="1">
      <formula>LEN(TRIM(E6))=0</formula>
    </cfRule>
  </conditionalFormatting>
  <conditionalFormatting sqref="E6:AL6">
    <cfRule type="notContainsBlanks" dxfId="573" priority="452" stopIfTrue="1">
      <formula>LEN(TRIM(E6))&gt;0</formula>
    </cfRule>
  </conditionalFormatting>
  <conditionalFormatting sqref="E7:AL7">
    <cfRule type="containsBlanks" dxfId="572" priority="453" stopIfTrue="1">
      <formula>LEN(TRIM(E7))=0</formula>
    </cfRule>
  </conditionalFormatting>
  <conditionalFormatting sqref="E7:AL7">
    <cfRule type="notContainsBlanks" dxfId="571" priority="454" stopIfTrue="1">
      <formula>LEN(TRIM(E7))&gt;0</formula>
    </cfRule>
  </conditionalFormatting>
  <conditionalFormatting sqref="E9:AL9">
    <cfRule type="containsBlanks" dxfId="570" priority="455" stopIfTrue="1">
      <formula>LEN(TRIM(E9))=0</formula>
    </cfRule>
  </conditionalFormatting>
  <conditionalFormatting sqref="E9:AL9">
    <cfRule type="notContainsBlanks" dxfId="569" priority="456" stopIfTrue="1">
      <formula>LEN(TRIM(E9))&gt;0</formula>
    </cfRule>
  </conditionalFormatting>
  <pageMargins left="0.7" right="0.7" top="0.75" bottom="0.75" header="0.3" footer="0.3"/>
  <customProperties>
    <customPr name="IsPC" r:id="rId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CT188"/>
  <sheetViews>
    <sheetView tabSelected="1" topLeftCell="A57" zoomScale="85" zoomScaleNormal="85" zoomScalePageLayoutView="85" workbookViewId="0">
      <selection activeCell="E65" sqref="E65"/>
    </sheetView>
  </sheetViews>
  <sheetFormatPr defaultColWidth="8.77734375" defaultRowHeight="14.4"/>
  <cols>
    <col min="1" max="1" width="12.33203125" style="9" bestFit="1" customWidth="1"/>
    <col min="2" max="2" width="9.109375" style="9" bestFit="1" customWidth="1"/>
    <col min="3" max="3" width="27.33203125" style="9" bestFit="1" customWidth="1"/>
    <col min="4" max="4" width="7.33203125" style="9" bestFit="1" customWidth="1"/>
    <col min="5" max="6" width="6.44140625" style="9" bestFit="1" customWidth="1"/>
    <col min="7" max="10" width="7.44140625" style="9" bestFit="1" customWidth="1"/>
    <col min="11" max="11" width="6.44140625" style="9" bestFit="1" customWidth="1"/>
    <col min="12" max="54" width="7.109375" style="9" bestFit="1" customWidth="1"/>
    <col min="55" max="78" width="6.109375" style="9" bestFit="1" customWidth="1"/>
    <col min="79" max="97" width="5.77734375" style="9" bestFit="1" customWidth="1"/>
    <col min="98" max="98" width="3.6640625" style="9" customWidth="1"/>
    <col min="99" max="16384" width="8.77734375" style="9"/>
  </cols>
  <sheetData>
    <row r="1" spans="1:98" s="134" customFormat="1" ht="15">
      <c r="B1" s="135" t="s">
        <v>68</v>
      </c>
    </row>
    <row r="3" spans="1:98" ht="15">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row>
    <row r="4" spans="1:98" ht="15">
      <c r="B4" s="10"/>
      <c r="C4" s="22" t="s">
        <v>68</v>
      </c>
      <c r="D4" s="23"/>
      <c r="E4" s="24">
        <f t="array" ref="E4:AL4">_yS</f>
        <v>2019</v>
      </c>
      <c r="F4" s="24">
        <v>2020</v>
      </c>
      <c r="G4" s="24">
        <v>2021</v>
      </c>
      <c r="H4" s="24">
        <v>2022</v>
      </c>
      <c r="I4" s="24">
        <v>2023</v>
      </c>
      <c r="J4" s="24">
        <v>2024</v>
      </c>
      <c r="K4" s="24">
        <v>2025</v>
      </c>
      <c r="L4" s="24">
        <v>2026</v>
      </c>
      <c r="M4" s="24">
        <v>2027</v>
      </c>
      <c r="N4" s="24">
        <v>2028</v>
      </c>
      <c r="O4" s="24">
        <v>2029</v>
      </c>
      <c r="P4" s="24">
        <v>2030</v>
      </c>
      <c r="Q4" s="24">
        <v>2031</v>
      </c>
      <c r="R4" s="24">
        <v>2032</v>
      </c>
      <c r="S4" s="24">
        <v>2033</v>
      </c>
      <c r="T4" s="24">
        <v>2034</v>
      </c>
      <c r="U4" s="24">
        <v>2035</v>
      </c>
      <c r="V4" s="24">
        <v>2036</v>
      </c>
      <c r="W4" s="24">
        <v>2037</v>
      </c>
      <c r="X4" s="24">
        <v>2038</v>
      </c>
      <c r="Y4" s="24">
        <v>2039</v>
      </c>
      <c r="Z4" s="24">
        <v>2040</v>
      </c>
      <c r="AA4" s="24">
        <v>2041</v>
      </c>
      <c r="AB4" s="24">
        <v>2042</v>
      </c>
      <c r="AC4" s="24">
        <v>2043</v>
      </c>
      <c r="AD4" s="24">
        <v>2044</v>
      </c>
      <c r="AE4" s="24">
        <v>2045</v>
      </c>
      <c r="AF4" s="24">
        <v>2046</v>
      </c>
      <c r="AG4" s="24">
        <v>2047</v>
      </c>
      <c r="AH4" s="24">
        <v>2048</v>
      </c>
      <c r="AI4" s="24">
        <v>2049</v>
      </c>
      <c r="AJ4" s="24">
        <v>2050</v>
      </c>
      <c r="AK4" s="24">
        <v>2051</v>
      </c>
      <c r="AL4" s="25">
        <v>2052</v>
      </c>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row>
    <row r="5" spans="1:98" ht="15">
      <c r="B5" s="10"/>
      <c r="C5" s="35" t="s">
        <v>64</v>
      </c>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52"/>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row>
    <row r="6" spans="1:98" ht="15">
      <c r="B6" s="10"/>
      <c r="C6" s="48" t="str">
        <f>"Total Shipments [" &amp; sSScen &amp; "]"</f>
        <v>Total Shipments [AEO Reference]</v>
      </c>
      <c r="D6" s="12" t="str">
        <f>shpUnit</f>
        <v>th units</v>
      </c>
      <c r="E6" s="39">
        <f t="array" aca="1" ref="E6:AL6" ca="1">INDEX(tShpScenAllBC,iSScen,)</f>
        <v>857.45844334063827</v>
      </c>
      <c r="F6" s="39">
        <f ca="1"/>
        <v>859.10608001011155</v>
      </c>
      <c r="G6" s="39">
        <f ca="1"/>
        <v>858.62222289492865</v>
      </c>
      <c r="H6" s="39">
        <f ca="1"/>
        <v>857.78235242840867</v>
      </c>
      <c r="I6" s="39">
        <f ca="1"/>
        <v>857.87809192868781</v>
      </c>
      <c r="J6" s="39">
        <f ca="1"/>
        <v>826.28233696533505</v>
      </c>
      <c r="K6" s="39">
        <f ca="1"/>
        <v>826.20379617768106</v>
      </c>
      <c r="L6" s="39">
        <f ca="1"/>
        <v>825.64311814610664</v>
      </c>
      <c r="M6" s="39">
        <f ca="1"/>
        <v>824.82273955389496</v>
      </c>
      <c r="N6" s="39">
        <f ca="1"/>
        <v>823.22727231271756</v>
      </c>
      <c r="O6" s="39">
        <f ca="1"/>
        <v>821.63352494280264</v>
      </c>
      <c r="P6" s="39">
        <f ca="1"/>
        <v>820.67784981127443</v>
      </c>
      <c r="Q6" s="39">
        <f ca="1"/>
        <v>819.6768847365006</v>
      </c>
      <c r="R6" s="39">
        <f ca="1"/>
        <v>849.30740013723891</v>
      </c>
      <c r="S6" s="39">
        <f ca="1"/>
        <v>879.76345374397636</v>
      </c>
      <c r="T6" s="39">
        <f ca="1"/>
        <v>879.0302152957313</v>
      </c>
      <c r="U6" s="39">
        <f ca="1"/>
        <v>909.87266664610991</v>
      </c>
      <c r="V6" s="39">
        <f ca="1"/>
        <v>940.88882499400097</v>
      </c>
      <c r="W6" s="39">
        <f ca="1"/>
        <v>940.31782773485156</v>
      </c>
      <c r="X6" s="39">
        <f ca="1"/>
        <v>939.69580762824808</v>
      </c>
      <c r="Y6" s="39">
        <f ca="1"/>
        <v>939.0428298389196</v>
      </c>
      <c r="Z6" s="39">
        <f ca="1"/>
        <v>938.6191682179242</v>
      </c>
      <c r="AA6" s="39">
        <f ca="1"/>
        <v>940.8274829189719</v>
      </c>
      <c r="AB6" s="39">
        <f ca="1"/>
        <v>944.87835303257566</v>
      </c>
      <c r="AC6" s="39">
        <f ca="1"/>
        <v>948.95100818217134</v>
      </c>
      <c r="AD6" s="39">
        <f ca="1"/>
        <v>953.01334410419179</v>
      </c>
      <c r="AE6" s="39">
        <f ca="1"/>
        <v>957.08657254420814</v>
      </c>
      <c r="AF6" s="39">
        <f ca="1"/>
        <v>961.16438730759126</v>
      </c>
      <c r="AG6" s="39">
        <f ca="1"/>
        <v>965.2582542027576</v>
      </c>
      <c r="AH6" s="39">
        <f ca="1"/>
        <v>969.37619929559889</v>
      </c>
      <c r="AI6" s="39">
        <f ca="1"/>
        <v>973.54746039757777</v>
      </c>
      <c r="AJ6" s="39">
        <f ca="1"/>
        <v>977.76859776616902</v>
      </c>
      <c r="AK6" s="39">
        <f ca="1"/>
        <v>982.01381333243523</v>
      </c>
      <c r="AL6" s="40">
        <f ca="1"/>
        <v>986.27966735385132</v>
      </c>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row>
    <row r="7" spans="1:98" ht="15">
      <c r="A7" s="257">
        <v>1</v>
      </c>
      <c r="B7" s="10"/>
      <c r="C7" s="28" t="str">
        <f>INDEX(_SScen,1)</f>
        <v>AEO Reference</v>
      </c>
      <c r="D7" s="12" t="str">
        <f>Shipments!shpUnit</f>
        <v>th units</v>
      </c>
      <c r="E7" s="136">
        <f>J65*J66</f>
        <v>857.45844334063827</v>
      </c>
      <c r="F7" s="136">
        <f>E7*F170</f>
        <v>859.10608001011155</v>
      </c>
      <c r="G7" s="136">
        <f t="shared" ref="G7:AL9" si="0">F7*G170</f>
        <v>858.62222289492865</v>
      </c>
      <c r="H7" s="136">
        <f t="shared" si="0"/>
        <v>857.78235242840867</v>
      </c>
      <c r="I7" s="136">
        <f t="shared" si="0"/>
        <v>857.87809192868781</v>
      </c>
      <c r="J7" s="136">
        <f t="shared" si="0"/>
        <v>826.28233696533505</v>
      </c>
      <c r="K7" s="136">
        <f t="shared" si="0"/>
        <v>826.20379617768106</v>
      </c>
      <c r="L7" s="136">
        <f t="shared" si="0"/>
        <v>825.64311814610664</v>
      </c>
      <c r="M7" s="136">
        <f t="shared" si="0"/>
        <v>824.82273955389496</v>
      </c>
      <c r="N7" s="136">
        <f t="shared" si="0"/>
        <v>823.22727231271756</v>
      </c>
      <c r="O7" s="136">
        <f t="shared" si="0"/>
        <v>821.63352494280264</v>
      </c>
      <c r="P7" s="136">
        <f t="shared" si="0"/>
        <v>820.67784981127443</v>
      </c>
      <c r="Q7" s="136">
        <f t="shared" si="0"/>
        <v>819.6768847365006</v>
      </c>
      <c r="R7" s="136">
        <f t="shared" si="0"/>
        <v>849.30740013723891</v>
      </c>
      <c r="S7" s="136">
        <f t="shared" si="0"/>
        <v>879.76345374397636</v>
      </c>
      <c r="T7" s="136">
        <f t="shared" si="0"/>
        <v>879.0302152957313</v>
      </c>
      <c r="U7" s="136">
        <f t="shared" si="0"/>
        <v>909.87266664610991</v>
      </c>
      <c r="V7" s="136">
        <f t="shared" si="0"/>
        <v>940.88882499400097</v>
      </c>
      <c r="W7" s="136">
        <f t="shared" si="0"/>
        <v>940.31782773485156</v>
      </c>
      <c r="X7" s="136">
        <f t="shared" si="0"/>
        <v>939.69580762824808</v>
      </c>
      <c r="Y7" s="136">
        <f t="shared" si="0"/>
        <v>939.0428298389196</v>
      </c>
      <c r="Z7" s="136">
        <f t="shared" si="0"/>
        <v>938.6191682179242</v>
      </c>
      <c r="AA7" s="136">
        <f t="shared" si="0"/>
        <v>940.8274829189719</v>
      </c>
      <c r="AB7" s="136">
        <f t="shared" si="0"/>
        <v>944.87835303257566</v>
      </c>
      <c r="AC7" s="136">
        <f t="shared" si="0"/>
        <v>948.95100818217134</v>
      </c>
      <c r="AD7" s="136">
        <f t="shared" si="0"/>
        <v>953.01334410419179</v>
      </c>
      <c r="AE7" s="136">
        <f t="shared" si="0"/>
        <v>957.08657254420814</v>
      </c>
      <c r="AF7" s="136">
        <f t="shared" si="0"/>
        <v>961.16438730759126</v>
      </c>
      <c r="AG7" s="136">
        <f t="shared" si="0"/>
        <v>965.2582542027576</v>
      </c>
      <c r="AH7" s="136">
        <f t="shared" si="0"/>
        <v>969.37619929559889</v>
      </c>
      <c r="AI7" s="136">
        <f t="shared" si="0"/>
        <v>973.54746039757777</v>
      </c>
      <c r="AJ7" s="136">
        <f t="shared" si="0"/>
        <v>977.76859776616902</v>
      </c>
      <c r="AK7" s="136">
        <f t="shared" si="0"/>
        <v>982.01381333243523</v>
      </c>
      <c r="AL7" s="136">
        <f t="shared" si="0"/>
        <v>986.27966735385132</v>
      </c>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row>
    <row r="8" spans="1:98" ht="15">
      <c r="A8" s="257">
        <v>0.9441043165010673</v>
      </c>
      <c r="B8" s="10"/>
      <c r="C8" s="28" t="str">
        <f>INDEX(_SScen,2)</f>
        <v>AEO Low</v>
      </c>
      <c r="D8" s="12" t="str">
        <f>Shipments!shpUnit</f>
        <v>th units</v>
      </c>
      <c r="E8" s="136">
        <f>E7*A8</f>
        <v>809.53021757818249</v>
      </c>
      <c r="F8" s="136">
        <f t="shared" ref="F8:U9" si="1">E8*F171</f>
        <v>810.14994452310259</v>
      </c>
      <c r="G8" s="136">
        <f t="shared" si="1"/>
        <v>809.52677783565741</v>
      </c>
      <c r="H8" s="136">
        <f t="shared" si="1"/>
        <v>808.38019699399206</v>
      </c>
      <c r="I8" s="136">
        <f t="shared" si="1"/>
        <v>807.78913457011356</v>
      </c>
      <c r="J8" s="136">
        <f t="shared" si="1"/>
        <v>775.6321282847656</v>
      </c>
      <c r="K8" s="136">
        <f t="shared" si="1"/>
        <v>774.80830995002896</v>
      </c>
      <c r="L8" s="136">
        <f t="shared" si="1"/>
        <v>773.6812209826719</v>
      </c>
      <c r="M8" s="136">
        <f t="shared" si="1"/>
        <v>772.66019074316876</v>
      </c>
      <c r="N8" s="136">
        <f t="shared" si="1"/>
        <v>770.57284032091695</v>
      </c>
      <c r="O8" s="136">
        <f t="shared" si="1"/>
        <v>768.16272739173633</v>
      </c>
      <c r="P8" s="136">
        <f t="shared" si="1"/>
        <v>766.34768991937995</v>
      </c>
      <c r="Q8" s="136">
        <f t="shared" si="1"/>
        <v>765.11454222416887</v>
      </c>
      <c r="R8" s="136">
        <f t="shared" si="1"/>
        <v>795.21515576999002</v>
      </c>
      <c r="S8" s="136">
        <f t="shared" si="1"/>
        <v>794.27438618940346</v>
      </c>
      <c r="T8" s="136">
        <f t="shared" si="1"/>
        <v>824.3371625674497</v>
      </c>
      <c r="U8" s="136">
        <f t="shared" si="1"/>
        <v>854.68142454212477</v>
      </c>
      <c r="V8" s="136">
        <f t="shared" si="0"/>
        <v>854.00150210301706</v>
      </c>
      <c r="W8" s="136">
        <f t="shared" si="0"/>
        <v>884.60489134790862</v>
      </c>
      <c r="X8" s="136">
        <f t="shared" si="0"/>
        <v>883.5236656142182</v>
      </c>
      <c r="Y8" s="136">
        <f t="shared" si="0"/>
        <v>882.59722829415261</v>
      </c>
      <c r="Z8" s="136">
        <f t="shared" si="0"/>
        <v>850.35652160736299</v>
      </c>
      <c r="AA8" s="136">
        <f t="shared" si="0"/>
        <v>851.84936986321145</v>
      </c>
      <c r="AB8" s="136">
        <f t="shared" si="0"/>
        <v>854.09494844161316</v>
      </c>
      <c r="AC8" s="136">
        <f t="shared" si="0"/>
        <v>856.34568663380242</v>
      </c>
      <c r="AD8" s="136">
        <f t="shared" si="0"/>
        <v>858.58438572715409</v>
      </c>
      <c r="AE8" s="136">
        <f t="shared" si="0"/>
        <v>860.82652456303083</v>
      </c>
      <c r="AF8" s="136">
        <f t="shared" si="0"/>
        <v>863.07554288395761</v>
      </c>
      <c r="AG8" s="136">
        <f t="shared" si="0"/>
        <v>865.33488043245927</v>
      </c>
      <c r="AH8" s="136">
        <f t="shared" si="0"/>
        <v>867.60339062769424</v>
      </c>
      <c r="AI8" s="136">
        <f t="shared" si="0"/>
        <v>869.91604418533336</v>
      </c>
      <c r="AJ8" s="136">
        <f t="shared" si="0"/>
        <v>872.28201375210995</v>
      </c>
      <c r="AK8" s="136">
        <f t="shared" si="0"/>
        <v>874.67779442076971</v>
      </c>
      <c r="AL8" s="136">
        <f t="shared" si="0"/>
        <v>877.08389431700471</v>
      </c>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row>
    <row r="9" spans="1:98" ht="15">
      <c r="A9" s="257">
        <v>1.0189973918200363</v>
      </c>
      <c r="B9" s="10"/>
      <c r="C9" s="28" t="str">
        <f>INDEX(_SScen,3)</f>
        <v>AEO High</v>
      </c>
      <c r="D9" s="12" t="str">
        <f>Shipments!shpUnit</f>
        <v>th units</v>
      </c>
      <c r="E9" s="136">
        <f>E7*A9</f>
        <v>873.74791735817882</v>
      </c>
      <c r="F9" s="136">
        <f t="shared" si="1"/>
        <v>908.95253552067345</v>
      </c>
      <c r="G9" s="136">
        <f t="shared" si="0"/>
        <v>910.94529302348803</v>
      </c>
      <c r="H9" s="136">
        <f t="shared" si="0"/>
        <v>942.35702176175357</v>
      </c>
      <c r="I9" s="136">
        <f t="shared" si="0"/>
        <v>911.64184088479976</v>
      </c>
      <c r="J9" s="136">
        <f t="shared" si="0"/>
        <v>911.56100693546227</v>
      </c>
      <c r="K9" s="136">
        <f t="shared" si="0"/>
        <v>911.3420099947042</v>
      </c>
      <c r="L9" s="136">
        <f t="shared" si="0"/>
        <v>880.18539549370905</v>
      </c>
      <c r="M9" s="136">
        <f t="shared" si="0"/>
        <v>880.43076379382546</v>
      </c>
      <c r="N9" s="136">
        <f t="shared" si="0"/>
        <v>878.75388931288978</v>
      </c>
      <c r="O9" s="136">
        <f t="shared" si="0"/>
        <v>877.17332762265403</v>
      </c>
      <c r="P9" s="136">
        <f t="shared" si="0"/>
        <v>875.9648314155387</v>
      </c>
      <c r="Q9" s="136">
        <f t="shared" si="0"/>
        <v>875.13126714364796</v>
      </c>
      <c r="R9" s="136">
        <f t="shared" si="0"/>
        <v>905.23818688409824</v>
      </c>
      <c r="S9" s="136">
        <f t="shared" si="0"/>
        <v>935.7022665567273</v>
      </c>
      <c r="T9" s="136">
        <f t="shared" si="0"/>
        <v>966.62039224265595</v>
      </c>
      <c r="U9" s="136">
        <f t="shared" si="0"/>
        <v>998.23105275695048</v>
      </c>
      <c r="V9" s="136">
        <f t="shared" si="0"/>
        <v>1030.1736484249072</v>
      </c>
      <c r="W9" s="136">
        <f t="shared" si="0"/>
        <v>1030.6643850251401</v>
      </c>
      <c r="X9" s="136">
        <f t="shared" si="0"/>
        <v>1030.6213882435777</v>
      </c>
      <c r="Y9" s="136">
        <f t="shared" si="0"/>
        <v>1030.4981308030988</v>
      </c>
      <c r="Z9" s="136">
        <f t="shared" si="0"/>
        <v>1030.593297012957</v>
      </c>
      <c r="AA9" s="136">
        <f t="shared" si="0"/>
        <v>1035.1142652716437</v>
      </c>
      <c r="AB9" s="136">
        <f t="shared" si="0"/>
        <v>1041.2307007715078</v>
      </c>
      <c r="AC9" s="136">
        <f t="shared" si="0"/>
        <v>1047.3803871157802</v>
      </c>
      <c r="AD9" s="136">
        <f t="shared" si="0"/>
        <v>1053.5340864929985</v>
      </c>
      <c r="AE9" s="136">
        <f t="shared" si="0"/>
        <v>1059.7256230379919</v>
      </c>
      <c r="AF9" s="136">
        <f t="shared" si="0"/>
        <v>1065.9538501699185</v>
      </c>
      <c r="AG9" s="136">
        <f t="shared" si="0"/>
        <v>1072.1958362719449</v>
      </c>
      <c r="AH9" s="136">
        <f t="shared" si="0"/>
        <v>1078.4521546344922</v>
      </c>
      <c r="AI9" s="136">
        <f t="shared" si="0"/>
        <v>1084.7973330122686</v>
      </c>
      <c r="AJ9" s="136">
        <f t="shared" si="0"/>
        <v>1091.2187590160156</v>
      </c>
      <c r="AK9" s="136">
        <f t="shared" si="0"/>
        <v>1097.6963674810042</v>
      </c>
      <c r="AL9" s="136">
        <f t="shared" si="0"/>
        <v>1104.2106665329263</v>
      </c>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row>
    <row r="10" spans="1:98" ht="15">
      <c r="B10" s="10"/>
      <c r="C10" s="48" t="s">
        <v>60</v>
      </c>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5"/>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row>
    <row r="11" spans="1:98" ht="15">
      <c r="B11" s="10"/>
      <c r="C11" s="28" t="str">
        <f>INDEX(_pcName,1)</f>
        <v>Axial Cylindrical Housed</v>
      </c>
      <c r="D11" s="12" t="str">
        <f t="shared" ref="D11:D17" si="2">shpUnit</f>
        <v>th units</v>
      </c>
      <c r="E11" s="39">
        <f t="array" aca="1" ref="E11:AL11" ca="1">tShpAllBC*tMktAxHBC</f>
        <v>43.660697705118004</v>
      </c>
      <c r="F11" s="39">
        <f ca="1"/>
        <v>43.744593277098701</v>
      </c>
      <c r="G11" s="39">
        <f ca="1"/>
        <v>43.719955885744589</v>
      </c>
      <c r="H11" s="39">
        <f ca="1"/>
        <v>43.677190745538702</v>
      </c>
      <c r="I11" s="39">
        <f ca="1"/>
        <v>43.682065679609956</v>
      </c>
      <c r="J11" s="39">
        <f ca="1"/>
        <v>42.073249862431162</v>
      </c>
      <c r="K11" s="39">
        <f ca="1"/>
        <v>42.069250665019418</v>
      </c>
      <c r="L11" s="39">
        <f ca="1"/>
        <v>42.040701649919519</v>
      </c>
      <c r="M11" s="39">
        <f ca="1"/>
        <v>41.998929011261069</v>
      </c>
      <c r="N11" s="39">
        <f ca="1"/>
        <v>41.917689840480882</v>
      </c>
      <c r="O11" s="39">
        <f ca="1"/>
        <v>41.83653824336664</v>
      </c>
      <c r="P11" s="39">
        <f ca="1"/>
        <v>41.787876476320072</v>
      </c>
      <c r="Q11" s="39">
        <f ca="1"/>
        <v>41.736908602736818</v>
      </c>
      <c r="R11" s="39">
        <f ca="1"/>
        <v>43.245656910956043</v>
      </c>
      <c r="S11" s="39">
        <f ca="1"/>
        <v>44.796440578831572</v>
      </c>
      <c r="T11" s="39">
        <f ca="1"/>
        <v>44.75910500591462</v>
      </c>
      <c r="U11" s="39">
        <f ca="1"/>
        <v>46.329563557407049</v>
      </c>
      <c r="V11" s="39">
        <f ca="1"/>
        <v>47.908867049160492</v>
      </c>
      <c r="W11" s="39">
        <f ca="1"/>
        <v>47.879792592064888</v>
      </c>
      <c r="X11" s="39">
        <f ca="1"/>
        <v>47.848120116212748</v>
      </c>
      <c r="Y11" s="39">
        <f ca="1"/>
        <v>47.814871314373491</v>
      </c>
      <c r="Z11" s="39">
        <f ca="1"/>
        <v>47.793299001327654</v>
      </c>
      <c r="AA11" s="39">
        <f ca="1"/>
        <v>47.905743588408257</v>
      </c>
      <c r="AB11" s="39">
        <f ca="1"/>
        <v>48.112008762943937</v>
      </c>
      <c r="AC11" s="39">
        <f ca="1"/>
        <v>48.31938320391501</v>
      </c>
      <c r="AD11" s="39">
        <f ca="1"/>
        <v>48.526232202890363</v>
      </c>
      <c r="AE11" s="39">
        <f ca="1"/>
        <v>48.733635835083405</v>
      </c>
      <c r="AF11" s="39">
        <f ca="1"/>
        <v>48.94127299705233</v>
      </c>
      <c r="AG11" s="39">
        <f ca="1"/>
        <v>49.149727513236783</v>
      </c>
      <c r="AH11" s="39">
        <f ca="1"/>
        <v>49.359408060744542</v>
      </c>
      <c r="AI11" s="39">
        <f ca="1"/>
        <v>49.571803391896779</v>
      </c>
      <c r="AJ11" s="39">
        <f ca="1"/>
        <v>49.786738359361586</v>
      </c>
      <c r="AK11" s="39">
        <f ca="1"/>
        <v>50.002899358149691</v>
      </c>
      <c r="AL11" s="40">
        <f ca="1"/>
        <v>50.220111240929207</v>
      </c>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row>
    <row r="12" spans="1:98" ht="15">
      <c r="B12" s="10"/>
      <c r="C12" s="28" t="str">
        <f>INDEX(_pcName,2)</f>
        <v>Panel</v>
      </c>
      <c r="D12" s="12" t="str">
        <f t="shared" si="2"/>
        <v>th units</v>
      </c>
      <c r="E12" s="39">
        <f t="array" aca="1" ref="E12:AL12" ca="1">tShpAllBC*tMktPanBC</f>
        <v>39.313615843577466</v>
      </c>
      <c r="F12" s="39">
        <f ca="1"/>
        <v>39.389158344297506</v>
      </c>
      <c r="G12" s="39">
        <f ca="1"/>
        <v>39.366973977349794</v>
      </c>
      <c r="H12" s="39">
        <f ca="1"/>
        <v>39.32846675273084</v>
      </c>
      <c r="I12" s="39">
        <f ca="1"/>
        <v>39.332856313489458</v>
      </c>
      <c r="J12" s="39">
        <f ca="1"/>
        <v>37.884222408763186</v>
      </c>
      <c r="K12" s="39">
        <f ca="1"/>
        <v>37.880621391853431</v>
      </c>
      <c r="L12" s="39">
        <f ca="1"/>
        <v>37.854914862380852</v>
      </c>
      <c r="M12" s="39">
        <f ca="1"/>
        <v>37.817301320790605</v>
      </c>
      <c r="N12" s="39">
        <f ca="1"/>
        <v>37.744150736412088</v>
      </c>
      <c r="O12" s="39">
        <f ca="1"/>
        <v>37.671079006418452</v>
      </c>
      <c r="P12" s="39">
        <f ca="1"/>
        <v>37.627262253217232</v>
      </c>
      <c r="Q12" s="39">
        <f ca="1"/>
        <v>37.581369001214043</v>
      </c>
      <c r="R12" s="39">
        <f ca="1"/>
        <v>38.939898628811477</v>
      </c>
      <c r="S12" s="39">
        <f ca="1"/>
        <v>40.336278361153809</v>
      </c>
      <c r="T12" s="39">
        <f ca="1"/>
        <v>40.302660108397745</v>
      </c>
      <c r="U12" s="39">
        <f ca="1"/>
        <v>41.716755792544291</v>
      </c>
      <c r="V12" s="39">
        <f ca="1"/>
        <v>43.138815769564253</v>
      </c>
      <c r="W12" s="39">
        <f ca="1"/>
        <v>43.112636113782358</v>
      </c>
      <c r="X12" s="39">
        <f ca="1"/>
        <v>43.084117111248872</v>
      </c>
      <c r="Y12" s="39">
        <f ca="1"/>
        <v>43.054178729787452</v>
      </c>
      <c r="Z12" s="39">
        <f ca="1"/>
        <v>43.034754266310728</v>
      </c>
      <c r="AA12" s="39">
        <f ca="1"/>
        <v>43.136003296503347</v>
      </c>
      <c r="AB12" s="39">
        <f ca="1"/>
        <v>43.321731657702983</v>
      </c>
      <c r="AC12" s="39">
        <f ca="1"/>
        <v>43.508458841111178</v>
      </c>
      <c r="AD12" s="39">
        <f ca="1"/>
        <v>43.694712898210049</v>
      </c>
      <c r="AE12" s="39">
        <f ca="1"/>
        <v>43.881466366413193</v>
      </c>
      <c r="AF12" s="39">
        <f ca="1"/>
        <v>44.068430112976046</v>
      </c>
      <c r="AG12" s="39">
        <f ca="1"/>
        <v>44.256129833797814</v>
      </c>
      <c r="AH12" s="39">
        <f ca="1"/>
        <v>44.444933516007978</v>
      </c>
      <c r="AI12" s="39">
        <f ca="1"/>
        <v>44.636181684149591</v>
      </c>
      <c r="AJ12" s="39">
        <f ca="1"/>
        <v>44.829716629452868</v>
      </c>
      <c r="AK12" s="39">
        <f ca="1"/>
        <v>45.02435553614454</v>
      </c>
      <c r="AL12" s="40">
        <f ca="1"/>
        <v>45.219940695454831</v>
      </c>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row>
    <row r="13" spans="1:98" ht="15">
      <c r="B13" s="10"/>
      <c r="C13" s="28" t="str">
        <f>INDEX(_pcName,3)</f>
        <v>Centrif Housed</v>
      </c>
      <c r="D13" s="12" t="str">
        <f t="shared" si="2"/>
        <v>th units</v>
      </c>
      <c r="E13" s="39">
        <f t="array" aca="1" ref="E13:AL13" ca="1">tShpAllBC*tMktCnHBC</f>
        <v>111.77900085105475</v>
      </c>
      <c r="F13" s="39">
        <f ca="1"/>
        <v>111.99378814729008</v>
      </c>
      <c r="G13" s="39">
        <f ca="1"/>
        <v>111.93071212849306</v>
      </c>
      <c r="H13" s="39">
        <f ca="1"/>
        <v>111.82122591103142</v>
      </c>
      <c r="I13" s="39">
        <f ca="1"/>
        <v>111.83370659247585</v>
      </c>
      <c r="J13" s="39">
        <f ca="1"/>
        <v>107.71485751195512</v>
      </c>
      <c r="K13" s="39">
        <f ca="1"/>
        <v>107.70461886909354</v>
      </c>
      <c r="L13" s="39">
        <f ca="1"/>
        <v>107.6315284112932</v>
      </c>
      <c r="M13" s="39">
        <f ca="1"/>
        <v>107.52458317089211</v>
      </c>
      <c r="N13" s="39">
        <f ca="1"/>
        <v>107.31659672502472</v>
      </c>
      <c r="O13" s="39">
        <f ca="1"/>
        <v>107.10883448301563</v>
      </c>
      <c r="P13" s="39">
        <f ca="1"/>
        <v>106.98425187242958</v>
      </c>
      <c r="Q13" s="39">
        <f ca="1"/>
        <v>106.85376522690876</v>
      </c>
      <c r="R13" s="39">
        <f ca="1"/>
        <v>110.71642403203123</v>
      </c>
      <c r="S13" s="39">
        <f ca="1"/>
        <v>114.68670068912964</v>
      </c>
      <c r="T13" s="39">
        <f ca="1"/>
        <v>114.59111511088156</v>
      </c>
      <c r="U13" s="39">
        <f ca="1"/>
        <v>118.61176290147425</v>
      </c>
      <c r="V13" s="39">
        <f ca="1"/>
        <v>122.65505528175356</v>
      </c>
      <c r="W13" s="39">
        <f ca="1"/>
        <v>122.58061960080353</v>
      </c>
      <c r="X13" s="39">
        <f ca="1"/>
        <v>122.49953253872444</v>
      </c>
      <c r="Y13" s="39">
        <f ca="1"/>
        <v>122.41440980719625</v>
      </c>
      <c r="Z13" s="39">
        <f ca="1"/>
        <v>122.35918092343914</v>
      </c>
      <c r="AA13" s="39">
        <f ca="1"/>
        <v>122.6470586774748</v>
      </c>
      <c r="AB13" s="39">
        <f ca="1"/>
        <v>123.17513349835116</v>
      </c>
      <c r="AC13" s="39">
        <f ca="1"/>
        <v>123.7060482347658</v>
      </c>
      <c r="AD13" s="39">
        <f ca="1"/>
        <v>124.23561774803072</v>
      </c>
      <c r="AE13" s="39">
        <f ca="1"/>
        <v>124.76660721906477</v>
      </c>
      <c r="AF13" s="39">
        <f ca="1"/>
        <v>125.29819456705425</v>
      </c>
      <c r="AG13" s="39">
        <f ca="1"/>
        <v>125.83187448438771</v>
      </c>
      <c r="AH13" s="39">
        <f ca="1"/>
        <v>126.36869325573713</v>
      </c>
      <c r="AI13" s="39">
        <f ca="1"/>
        <v>126.91246234669335</v>
      </c>
      <c r="AJ13" s="39">
        <f ca="1"/>
        <v>127.46273334953976</v>
      </c>
      <c r="AK13" s="39">
        <f ca="1"/>
        <v>128.01614320640215</v>
      </c>
      <c r="AL13" s="40">
        <f ca="1"/>
        <v>128.57224350956389</v>
      </c>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row>
    <row r="14" spans="1:98" ht="15">
      <c r="B14" s="10"/>
      <c r="C14" s="28" t="str">
        <f>INDEX(_pcName,4)</f>
        <v>Centrif Unhous</v>
      </c>
      <c r="D14" s="12" t="str">
        <f t="shared" si="2"/>
        <v>th units</v>
      </c>
      <c r="E14" s="39">
        <f t="array" aca="1" ref="E14:AL14" ca="1">tShpAllBC*tMktCnUBC</f>
        <v>137.61391625731923</v>
      </c>
      <c r="F14" s="39">
        <f ca="1"/>
        <v>137.87834625554984</v>
      </c>
      <c r="G14" s="39">
        <f ca="1"/>
        <v>137.80069179538748</v>
      </c>
      <c r="H14" s="39">
        <f ca="1"/>
        <v>137.66590058195399</v>
      </c>
      <c r="I14" s="39">
        <f ca="1"/>
        <v>137.68126586020887</v>
      </c>
      <c r="J14" s="39">
        <f ca="1"/>
        <v>132.61044801313767</v>
      </c>
      <c r="K14" s="39">
        <f ca="1"/>
        <v>132.59784296450943</v>
      </c>
      <c r="L14" s="39">
        <f ca="1"/>
        <v>132.50785947868147</v>
      </c>
      <c r="M14" s="39">
        <f ca="1"/>
        <v>132.37619652549148</v>
      </c>
      <c r="N14" s="39">
        <f ca="1"/>
        <v>132.12013922379501</v>
      </c>
      <c r="O14" s="39">
        <f ca="1"/>
        <v>131.86435794506116</v>
      </c>
      <c r="P14" s="39">
        <f ca="1"/>
        <v>131.71098118547505</v>
      </c>
      <c r="Q14" s="39">
        <f ca="1"/>
        <v>131.55033582120555</v>
      </c>
      <c r="R14" s="39">
        <f ca="1"/>
        <v>136.30575142960785</v>
      </c>
      <c r="S14" s="39">
        <f ca="1"/>
        <v>141.1936580600881</v>
      </c>
      <c r="T14" s="39">
        <f ca="1"/>
        <v>141.0759802703397</v>
      </c>
      <c r="U14" s="39">
        <f ca="1"/>
        <v>146.02590005976478</v>
      </c>
      <c r="V14" s="39">
        <f ca="1"/>
        <v>151.00369816841877</v>
      </c>
      <c r="W14" s="39">
        <f ca="1"/>
        <v>150.91205854481484</v>
      </c>
      <c r="X14" s="39">
        <f ca="1"/>
        <v>150.81223023998527</v>
      </c>
      <c r="Y14" s="39">
        <f ca="1"/>
        <v>150.70743352182777</v>
      </c>
      <c r="Z14" s="39">
        <f ca="1"/>
        <v>150.63943986535858</v>
      </c>
      <c r="AA14" s="39">
        <f ca="1"/>
        <v>150.99385334941715</v>
      </c>
      <c r="AB14" s="39">
        <f ca="1"/>
        <v>151.64397943414133</v>
      </c>
      <c r="AC14" s="39">
        <f ca="1"/>
        <v>152.29760180972596</v>
      </c>
      <c r="AD14" s="39">
        <f ca="1"/>
        <v>152.94956804753457</v>
      </c>
      <c r="AE14" s="39">
        <f ca="1"/>
        <v>153.60328243077339</v>
      </c>
      <c r="AF14" s="39">
        <f ca="1"/>
        <v>154.25773287524598</v>
      </c>
      <c r="AG14" s="39">
        <f ca="1"/>
        <v>154.91475953403676</v>
      </c>
      <c r="AH14" s="39">
        <f ca="1"/>
        <v>155.57565051430478</v>
      </c>
      <c r="AI14" s="39">
        <f ca="1"/>
        <v>156.24509820641538</v>
      </c>
      <c r="AJ14" s="39">
        <f ca="1"/>
        <v>156.92255056444318</v>
      </c>
      <c r="AK14" s="39">
        <f ca="1"/>
        <v>157.60386724394826</v>
      </c>
      <c r="AL14" s="40">
        <f ca="1"/>
        <v>158.28849619900524</v>
      </c>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row>
    <row r="15" spans="1:98" ht="15">
      <c r="B15" s="10"/>
      <c r="C15" s="28" t="str">
        <f>INDEX(_pcName,5)</f>
        <v>Inline-Mixed</v>
      </c>
      <c r="D15" s="12" t="str">
        <f t="shared" si="2"/>
        <v>th units</v>
      </c>
      <c r="E15" s="39">
        <f t="array" aca="1" ref="E15:AL15" ca="1">tShpAllBC*tMktInMxBC</f>
        <v>33.788668735799874</v>
      </c>
      <c r="F15" s="39">
        <f ca="1"/>
        <v>33.853594855606794</v>
      </c>
      <c r="G15" s="39">
        <f ca="1"/>
        <v>33.834528173241779</v>
      </c>
      <c r="H15" s="39">
        <f ca="1"/>
        <v>33.801432569373603</v>
      </c>
      <c r="I15" s="39">
        <f ca="1"/>
        <v>33.805205242306016</v>
      </c>
      <c r="J15" s="39">
        <f ca="1"/>
        <v>32.560155402042071</v>
      </c>
      <c r="K15" s="39">
        <f ca="1"/>
        <v>32.557060454786146</v>
      </c>
      <c r="L15" s="39">
        <f ca="1"/>
        <v>32.534966597732854</v>
      </c>
      <c r="M15" s="39">
        <f ca="1"/>
        <v>32.502639082964684</v>
      </c>
      <c r="N15" s="39">
        <f ca="1"/>
        <v>32.439768731043095</v>
      </c>
      <c r="O15" s="39">
        <f ca="1"/>
        <v>32.376966151689153</v>
      </c>
      <c r="P15" s="39">
        <f ca="1"/>
        <v>32.339307194932672</v>
      </c>
      <c r="Q15" s="39">
        <f ca="1"/>
        <v>32.299863560561455</v>
      </c>
      <c r="R15" s="39">
        <f ca="1"/>
        <v>33.467471946859462</v>
      </c>
      <c r="S15" s="39">
        <f ca="1"/>
        <v>34.667611165628578</v>
      </c>
      <c r="T15" s="39">
        <f ca="1"/>
        <v>34.638717460954588</v>
      </c>
      <c r="U15" s="39">
        <f ca="1"/>
        <v>35.854082916588645</v>
      </c>
      <c r="V15" s="39">
        <f ca="1"/>
        <v>37.076293401555169</v>
      </c>
      <c r="W15" s="39">
        <f ca="1"/>
        <v>37.053792909095989</v>
      </c>
      <c r="X15" s="39">
        <f ca="1"/>
        <v>37.029281830463248</v>
      </c>
      <c r="Y15" s="39">
        <f ca="1"/>
        <v>37.003550845612835</v>
      </c>
      <c r="Z15" s="39">
        <f ca="1"/>
        <v>36.986856203115508</v>
      </c>
      <c r="AA15" s="39">
        <f ca="1"/>
        <v>37.07387617997572</v>
      </c>
      <c r="AB15" s="39">
        <f ca="1"/>
        <v>37.233503167642965</v>
      </c>
      <c r="AC15" s="39">
        <f ca="1"/>
        <v>37.393988607833762</v>
      </c>
      <c r="AD15" s="39">
        <f ca="1"/>
        <v>37.554067412618664</v>
      </c>
      <c r="AE15" s="39">
        <f ca="1"/>
        <v>37.714575443665332</v>
      </c>
      <c r="AF15" s="39">
        <f ca="1"/>
        <v>37.875264201559077</v>
      </c>
      <c r="AG15" s="39">
        <f ca="1"/>
        <v>38.036585503417527</v>
      </c>
      <c r="AH15" s="39">
        <f ca="1"/>
        <v>38.198855621223053</v>
      </c>
      <c r="AI15" s="39">
        <f ca="1"/>
        <v>38.363226688625673</v>
      </c>
      <c r="AJ15" s="39">
        <f ca="1"/>
        <v>38.529563160490092</v>
      </c>
      <c r="AK15" s="39">
        <f ca="1"/>
        <v>38.69684844830158</v>
      </c>
      <c r="AL15" s="40">
        <f ca="1"/>
        <v>38.864947006924844</v>
      </c>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row>
    <row r="16" spans="1:98" ht="15">
      <c r="B16" s="10"/>
      <c r="C16" s="28" t="str">
        <f>INDEX(_pcName,6)</f>
        <v>Radial</v>
      </c>
      <c r="D16" s="12" t="str">
        <f t="shared" si="2"/>
        <v>th units</v>
      </c>
      <c r="E16" s="39">
        <f t="array" aca="1" ref="E16:AL16" ca="1">tShpAllBC*tMktRadBC</f>
        <v>45.901587716558311</v>
      </c>
      <c r="F16" s="39">
        <f ca="1"/>
        <v>45.989789237805454</v>
      </c>
      <c r="G16" s="39">
        <f ca="1"/>
        <v>45.963887329686941</v>
      </c>
      <c r="H16" s="39">
        <f ca="1"/>
        <v>45.918927264054702</v>
      </c>
      <c r="I16" s="39">
        <f ca="1"/>
        <v>45.924052404642133</v>
      </c>
      <c r="J16" s="39">
        <f ca="1"/>
        <v>44.232663942396776</v>
      </c>
      <c r="K16" s="39">
        <f ca="1"/>
        <v>44.228459485747216</v>
      </c>
      <c r="L16" s="39">
        <f ca="1"/>
        <v>44.198445189372926</v>
      </c>
      <c r="M16" s="39">
        <f ca="1"/>
        <v>44.154528565536928</v>
      </c>
      <c r="N16" s="39">
        <f ca="1"/>
        <v>44.069119785567977</v>
      </c>
      <c r="O16" s="39">
        <f ca="1"/>
        <v>43.983803073992817</v>
      </c>
      <c r="P16" s="39">
        <f ca="1"/>
        <v>43.932643736512304</v>
      </c>
      <c r="Q16" s="39">
        <f ca="1"/>
        <v>43.879059931328769</v>
      </c>
      <c r="R16" s="39">
        <f ca="1"/>
        <v>45.465244908941159</v>
      </c>
      <c r="S16" s="39">
        <f ca="1"/>
        <v>47.095622715570897</v>
      </c>
      <c r="T16" s="39">
        <f ca="1"/>
        <v>47.056370890353399</v>
      </c>
      <c r="U16" s="39">
        <f ca="1"/>
        <v>48.707433396120422</v>
      </c>
      <c r="V16" s="39">
        <f ca="1"/>
        <v>50.367794809659856</v>
      </c>
      <c r="W16" s="39">
        <f ca="1"/>
        <v>50.33722810292285</v>
      </c>
      <c r="X16" s="39">
        <f ca="1"/>
        <v>50.303930033836863</v>
      </c>
      <c r="Y16" s="39">
        <f ca="1"/>
        <v>50.268974733662716</v>
      </c>
      <c r="Z16" s="39">
        <f ca="1"/>
        <v>50.246295219326726</v>
      </c>
      <c r="AA16" s="39">
        <f ca="1"/>
        <v>50.364511036948151</v>
      </c>
      <c r="AB16" s="39">
        <f ca="1"/>
        <v>50.581362793779121</v>
      </c>
      <c r="AC16" s="39">
        <f ca="1"/>
        <v>50.799380750264731</v>
      </c>
      <c r="AD16" s="39">
        <f ca="1"/>
        <v>51.016846296387612</v>
      </c>
      <c r="AE16" s="39">
        <f ca="1"/>
        <v>51.23489494233781</v>
      </c>
      <c r="AF16" s="39">
        <f ca="1"/>
        <v>51.453189104004778</v>
      </c>
      <c r="AG16" s="39">
        <f ca="1"/>
        <v>51.672342570680414</v>
      </c>
      <c r="AH16" s="39">
        <f ca="1"/>
        <v>51.892784994869046</v>
      </c>
      <c r="AI16" s="39">
        <f ca="1"/>
        <v>52.116081539265068</v>
      </c>
      <c r="AJ16" s="39">
        <f ca="1"/>
        <v>52.342048067080874</v>
      </c>
      <c r="AK16" s="39">
        <f ca="1"/>
        <v>52.569303552409693</v>
      </c>
      <c r="AL16" s="40">
        <f ca="1"/>
        <v>52.797663858463935</v>
      </c>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row>
    <row r="17" spans="2:98" ht="15">
      <c r="B17" s="10"/>
      <c r="C17" s="45" t="str">
        <f>INDEX(_pcName,7)</f>
        <v>Power Roof Vent</v>
      </c>
      <c r="D17" s="18" t="str">
        <f t="shared" si="2"/>
        <v>th units</v>
      </c>
      <c r="E17" s="49">
        <f t="array" aca="1" ref="E17:AL17" ca="1">tShpAllBC*tMktPRVBC</f>
        <v>86.065476968546832</v>
      </c>
      <c r="F17" s="49">
        <f ca="1"/>
        <v>86.230854820885213</v>
      </c>
      <c r="G17" s="49">
        <f ca="1"/>
        <v>86.182288743163014</v>
      </c>
      <c r="H17" s="49">
        <f ca="1"/>
        <v>86.097988620102555</v>
      </c>
      <c r="I17" s="49">
        <f ca="1"/>
        <v>86.107598258704002</v>
      </c>
      <c r="J17" s="49">
        <f ca="1"/>
        <v>82.936244891993951</v>
      </c>
      <c r="K17" s="49">
        <f ca="1"/>
        <v>82.92836153577602</v>
      </c>
      <c r="L17" s="49">
        <f ca="1"/>
        <v>82.872084730074235</v>
      </c>
      <c r="M17" s="49">
        <f ca="1"/>
        <v>82.789741060381743</v>
      </c>
      <c r="N17" s="49">
        <f ca="1"/>
        <v>82.629599597939958</v>
      </c>
      <c r="O17" s="49">
        <f ca="1"/>
        <v>82.469630763736518</v>
      </c>
      <c r="P17" s="49">
        <f ca="1"/>
        <v>82.373707005960568</v>
      </c>
      <c r="Q17" s="49">
        <f ca="1"/>
        <v>82.273237371241436</v>
      </c>
      <c r="R17" s="49">
        <f ca="1"/>
        <v>85.247334204264661</v>
      </c>
      <c r="S17" s="49">
        <f ca="1"/>
        <v>88.304292591695429</v>
      </c>
      <c r="T17" s="49">
        <f ca="1"/>
        <v>88.230695419412612</v>
      </c>
      <c r="U17" s="49">
        <f ca="1"/>
        <v>91.326437617725787</v>
      </c>
      <c r="V17" s="49">
        <f ca="1"/>
        <v>94.43961526811222</v>
      </c>
      <c r="W17" s="49">
        <f ca="1"/>
        <v>94.382302692980346</v>
      </c>
      <c r="X17" s="49">
        <f ca="1"/>
        <v>94.319868813444117</v>
      </c>
      <c r="Y17" s="49">
        <f ca="1"/>
        <v>94.254327625617591</v>
      </c>
      <c r="Z17" s="49">
        <f ca="1"/>
        <v>94.211803536237611</v>
      </c>
      <c r="AA17" s="49">
        <f ca="1"/>
        <v>94.433458194277776</v>
      </c>
      <c r="AB17" s="49">
        <f ca="1"/>
        <v>94.84005523833585</v>
      </c>
      <c r="AC17" s="49">
        <f ca="1"/>
        <v>95.248838906746371</v>
      </c>
      <c r="AD17" s="49">
        <f ca="1"/>
        <v>95.656586805726775</v>
      </c>
      <c r="AE17" s="49">
        <f ca="1"/>
        <v>96.065428016883388</v>
      </c>
      <c r="AF17" s="49">
        <f ca="1"/>
        <v>96.474729570008961</v>
      </c>
      <c r="AG17" s="49">
        <f ca="1"/>
        <v>96.885642320025767</v>
      </c>
      <c r="AH17" s="49">
        <f ca="1"/>
        <v>97.298971865379457</v>
      </c>
      <c r="AI17" s="49">
        <f ca="1"/>
        <v>97.717652886121996</v>
      </c>
      <c r="AJ17" s="49">
        <f ca="1"/>
        <v>98.141340125776637</v>
      </c>
      <c r="AK17" s="49">
        <f ca="1"/>
        <v>98.567444160768162</v>
      </c>
      <c r="AL17" s="50">
        <f ca="1"/>
        <v>98.995619734619865</v>
      </c>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row>
    <row r="18" spans="2:98" ht="15">
      <c r="B18" s="10"/>
      <c r="C18" s="53" t="str">
        <f>"Standards Case [TSL " &amp; sTSL &amp; "]"</f>
        <v>Standards Case [TSL 5]</v>
      </c>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5"/>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row>
    <row r="19" spans="2:98" ht="15">
      <c r="B19" s="10"/>
      <c r="C19" s="48" t="str">
        <f>"Total Shipments [" &amp; sSScen &amp; "]"</f>
        <v>Total Shipments [AEO Reference]</v>
      </c>
      <c r="D19" s="12" t="str">
        <f>shpUnit</f>
        <v>th units</v>
      </c>
      <c r="E19" s="39">
        <f t="array" aca="1" ref="E19:AL19" ca="1">N(_yS&gt;=yearC)*(tShpAxHStd+tShpPanStd+tShpCnHStd+tShpCnUStd+tShpInMxStd+tShpRadStd+tShpPRVStd)</f>
        <v>0</v>
      </c>
      <c r="F19" s="39">
        <f ca="1"/>
        <v>0</v>
      </c>
      <c r="G19" s="39">
        <f ca="1"/>
        <v>0</v>
      </c>
      <c r="H19" s="39">
        <f ca="1"/>
        <v>498.31113244478581</v>
      </c>
      <c r="I19" s="39">
        <f ca="1"/>
        <v>498.36675035143628</v>
      </c>
      <c r="J19" s="39">
        <f ca="1"/>
        <v>480.01184203271993</v>
      </c>
      <c r="K19" s="39">
        <f ca="1"/>
        <v>479.96621536678526</v>
      </c>
      <c r="L19" s="39">
        <f ca="1"/>
        <v>479.64050091945506</v>
      </c>
      <c r="M19" s="39">
        <f ca="1"/>
        <v>479.16391873731857</v>
      </c>
      <c r="N19" s="39">
        <f ca="1"/>
        <v>478.23706464026372</v>
      </c>
      <c r="O19" s="39">
        <f ca="1"/>
        <v>477.31120966728037</v>
      </c>
      <c r="P19" s="39">
        <f ca="1"/>
        <v>476.75602972484751</v>
      </c>
      <c r="Q19" s="39">
        <f ca="1"/>
        <v>476.17453951519678</v>
      </c>
      <c r="R19" s="39">
        <f ca="1"/>
        <v>493.38778206147185</v>
      </c>
      <c r="S19" s="39">
        <f ca="1"/>
        <v>511.08060416209798</v>
      </c>
      <c r="T19" s="39">
        <f ca="1"/>
        <v>510.65464426625419</v>
      </c>
      <c r="U19" s="39">
        <f ca="1"/>
        <v>528.57193624162517</v>
      </c>
      <c r="V19" s="39">
        <f ca="1"/>
        <v>546.59013974822437</v>
      </c>
      <c r="W19" s="39">
        <f ca="1"/>
        <v>546.25843055646476</v>
      </c>
      <c r="X19" s="39">
        <f ca="1"/>
        <v>545.89708068391553</v>
      </c>
      <c r="Y19" s="39">
        <f ca="1"/>
        <v>545.51774657807812</v>
      </c>
      <c r="Z19" s="39">
        <f ca="1"/>
        <v>545.27162901511599</v>
      </c>
      <c r="AA19" s="39">
        <f ca="1"/>
        <v>546.55450432300518</v>
      </c>
      <c r="AB19" s="39">
        <f ca="1"/>
        <v>548.90777455289731</v>
      </c>
      <c r="AC19" s="39">
        <f ca="1"/>
        <v>551.27370035436286</v>
      </c>
      <c r="AD19" s="39">
        <f ca="1"/>
        <v>553.63363141139871</v>
      </c>
      <c r="AE19" s="39">
        <f ca="1"/>
        <v>555.99989025422133</v>
      </c>
      <c r="AF19" s="39">
        <f ca="1"/>
        <v>558.36881342790139</v>
      </c>
      <c r="AG19" s="39">
        <f ca="1"/>
        <v>560.74706175958283</v>
      </c>
      <c r="AH19" s="39">
        <f ca="1"/>
        <v>563.13929782826597</v>
      </c>
      <c r="AI19" s="39">
        <f ca="1"/>
        <v>565.56250674316789</v>
      </c>
      <c r="AJ19" s="39">
        <f ca="1"/>
        <v>568.01469025614506</v>
      </c>
      <c r="AK19" s="39">
        <f ca="1"/>
        <v>570.48086150612403</v>
      </c>
      <c r="AL19" s="40">
        <f ca="1"/>
        <v>572.95902224496183</v>
      </c>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row>
    <row r="20" spans="2:98" ht="15">
      <c r="B20" s="10"/>
      <c r="C20" s="48" t="s">
        <v>60</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5"/>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row>
    <row r="21" spans="2:98" ht="15">
      <c r="B21" s="10"/>
      <c r="C21" s="28" t="str">
        <f>INDEX(_pcName,1)</f>
        <v>Axial Cylindrical Housed</v>
      </c>
      <c r="D21" s="12" t="str">
        <f t="shared" ref="D21:D27" si="3">shpUnit</f>
        <v>th units</v>
      </c>
      <c r="E21" s="39">
        <f t="array" aca="1" ref="E21:AL21" ca="1">tShpAxHBC*(1+N(bElast)*MMULT(N(OFFSET(_i,0,0,1,INDEX(nDO,1))-1&lt;cslAxH),zElastPAxH*'Axial Cyl Housed'!refEff))</f>
        <v>43.660697705118004</v>
      </c>
      <c r="F21" s="39">
        <f ca="1"/>
        <v>43.744593277098701</v>
      </c>
      <c r="G21" s="39">
        <f ca="1"/>
        <v>43.719955885744589</v>
      </c>
      <c r="H21" s="39">
        <f ca="1"/>
        <v>43.677190745538702</v>
      </c>
      <c r="I21" s="39">
        <f ca="1"/>
        <v>43.682065679609956</v>
      </c>
      <c r="J21" s="39">
        <f ca="1"/>
        <v>42.073249862431162</v>
      </c>
      <c r="K21" s="39">
        <f ca="1"/>
        <v>42.069250665019418</v>
      </c>
      <c r="L21" s="39">
        <f ca="1"/>
        <v>42.040701649919519</v>
      </c>
      <c r="M21" s="39">
        <f ca="1"/>
        <v>41.998929011261069</v>
      </c>
      <c r="N21" s="39">
        <f ca="1"/>
        <v>41.917689840480882</v>
      </c>
      <c r="O21" s="39">
        <f ca="1"/>
        <v>41.83653824336664</v>
      </c>
      <c r="P21" s="39">
        <f ca="1"/>
        <v>41.787876476320072</v>
      </c>
      <c r="Q21" s="39">
        <f ca="1"/>
        <v>41.736908602736818</v>
      </c>
      <c r="R21" s="39">
        <f ca="1"/>
        <v>43.245656910956043</v>
      </c>
      <c r="S21" s="39">
        <f ca="1"/>
        <v>44.796440578831572</v>
      </c>
      <c r="T21" s="39">
        <f ca="1"/>
        <v>44.75910500591462</v>
      </c>
      <c r="U21" s="39">
        <f ca="1"/>
        <v>46.329563557407049</v>
      </c>
      <c r="V21" s="39">
        <f ca="1"/>
        <v>47.908867049160492</v>
      </c>
      <c r="W21" s="39">
        <f ca="1"/>
        <v>47.879792592064888</v>
      </c>
      <c r="X21" s="39">
        <f ca="1"/>
        <v>47.848120116212748</v>
      </c>
      <c r="Y21" s="39">
        <f ca="1"/>
        <v>47.814871314373491</v>
      </c>
      <c r="Z21" s="39">
        <f ca="1"/>
        <v>47.793299001327654</v>
      </c>
      <c r="AA21" s="39">
        <f ca="1"/>
        <v>47.905743588408257</v>
      </c>
      <c r="AB21" s="39">
        <f ca="1"/>
        <v>48.112008762943937</v>
      </c>
      <c r="AC21" s="39">
        <f ca="1"/>
        <v>48.31938320391501</v>
      </c>
      <c r="AD21" s="39">
        <f ca="1"/>
        <v>48.526232202890363</v>
      </c>
      <c r="AE21" s="39">
        <f ca="1"/>
        <v>48.733635835083405</v>
      </c>
      <c r="AF21" s="39">
        <f ca="1"/>
        <v>48.94127299705233</v>
      </c>
      <c r="AG21" s="39">
        <f ca="1"/>
        <v>49.149727513236783</v>
      </c>
      <c r="AH21" s="39">
        <f ca="1"/>
        <v>49.359408060744542</v>
      </c>
      <c r="AI21" s="39">
        <f ca="1"/>
        <v>49.571803391896779</v>
      </c>
      <c r="AJ21" s="39">
        <f ca="1"/>
        <v>49.786738359361586</v>
      </c>
      <c r="AK21" s="39">
        <f ca="1"/>
        <v>50.002899358149691</v>
      </c>
      <c r="AL21" s="40">
        <f ca="1"/>
        <v>50.220111240929207</v>
      </c>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row>
    <row r="22" spans="2:98" ht="15">
      <c r="B22" s="10"/>
      <c r="C22" s="28" t="str">
        <f>INDEX(_pcName,2)</f>
        <v>Panel</v>
      </c>
      <c r="D22" s="12" t="str">
        <f t="shared" si="3"/>
        <v>th units</v>
      </c>
      <c r="E22" s="39">
        <f t="array" aca="1" ref="E22:AL22" ca="1">tShpPanBC*(1+N(bElast)*MMULT(N(OFFSET(_i,0,0,1,INDEX(nDO,2))-1&lt;cslPan),zElastPPan*Panel!refEff))</f>
        <v>39.313615843577466</v>
      </c>
      <c r="F22" s="39">
        <f ca="1"/>
        <v>39.389158344297506</v>
      </c>
      <c r="G22" s="39">
        <f ca="1"/>
        <v>39.366973977349794</v>
      </c>
      <c r="H22" s="39">
        <f ca="1"/>
        <v>39.32846675273084</v>
      </c>
      <c r="I22" s="39">
        <f ca="1"/>
        <v>39.332856313489458</v>
      </c>
      <c r="J22" s="39">
        <f ca="1"/>
        <v>37.884222408763186</v>
      </c>
      <c r="K22" s="39">
        <f ca="1"/>
        <v>37.880621391853431</v>
      </c>
      <c r="L22" s="39">
        <f ca="1"/>
        <v>37.854914862380852</v>
      </c>
      <c r="M22" s="39">
        <f ca="1"/>
        <v>37.817301320790605</v>
      </c>
      <c r="N22" s="39">
        <f ca="1"/>
        <v>37.744150736412088</v>
      </c>
      <c r="O22" s="39">
        <f ca="1"/>
        <v>37.671079006418452</v>
      </c>
      <c r="P22" s="39">
        <f ca="1"/>
        <v>37.627262253217232</v>
      </c>
      <c r="Q22" s="39">
        <f ca="1"/>
        <v>37.581369001214043</v>
      </c>
      <c r="R22" s="39">
        <f ca="1"/>
        <v>38.939898628811477</v>
      </c>
      <c r="S22" s="39">
        <f ca="1"/>
        <v>40.336278361153809</v>
      </c>
      <c r="T22" s="39">
        <f ca="1"/>
        <v>40.302660108397745</v>
      </c>
      <c r="U22" s="39">
        <f ca="1"/>
        <v>41.716755792544291</v>
      </c>
      <c r="V22" s="39">
        <f ca="1"/>
        <v>43.138815769564253</v>
      </c>
      <c r="W22" s="39">
        <f ca="1"/>
        <v>43.112636113782358</v>
      </c>
      <c r="X22" s="39">
        <f ca="1"/>
        <v>43.084117111248872</v>
      </c>
      <c r="Y22" s="39">
        <f ca="1"/>
        <v>43.054178729787452</v>
      </c>
      <c r="Z22" s="39">
        <f ca="1"/>
        <v>43.034754266310728</v>
      </c>
      <c r="AA22" s="39">
        <f ca="1"/>
        <v>43.136003296503347</v>
      </c>
      <c r="AB22" s="39">
        <f ca="1"/>
        <v>43.321731657702983</v>
      </c>
      <c r="AC22" s="39">
        <f ca="1"/>
        <v>43.508458841111178</v>
      </c>
      <c r="AD22" s="39">
        <f ca="1"/>
        <v>43.694712898210049</v>
      </c>
      <c r="AE22" s="39">
        <f ca="1"/>
        <v>43.881466366413193</v>
      </c>
      <c r="AF22" s="39">
        <f ca="1"/>
        <v>44.068430112976046</v>
      </c>
      <c r="AG22" s="39">
        <f ca="1"/>
        <v>44.256129833797814</v>
      </c>
      <c r="AH22" s="39">
        <f ca="1"/>
        <v>44.444933516007978</v>
      </c>
      <c r="AI22" s="39">
        <f ca="1"/>
        <v>44.636181684149591</v>
      </c>
      <c r="AJ22" s="39">
        <f ca="1"/>
        <v>44.829716629452868</v>
      </c>
      <c r="AK22" s="39">
        <f ca="1"/>
        <v>45.02435553614454</v>
      </c>
      <c r="AL22" s="40">
        <f ca="1"/>
        <v>45.219940695454831</v>
      </c>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row>
    <row r="23" spans="2:98" ht="15">
      <c r="B23" s="10"/>
      <c r="C23" s="28" t="str">
        <f>INDEX(_pcName,3)</f>
        <v>Centrif Housed</v>
      </c>
      <c r="D23" s="12" t="str">
        <f t="shared" si="3"/>
        <v>th units</v>
      </c>
      <c r="E23" s="39">
        <f t="array" aca="1" ref="E23:AL23" ca="1">tShpCnHBC*(1+N(bElast)*MMULT(N(OFFSET(_i,0,0,1,INDEX(nDO,3))-1&lt;cslCnH),zElastPCnH*'Centrif Housed'!refEff))</f>
        <v>111.77900085105475</v>
      </c>
      <c r="F23" s="39">
        <f ca="1"/>
        <v>111.99378814729008</v>
      </c>
      <c r="G23" s="39">
        <f ca="1"/>
        <v>111.93071212849306</v>
      </c>
      <c r="H23" s="39">
        <f ca="1"/>
        <v>111.82122591103142</v>
      </c>
      <c r="I23" s="39">
        <f ca="1"/>
        <v>111.83370659247585</v>
      </c>
      <c r="J23" s="39">
        <f ca="1"/>
        <v>107.71485751195512</v>
      </c>
      <c r="K23" s="39">
        <f ca="1"/>
        <v>107.70461886909354</v>
      </c>
      <c r="L23" s="39">
        <f ca="1"/>
        <v>107.6315284112932</v>
      </c>
      <c r="M23" s="39">
        <f ca="1"/>
        <v>107.52458317089211</v>
      </c>
      <c r="N23" s="39">
        <f ca="1"/>
        <v>107.31659672502472</v>
      </c>
      <c r="O23" s="39">
        <f ca="1"/>
        <v>107.10883448301563</v>
      </c>
      <c r="P23" s="39">
        <f ca="1"/>
        <v>106.98425187242958</v>
      </c>
      <c r="Q23" s="39">
        <f ca="1"/>
        <v>106.85376522690876</v>
      </c>
      <c r="R23" s="39">
        <f ca="1"/>
        <v>110.71642403203123</v>
      </c>
      <c r="S23" s="39">
        <f ca="1"/>
        <v>114.68670068912964</v>
      </c>
      <c r="T23" s="39">
        <f ca="1"/>
        <v>114.59111511088156</v>
      </c>
      <c r="U23" s="39">
        <f ca="1"/>
        <v>118.61176290147425</v>
      </c>
      <c r="V23" s="39">
        <f ca="1"/>
        <v>122.65505528175356</v>
      </c>
      <c r="W23" s="39">
        <f ca="1"/>
        <v>122.58061960080353</v>
      </c>
      <c r="X23" s="39">
        <f ca="1"/>
        <v>122.49953253872444</v>
      </c>
      <c r="Y23" s="39">
        <f ca="1"/>
        <v>122.41440980719625</v>
      </c>
      <c r="Z23" s="39">
        <f ca="1"/>
        <v>122.35918092343914</v>
      </c>
      <c r="AA23" s="39">
        <f ca="1"/>
        <v>122.6470586774748</v>
      </c>
      <c r="AB23" s="39">
        <f ca="1"/>
        <v>123.17513349835116</v>
      </c>
      <c r="AC23" s="39">
        <f ca="1"/>
        <v>123.7060482347658</v>
      </c>
      <c r="AD23" s="39">
        <f ca="1"/>
        <v>124.23561774803072</v>
      </c>
      <c r="AE23" s="39">
        <f ca="1"/>
        <v>124.76660721906477</v>
      </c>
      <c r="AF23" s="39">
        <f ca="1"/>
        <v>125.29819456705425</v>
      </c>
      <c r="AG23" s="39">
        <f ca="1"/>
        <v>125.83187448438771</v>
      </c>
      <c r="AH23" s="39">
        <f ca="1"/>
        <v>126.36869325573713</v>
      </c>
      <c r="AI23" s="39">
        <f ca="1"/>
        <v>126.91246234669335</v>
      </c>
      <c r="AJ23" s="39">
        <f ca="1"/>
        <v>127.46273334953976</v>
      </c>
      <c r="AK23" s="39">
        <f ca="1"/>
        <v>128.01614320640215</v>
      </c>
      <c r="AL23" s="40">
        <f ca="1"/>
        <v>128.57224350956389</v>
      </c>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row>
    <row r="24" spans="2:98" ht="15">
      <c r="B24" s="10"/>
      <c r="C24" s="28" t="str">
        <f>INDEX(_pcName,4)</f>
        <v>Centrif Unhous</v>
      </c>
      <c r="D24" s="12" t="str">
        <f t="shared" si="3"/>
        <v>th units</v>
      </c>
      <c r="E24" s="39">
        <f t="array" aca="1" ref="E24:AL24" ca="1">tShpCnUBC*(1+N(bElast)*MMULT(N(OFFSET(_i,0,0,1,INDEX(nDO,4))-1&lt;cslCnU),zElastPCnU*'Centrif Unhous'!refEff))</f>
        <v>137.61391625731923</v>
      </c>
      <c r="F24" s="39">
        <f ca="1"/>
        <v>137.87834625554984</v>
      </c>
      <c r="G24" s="39">
        <f ca="1"/>
        <v>137.80069179538748</v>
      </c>
      <c r="H24" s="39">
        <f ca="1"/>
        <v>137.66590058195399</v>
      </c>
      <c r="I24" s="39">
        <f ca="1"/>
        <v>137.68126586020887</v>
      </c>
      <c r="J24" s="39">
        <f ca="1"/>
        <v>132.61044801313767</v>
      </c>
      <c r="K24" s="39">
        <f ca="1"/>
        <v>132.59784296450943</v>
      </c>
      <c r="L24" s="39">
        <f ca="1"/>
        <v>132.50785947868147</v>
      </c>
      <c r="M24" s="39">
        <f ca="1"/>
        <v>132.37619652549148</v>
      </c>
      <c r="N24" s="39">
        <f ca="1"/>
        <v>132.12013922379501</v>
      </c>
      <c r="O24" s="39">
        <f ca="1"/>
        <v>131.86435794506116</v>
      </c>
      <c r="P24" s="39">
        <f ca="1"/>
        <v>131.71098118547505</v>
      </c>
      <c r="Q24" s="39">
        <f ca="1"/>
        <v>131.55033582120555</v>
      </c>
      <c r="R24" s="39">
        <f ca="1"/>
        <v>136.30575142960785</v>
      </c>
      <c r="S24" s="39">
        <f ca="1"/>
        <v>141.1936580600881</v>
      </c>
      <c r="T24" s="39">
        <f ca="1"/>
        <v>141.0759802703397</v>
      </c>
      <c r="U24" s="39">
        <f ca="1"/>
        <v>146.02590005976478</v>
      </c>
      <c r="V24" s="39">
        <f ca="1"/>
        <v>151.00369816841877</v>
      </c>
      <c r="W24" s="39">
        <f ca="1"/>
        <v>150.91205854481484</v>
      </c>
      <c r="X24" s="39">
        <f ca="1"/>
        <v>150.81223023998527</v>
      </c>
      <c r="Y24" s="39">
        <f ca="1"/>
        <v>150.70743352182777</v>
      </c>
      <c r="Z24" s="39">
        <f ca="1"/>
        <v>150.63943986535858</v>
      </c>
      <c r="AA24" s="39">
        <f ca="1"/>
        <v>150.99385334941715</v>
      </c>
      <c r="AB24" s="39">
        <f ca="1"/>
        <v>151.64397943414133</v>
      </c>
      <c r="AC24" s="39">
        <f ca="1"/>
        <v>152.29760180972596</v>
      </c>
      <c r="AD24" s="39">
        <f ca="1"/>
        <v>152.94956804753457</v>
      </c>
      <c r="AE24" s="39">
        <f ca="1"/>
        <v>153.60328243077339</v>
      </c>
      <c r="AF24" s="39">
        <f ca="1"/>
        <v>154.25773287524598</v>
      </c>
      <c r="AG24" s="39">
        <f ca="1"/>
        <v>154.91475953403676</v>
      </c>
      <c r="AH24" s="39">
        <f ca="1"/>
        <v>155.57565051430478</v>
      </c>
      <c r="AI24" s="39">
        <f ca="1"/>
        <v>156.24509820641538</v>
      </c>
      <c r="AJ24" s="39">
        <f ca="1"/>
        <v>156.92255056444318</v>
      </c>
      <c r="AK24" s="39">
        <f ca="1"/>
        <v>157.60386724394826</v>
      </c>
      <c r="AL24" s="40">
        <f ca="1"/>
        <v>158.28849619900524</v>
      </c>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row>
    <row r="25" spans="2:98" ht="15">
      <c r="B25" s="10"/>
      <c r="C25" s="28" t="str">
        <f>INDEX(_pcName,5)</f>
        <v>Inline-Mixed</v>
      </c>
      <c r="D25" s="12" t="str">
        <f t="shared" si="3"/>
        <v>th units</v>
      </c>
      <c r="E25" s="39">
        <f t="array" aca="1" ref="E25:AL25" ca="1">tShpInMxBC*(1+N(bElast)*MMULT(N(OFFSET(_i,0,0,1,INDEX(nDO,5))-1&lt;cslInMx),zElastPInMx*'Inline-Mixed'!refEff))</f>
        <v>33.788668735799874</v>
      </c>
      <c r="F25" s="39">
        <f ca="1"/>
        <v>33.853594855606794</v>
      </c>
      <c r="G25" s="39">
        <f ca="1"/>
        <v>33.834528173241779</v>
      </c>
      <c r="H25" s="39">
        <f ca="1"/>
        <v>33.801432569373603</v>
      </c>
      <c r="I25" s="39">
        <f ca="1"/>
        <v>33.805205242306016</v>
      </c>
      <c r="J25" s="39">
        <f ca="1"/>
        <v>32.560155402042071</v>
      </c>
      <c r="K25" s="39">
        <f ca="1"/>
        <v>32.557060454786146</v>
      </c>
      <c r="L25" s="39">
        <f ca="1"/>
        <v>32.534966597732854</v>
      </c>
      <c r="M25" s="39">
        <f ca="1"/>
        <v>32.502639082964684</v>
      </c>
      <c r="N25" s="39">
        <f ca="1"/>
        <v>32.439768731043095</v>
      </c>
      <c r="O25" s="39">
        <f ca="1"/>
        <v>32.376966151689153</v>
      </c>
      <c r="P25" s="39">
        <f ca="1"/>
        <v>32.339307194932672</v>
      </c>
      <c r="Q25" s="39">
        <f ca="1"/>
        <v>32.299863560561455</v>
      </c>
      <c r="R25" s="39">
        <f ca="1"/>
        <v>33.467471946859462</v>
      </c>
      <c r="S25" s="39">
        <f ca="1"/>
        <v>34.667611165628578</v>
      </c>
      <c r="T25" s="39">
        <f ca="1"/>
        <v>34.638717460954588</v>
      </c>
      <c r="U25" s="39">
        <f ca="1"/>
        <v>35.854082916588645</v>
      </c>
      <c r="V25" s="39">
        <f ca="1"/>
        <v>37.076293401555169</v>
      </c>
      <c r="W25" s="39">
        <f ca="1"/>
        <v>37.053792909095989</v>
      </c>
      <c r="X25" s="39">
        <f ca="1"/>
        <v>37.029281830463248</v>
      </c>
      <c r="Y25" s="39">
        <f ca="1"/>
        <v>37.003550845612835</v>
      </c>
      <c r="Z25" s="39">
        <f ca="1"/>
        <v>36.986856203115508</v>
      </c>
      <c r="AA25" s="39">
        <f ca="1"/>
        <v>37.07387617997572</v>
      </c>
      <c r="AB25" s="39">
        <f ca="1"/>
        <v>37.233503167642965</v>
      </c>
      <c r="AC25" s="39">
        <f ca="1"/>
        <v>37.393988607833762</v>
      </c>
      <c r="AD25" s="39">
        <f ca="1"/>
        <v>37.554067412618664</v>
      </c>
      <c r="AE25" s="39">
        <f ca="1"/>
        <v>37.714575443665332</v>
      </c>
      <c r="AF25" s="39">
        <f ca="1"/>
        <v>37.875264201559077</v>
      </c>
      <c r="AG25" s="39">
        <f ca="1"/>
        <v>38.036585503417527</v>
      </c>
      <c r="AH25" s="39">
        <f ca="1"/>
        <v>38.198855621223053</v>
      </c>
      <c r="AI25" s="39">
        <f ca="1"/>
        <v>38.363226688625673</v>
      </c>
      <c r="AJ25" s="39">
        <f ca="1"/>
        <v>38.529563160490092</v>
      </c>
      <c r="AK25" s="39">
        <f ca="1"/>
        <v>38.69684844830158</v>
      </c>
      <c r="AL25" s="40">
        <f ca="1"/>
        <v>38.864947006924844</v>
      </c>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row>
    <row r="26" spans="2:98" ht="15">
      <c r="B26" s="10"/>
      <c r="C26" s="28" t="str">
        <f>INDEX(_pcName,6)</f>
        <v>Radial</v>
      </c>
      <c r="D26" s="12" t="str">
        <f t="shared" si="3"/>
        <v>th units</v>
      </c>
      <c r="E26" s="39">
        <f t="array" aca="1" ref="E26:AL26" ca="1">tShpRadBC*(1+N(bElast)*MMULT(N(OFFSET(_i,0,0,1,INDEX(nDO,6))-1&lt;cslRad),zElastPRad*Radial!refEff))</f>
        <v>45.901587716558311</v>
      </c>
      <c r="F26" s="39">
        <f ca="1"/>
        <v>45.989789237805454</v>
      </c>
      <c r="G26" s="39">
        <f ca="1"/>
        <v>45.963887329686941</v>
      </c>
      <c r="H26" s="39">
        <f ca="1"/>
        <v>45.918927264054702</v>
      </c>
      <c r="I26" s="39">
        <f ca="1"/>
        <v>45.924052404642133</v>
      </c>
      <c r="J26" s="39">
        <f ca="1"/>
        <v>44.232663942396776</v>
      </c>
      <c r="K26" s="39">
        <f ca="1"/>
        <v>44.228459485747216</v>
      </c>
      <c r="L26" s="39">
        <f ca="1"/>
        <v>44.198445189372926</v>
      </c>
      <c r="M26" s="39">
        <f ca="1"/>
        <v>44.154528565536928</v>
      </c>
      <c r="N26" s="39">
        <f ca="1"/>
        <v>44.069119785567977</v>
      </c>
      <c r="O26" s="39">
        <f ca="1"/>
        <v>43.983803073992817</v>
      </c>
      <c r="P26" s="39">
        <f ca="1"/>
        <v>43.932643736512304</v>
      </c>
      <c r="Q26" s="39">
        <f ca="1"/>
        <v>43.879059931328769</v>
      </c>
      <c r="R26" s="39">
        <f ca="1"/>
        <v>45.465244908941159</v>
      </c>
      <c r="S26" s="39">
        <f ca="1"/>
        <v>47.095622715570897</v>
      </c>
      <c r="T26" s="39">
        <f ca="1"/>
        <v>47.056370890353399</v>
      </c>
      <c r="U26" s="39">
        <f ca="1"/>
        <v>48.707433396120422</v>
      </c>
      <c r="V26" s="39">
        <f ca="1"/>
        <v>50.367794809659856</v>
      </c>
      <c r="W26" s="39">
        <f ca="1"/>
        <v>50.33722810292285</v>
      </c>
      <c r="X26" s="39">
        <f ca="1"/>
        <v>50.303930033836863</v>
      </c>
      <c r="Y26" s="39">
        <f ca="1"/>
        <v>50.268974733662716</v>
      </c>
      <c r="Z26" s="39">
        <f ca="1"/>
        <v>50.246295219326726</v>
      </c>
      <c r="AA26" s="39">
        <f ca="1"/>
        <v>50.364511036948151</v>
      </c>
      <c r="AB26" s="39">
        <f ca="1"/>
        <v>50.581362793779121</v>
      </c>
      <c r="AC26" s="39">
        <f ca="1"/>
        <v>50.799380750264731</v>
      </c>
      <c r="AD26" s="39">
        <f ca="1"/>
        <v>51.016846296387612</v>
      </c>
      <c r="AE26" s="39">
        <f ca="1"/>
        <v>51.23489494233781</v>
      </c>
      <c r="AF26" s="39">
        <f ca="1"/>
        <v>51.453189104004778</v>
      </c>
      <c r="AG26" s="39">
        <f ca="1"/>
        <v>51.672342570680414</v>
      </c>
      <c r="AH26" s="39">
        <f ca="1"/>
        <v>51.892784994869046</v>
      </c>
      <c r="AI26" s="39">
        <f ca="1"/>
        <v>52.116081539265068</v>
      </c>
      <c r="AJ26" s="39">
        <f ca="1"/>
        <v>52.342048067080874</v>
      </c>
      <c r="AK26" s="39">
        <f ca="1"/>
        <v>52.569303552409693</v>
      </c>
      <c r="AL26" s="40">
        <f ca="1"/>
        <v>52.797663858463935</v>
      </c>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row>
    <row r="27" spans="2:98" ht="15">
      <c r="B27" s="10"/>
      <c r="C27" s="45" t="str">
        <f>INDEX(_pcName,7)</f>
        <v>Power Roof Vent</v>
      </c>
      <c r="D27" s="18" t="str">
        <f t="shared" si="3"/>
        <v>th units</v>
      </c>
      <c r="E27" s="49">
        <f t="array" aca="1" ref="E27:AL27" ca="1">tShpPRVBC*(1+N(bElast)*MMULT(N(OFFSET(_i,0,0,1,INDEX(nDO,7))-1&lt;cslPRV),zElastPPRV*'Power Roof Vent'!refEff))</f>
        <v>86.065476968546832</v>
      </c>
      <c r="F27" s="49">
        <f ca="1"/>
        <v>86.230854820885213</v>
      </c>
      <c r="G27" s="49">
        <f ca="1"/>
        <v>86.182288743163014</v>
      </c>
      <c r="H27" s="49">
        <f ca="1"/>
        <v>86.097988620102555</v>
      </c>
      <c r="I27" s="49">
        <f ca="1"/>
        <v>86.107598258704002</v>
      </c>
      <c r="J27" s="49">
        <f ca="1"/>
        <v>82.936244891993951</v>
      </c>
      <c r="K27" s="49">
        <f ca="1"/>
        <v>82.92836153577602</v>
      </c>
      <c r="L27" s="49">
        <f ca="1"/>
        <v>82.872084730074235</v>
      </c>
      <c r="M27" s="49">
        <f ca="1"/>
        <v>82.789741060381743</v>
      </c>
      <c r="N27" s="49">
        <f ca="1"/>
        <v>82.629599597939958</v>
      </c>
      <c r="O27" s="49">
        <f ca="1"/>
        <v>82.469630763736518</v>
      </c>
      <c r="P27" s="49">
        <f ca="1"/>
        <v>82.373707005960568</v>
      </c>
      <c r="Q27" s="49">
        <f ca="1"/>
        <v>82.273237371241436</v>
      </c>
      <c r="R27" s="49">
        <f ca="1"/>
        <v>85.247334204264661</v>
      </c>
      <c r="S27" s="49">
        <f ca="1"/>
        <v>88.304292591695429</v>
      </c>
      <c r="T27" s="49">
        <f ca="1"/>
        <v>88.230695419412612</v>
      </c>
      <c r="U27" s="49">
        <f ca="1"/>
        <v>91.326437617725787</v>
      </c>
      <c r="V27" s="49">
        <f ca="1"/>
        <v>94.43961526811222</v>
      </c>
      <c r="W27" s="49">
        <f ca="1"/>
        <v>94.382302692980346</v>
      </c>
      <c r="X27" s="49">
        <f ca="1"/>
        <v>94.319868813444117</v>
      </c>
      <c r="Y27" s="49">
        <f ca="1"/>
        <v>94.254327625617591</v>
      </c>
      <c r="Z27" s="49">
        <f ca="1"/>
        <v>94.211803536237611</v>
      </c>
      <c r="AA27" s="49">
        <f ca="1"/>
        <v>94.433458194277776</v>
      </c>
      <c r="AB27" s="49">
        <f ca="1"/>
        <v>94.84005523833585</v>
      </c>
      <c r="AC27" s="49">
        <f ca="1"/>
        <v>95.248838906746371</v>
      </c>
      <c r="AD27" s="49">
        <f ca="1"/>
        <v>95.656586805726775</v>
      </c>
      <c r="AE27" s="49">
        <f ca="1"/>
        <v>96.065428016883388</v>
      </c>
      <c r="AF27" s="49">
        <f ca="1"/>
        <v>96.474729570008961</v>
      </c>
      <c r="AG27" s="49">
        <f ca="1"/>
        <v>96.885642320025767</v>
      </c>
      <c r="AH27" s="49">
        <f ca="1"/>
        <v>97.298971865379457</v>
      </c>
      <c r="AI27" s="49">
        <f ca="1"/>
        <v>97.717652886121996</v>
      </c>
      <c r="AJ27" s="49">
        <f ca="1"/>
        <v>98.141340125776637</v>
      </c>
      <c r="AK27" s="49">
        <f ca="1"/>
        <v>98.567444160768162</v>
      </c>
      <c r="AL27" s="50">
        <f ca="1"/>
        <v>98.995619734619865</v>
      </c>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row>
    <row r="28" spans="2:98" ht="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row>
    <row r="29" spans="2:98" ht="15">
      <c r="B29" s="10"/>
      <c r="C29" s="22" t="s">
        <v>67</v>
      </c>
      <c r="D29" s="23"/>
      <c r="E29" s="34"/>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row>
    <row r="30" spans="2:98" ht="15">
      <c r="B30" s="10"/>
      <c r="C30" s="21" t="s">
        <v>132</v>
      </c>
      <c r="D30" s="18"/>
      <c r="E30" s="51">
        <v>-0.5</v>
      </c>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row>
    <row r="31" spans="2:98" ht="15">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row>
    <row r="32" spans="2:98" ht="15">
      <c r="B32" s="10"/>
      <c r="C32" s="22" t="s">
        <v>61</v>
      </c>
      <c r="D32" s="23"/>
      <c r="E32" s="24">
        <f t="array" ref="E32:AL32">_yS</f>
        <v>2019</v>
      </c>
      <c r="F32" s="24">
        <v>2020</v>
      </c>
      <c r="G32" s="24">
        <v>2021</v>
      </c>
      <c r="H32" s="24">
        <v>2022</v>
      </c>
      <c r="I32" s="24">
        <v>2023</v>
      </c>
      <c r="J32" s="24">
        <v>2024</v>
      </c>
      <c r="K32" s="24">
        <v>2025</v>
      </c>
      <c r="L32" s="24">
        <v>2026</v>
      </c>
      <c r="M32" s="24">
        <v>2027</v>
      </c>
      <c r="N32" s="24">
        <v>2028</v>
      </c>
      <c r="O32" s="24">
        <v>2029</v>
      </c>
      <c r="P32" s="24">
        <v>2030</v>
      </c>
      <c r="Q32" s="24">
        <v>2031</v>
      </c>
      <c r="R32" s="24">
        <v>2032</v>
      </c>
      <c r="S32" s="24">
        <v>2033</v>
      </c>
      <c r="T32" s="24">
        <v>2034</v>
      </c>
      <c r="U32" s="24">
        <v>2035</v>
      </c>
      <c r="V32" s="24">
        <v>2036</v>
      </c>
      <c r="W32" s="24">
        <v>2037</v>
      </c>
      <c r="X32" s="24">
        <v>2038</v>
      </c>
      <c r="Y32" s="24">
        <v>2039</v>
      </c>
      <c r="Z32" s="24">
        <v>2040</v>
      </c>
      <c r="AA32" s="24">
        <v>2041</v>
      </c>
      <c r="AB32" s="24">
        <v>2042</v>
      </c>
      <c r="AC32" s="24">
        <v>2043</v>
      </c>
      <c r="AD32" s="24">
        <v>2044</v>
      </c>
      <c r="AE32" s="24">
        <v>2045</v>
      </c>
      <c r="AF32" s="24">
        <v>2046</v>
      </c>
      <c r="AG32" s="24">
        <v>2047</v>
      </c>
      <c r="AH32" s="24">
        <v>2048</v>
      </c>
      <c r="AI32" s="24">
        <v>2049</v>
      </c>
      <c r="AJ32" s="24">
        <v>2050</v>
      </c>
      <c r="AK32" s="24">
        <v>2051</v>
      </c>
      <c r="AL32" s="25">
        <v>2052</v>
      </c>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row>
    <row r="33" spans="2:98" ht="15">
      <c r="B33" s="10"/>
      <c r="C33" s="27" t="s">
        <v>64</v>
      </c>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5"/>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row>
    <row r="34" spans="2:98" ht="15">
      <c r="B34" s="10"/>
      <c r="C34" s="16" t="str">
        <f>INDEX(_pcName,1)</f>
        <v>Axial Cylindrical Housed</v>
      </c>
      <c r="D34" s="12" t="s">
        <v>47</v>
      </c>
      <c r="E34" s="29">
        <f>J75</f>
        <v>5.0918733198330797E-2</v>
      </c>
      <c r="F34" s="29">
        <f t="array" ref="F34:AL34">$E$34</f>
        <v>5.0918733198330797E-2</v>
      </c>
      <c r="G34" s="29">
        <v>5.0918733198330797E-2</v>
      </c>
      <c r="H34" s="29">
        <v>5.0918733198330797E-2</v>
      </c>
      <c r="I34" s="29">
        <v>5.0918733198330797E-2</v>
      </c>
      <c r="J34" s="29">
        <v>5.0918733198330797E-2</v>
      </c>
      <c r="K34" s="29">
        <v>5.0918733198330797E-2</v>
      </c>
      <c r="L34" s="29">
        <v>5.0918733198330797E-2</v>
      </c>
      <c r="M34" s="29">
        <v>5.0918733198330797E-2</v>
      </c>
      <c r="N34" s="29">
        <v>5.0918733198330797E-2</v>
      </c>
      <c r="O34" s="29">
        <v>5.0918733198330797E-2</v>
      </c>
      <c r="P34" s="29">
        <v>5.0918733198330797E-2</v>
      </c>
      <c r="Q34" s="29">
        <v>5.0918733198330797E-2</v>
      </c>
      <c r="R34" s="29">
        <v>5.0918733198330797E-2</v>
      </c>
      <c r="S34" s="29">
        <v>5.0918733198330797E-2</v>
      </c>
      <c r="T34" s="29">
        <v>5.0918733198330797E-2</v>
      </c>
      <c r="U34" s="29">
        <v>5.0918733198330797E-2</v>
      </c>
      <c r="V34" s="29">
        <v>5.0918733198330797E-2</v>
      </c>
      <c r="W34" s="29">
        <v>5.0918733198330797E-2</v>
      </c>
      <c r="X34" s="29">
        <v>5.0918733198330797E-2</v>
      </c>
      <c r="Y34" s="29">
        <v>5.0918733198330797E-2</v>
      </c>
      <c r="Z34" s="29">
        <v>5.0918733198330797E-2</v>
      </c>
      <c r="AA34" s="29">
        <v>5.0918733198330797E-2</v>
      </c>
      <c r="AB34" s="29">
        <v>5.0918733198330797E-2</v>
      </c>
      <c r="AC34" s="29">
        <v>5.0918733198330797E-2</v>
      </c>
      <c r="AD34" s="29">
        <v>5.0918733198330797E-2</v>
      </c>
      <c r="AE34" s="29">
        <v>5.0918733198330797E-2</v>
      </c>
      <c r="AF34" s="29">
        <v>5.0918733198330797E-2</v>
      </c>
      <c r="AG34" s="29">
        <v>5.0918733198330797E-2</v>
      </c>
      <c r="AH34" s="29">
        <v>5.0918733198330797E-2</v>
      </c>
      <c r="AI34" s="29">
        <v>5.0918733198330797E-2</v>
      </c>
      <c r="AJ34" s="29">
        <v>5.0918733198330797E-2</v>
      </c>
      <c r="AK34" s="29">
        <v>5.0918733198330797E-2</v>
      </c>
      <c r="AL34" s="44">
        <v>5.0918733198330797E-2</v>
      </c>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row>
    <row r="35" spans="2:98" ht="15">
      <c r="B35" s="10"/>
      <c r="C35" s="16" t="str">
        <f>INDEX(_pcName,2)</f>
        <v>Panel</v>
      </c>
      <c r="D35" s="12" t="s">
        <v>47</v>
      </c>
      <c r="E35" s="29">
        <f t="shared" ref="E35:E40" si="4">J76</f>
        <v>4.584900428575002E-2</v>
      </c>
      <c r="F35" s="29">
        <f t="array" ref="F35:AL35">$E$35</f>
        <v>4.584900428575002E-2</v>
      </c>
      <c r="G35" s="29">
        <v>4.584900428575002E-2</v>
      </c>
      <c r="H35" s="29">
        <v>4.584900428575002E-2</v>
      </c>
      <c r="I35" s="29">
        <v>4.584900428575002E-2</v>
      </c>
      <c r="J35" s="29">
        <v>4.584900428575002E-2</v>
      </c>
      <c r="K35" s="29">
        <v>4.584900428575002E-2</v>
      </c>
      <c r="L35" s="29">
        <v>4.584900428575002E-2</v>
      </c>
      <c r="M35" s="29">
        <v>4.584900428575002E-2</v>
      </c>
      <c r="N35" s="29">
        <v>4.584900428575002E-2</v>
      </c>
      <c r="O35" s="29">
        <v>4.584900428575002E-2</v>
      </c>
      <c r="P35" s="29">
        <v>4.584900428575002E-2</v>
      </c>
      <c r="Q35" s="29">
        <v>4.584900428575002E-2</v>
      </c>
      <c r="R35" s="29">
        <v>4.584900428575002E-2</v>
      </c>
      <c r="S35" s="29">
        <v>4.584900428575002E-2</v>
      </c>
      <c r="T35" s="29">
        <v>4.584900428575002E-2</v>
      </c>
      <c r="U35" s="29">
        <v>4.584900428575002E-2</v>
      </c>
      <c r="V35" s="29">
        <v>4.584900428575002E-2</v>
      </c>
      <c r="W35" s="29">
        <v>4.584900428575002E-2</v>
      </c>
      <c r="X35" s="29">
        <v>4.584900428575002E-2</v>
      </c>
      <c r="Y35" s="29">
        <v>4.584900428575002E-2</v>
      </c>
      <c r="Z35" s="29">
        <v>4.584900428575002E-2</v>
      </c>
      <c r="AA35" s="29">
        <v>4.584900428575002E-2</v>
      </c>
      <c r="AB35" s="29">
        <v>4.584900428575002E-2</v>
      </c>
      <c r="AC35" s="29">
        <v>4.584900428575002E-2</v>
      </c>
      <c r="AD35" s="29">
        <v>4.584900428575002E-2</v>
      </c>
      <c r="AE35" s="29">
        <v>4.584900428575002E-2</v>
      </c>
      <c r="AF35" s="29">
        <v>4.584900428575002E-2</v>
      </c>
      <c r="AG35" s="29">
        <v>4.584900428575002E-2</v>
      </c>
      <c r="AH35" s="29">
        <v>4.584900428575002E-2</v>
      </c>
      <c r="AI35" s="29">
        <v>4.584900428575002E-2</v>
      </c>
      <c r="AJ35" s="29">
        <v>4.584900428575002E-2</v>
      </c>
      <c r="AK35" s="29">
        <v>4.584900428575002E-2</v>
      </c>
      <c r="AL35" s="44">
        <v>4.584900428575002E-2</v>
      </c>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row>
    <row r="36" spans="2:98" ht="15">
      <c r="B36" s="10"/>
      <c r="C36" s="16" t="str">
        <f>INDEX(_pcName,3)</f>
        <v>Centrif Housed</v>
      </c>
      <c r="D36" s="12" t="s">
        <v>47</v>
      </c>
      <c r="E36" s="29">
        <f t="shared" si="4"/>
        <v>0.13036083756498607</v>
      </c>
      <c r="F36" s="29">
        <f t="array" ref="F36:AL36">$E$36</f>
        <v>0.13036083756498607</v>
      </c>
      <c r="G36" s="29">
        <v>0.13036083756498607</v>
      </c>
      <c r="H36" s="29">
        <v>0.13036083756498607</v>
      </c>
      <c r="I36" s="29">
        <v>0.13036083756498607</v>
      </c>
      <c r="J36" s="29">
        <v>0.13036083756498607</v>
      </c>
      <c r="K36" s="29">
        <v>0.13036083756498607</v>
      </c>
      <c r="L36" s="29">
        <v>0.13036083756498607</v>
      </c>
      <c r="M36" s="29">
        <v>0.13036083756498607</v>
      </c>
      <c r="N36" s="29">
        <v>0.13036083756498607</v>
      </c>
      <c r="O36" s="29">
        <v>0.13036083756498607</v>
      </c>
      <c r="P36" s="29">
        <v>0.13036083756498607</v>
      </c>
      <c r="Q36" s="29">
        <v>0.13036083756498607</v>
      </c>
      <c r="R36" s="29">
        <v>0.13036083756498607</v>
      </c>
      <c r="S36" s="29">
        <v>0.13036083756498607</v>
      </c>
      <c r="T36" s="29">
        <v>0.13036083756498607</v>
      </c>
      <c r="U36" s="29">
        <v>0.13036083756498607</v>
      </c>
      <c r="V36" s="29">
        <v>0.13036083756498607</v>
      </c>
      <c r="W36" s="29">
        <v>0.13036083756498607</v>
      </c>
      <c r="X36" s="29">
        <v>0.13036083756498607</v>
      </c>
      <c r="Y36" s="29">
        <v>0.13036083756498607</v>
      </c>
      <c r="Z36" s="29">
        <v>0.13036083756498607</v>
      </c>
      <c r="AA36" s="29">
        <v>0.13036083756498607</v>
      </c>
      <c r="AB36" s="29">
        <v>0.13036083756498607</v>
      </c>
      <c r="AC36" s="29">
        <v>0.13036083756498607</v>
      </c>
      <c r="AD36" s="29">
        <v>0.13036083756498607</v>
      </c>
      <c r="AE36" s="29">
        <v>0.13036083756498607</v>
      </c>
      <c r="AF36" s="29">
        <v>0.13036083756498607</v>
      </c>
      <c r="AG36" s="29">
        <v>0.13036083756498607</v>
      </c>
      <c r="AH36" s="29">
        <v>0.13036083756498607</v>
      </c>
      <c r="AI36" s="29">
        <v>0.13036083756498607</v>
      </c>
      <c r="AJ36" s="29">
        <v>0.13036083756498607</v>
      </c>
      <c r="AK36" s="29">
        <v>0.13036083756498607</v>
      </c>
      <c r="AL36" s="44">
        <v>0.13036083756498607</v>
      </c>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row>
    <row r="37" spans="2:98" ht="15">
      <c r="B37" s="10"/>
      <c r="C37" s="16" t="str">
        <f>INDEX(_pcName,4)</f>
        <v>Centrif Unhous</v>
      </c>
      <c r="D37" s="12" t="s">
        <v>47</v>
      </c>
      <c r="E37" s="29">
        <f t="shared" si="4"/>
        <v>0.16049047895683272</v>
      </c>
      <c r="F37" s="29">
        <f t="array" ref="F37:AL37">$E$37</f>
        <v>0.16049047895683272</v>
      </c>
      <c r="G37" s="29">
        <v>0.16049047895683272</v>
      </c>
      <c r="H37" s="29">
        <v>0.16049047895683272</v>
      </c>
      <c r="I37" s="29">
        <v>0.16049047895683272</v>
      </c>
      <c r="J37" s="29">
        <v>0.16049047895683272</v>
      </c>
      <c r="K37" s="29">
        <v>0.16049047895683272</v>
      </c>
      <c r="L37" s="29">
        <v>0.16049047895683272</v>
      </c>
      <c r="M37" s="29">
        <v>0.16049047895683272</v>
      </c>
      <c r="N37" s="29">
        <v>0.16049047895683272</v>
      </c>
      <c r="O37" s="29">
        <v>0.16049047895683272</v>
      </c>
      <c r="P37" s="29">
        <v>0.16049047895683272</v>
      </c>
      <c r="Q37" s="29">
        <v>0.16049047895683272</v>
      </c>
      <c r="R37" s="29">
        <v>0.16049047895683272</v>
      </c>
      <c r="S37" s="29">
        <v>0.16049047895683272</v>
      </c>
      <c r="T37" s="29">
        <v>0.16049047895683272</v>
      </c>
      <c r="U37" s="29">
        <v>0.16049047895683272</v>
      </c>
      <c r="V37" s="29">
        <v>0.16049047895683272</v>
      </c>
      <c r="W37" s="29">
        <v>0.16049047895683272</v>
      </c>
      <c r="X37" s="29">
        <v>0.16049047895683272</v>
      </c>
      <c r="Y37" s="29">
        <v>0.16049047895683272</v>
      </c>
      <c r="Z37" s="29">
        <v>0.16049047895683272</v>
      </c>
      <c r="AA37" s="29">
        <v>0.16049047895683272</v>
      </c>
      <c r="AB37" s="29">
        <v>0.16049047895683272</v>
      </c>
      <c r="AC37" s="29">
        <v>0.16049047895683272</v>
      </c>
      <c r="AD37" s="29">
        <v>0.16049047895683272</v>
      </c>
      <c r="AE37" s="29">
        <v>0.16049047895683272</v>
      </c>
      <c r="AF37" s="29">
        <v>0.16049047895683272</v>
      </c>
      <c r="AG37" s="29">
        <v>0.16049047895683272</v>
      </c>
      <c r="AH37" s="29">
        <v>0.16049047895683272</v>
      </c>
      <c r="AI37" s="29">
        <v>0.16049047895683272</v>
      </c>
      <c r="AJ37" s="29">
        <v>0.16049047895683272</v>
      </c>
      <c r="AK37" s="29">
        <v>0.16049047895683272</v>
      </c>
      <c r="AL37" s="44">
        <v>0.16049047895683272</v>
      </c>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row>
    <row r="38" spans="2:98" ht="15">
      <c r="B38" s="10"/>
      <c r="C38" s="16" t="str">
        <f>INDEX(_pcName,5)</f>
        <v>Inline-Mixed</v>
      </c>
      <c r="D38" s="12" t="s">
        <v>47</v>
      </c>
      <c r="E38" s="29">
        <f t="shared" si="4"/>
        <v>3.9405605015865257E-2</v>
      </c>
      <c r="F38" s="29">
        <f t="array" ref="F38:AL38">$E$38</f>
        <v>3.9405605015865257E-2</v>
      </c>
      <c r="G38" s="29">
        <v>3.9405605015865257E-2</v>
      </c>
      <c r="H38" s="29">
        <v>3.9405605015865257E-2</v>
      </c>
      <c r="I38" s="29">
        <v>3.9405605015865257E-2</v>
      </c>
      <c r="J38" s="29">
        <v>3.9405605015865257E-2</v>
      </c>
      <c r="K38" s="29">
        <v>3.9405605015865257E-2</v>
      </c>
      <c r="L38" s="29">
        <v>3.9405605015865257E-2</v>
      </c>
      <c r="M38" s="29">
        <v>3.9405605015865257E-2</v>
      </c>
      <c r="N38" s="29">
        <v>3.9405605015865257E-2</v>
      </c>
      <c r="O38" s="29">
        <v>3.9405605015865257E-2</v>
      </c>
      <c r="P38" s="29">
        <v>3.9405605015865257E-2</v>
      </c>
      <c r="Q38" s="29">
        <v>3.9405605015865257E-2</v>
      </c>
      <c r="R38" s="29">
        <v>3.9405605015865257E-2</v>
      </c>
      <c r="S38" s="29">
        <v>3.9405605015865257E-2</v>
      </c>
      <c r="T38" s="29">
        <v>3.9405605015865257E-2</v>
      </c>
      <c r="U38" s="29">
        <v>3.9405605015865257E-2</v>
      </c>
      <c r="V38" s="29">
        <v>3.9405605015865257E-2</v>
      </c>
      <c r="W38" s="29">
        <v>3.9405605015865257E-2</v>
      </c>
      <c r="X38" s="29">
        <v>3.9405605015865257E-2</v>
      </c>
      <c r="Y38" s="29">
        <v>3.9405605015865257E-2</v>
      </c>
      <c r="Z38" s="29">
        <v>3.9405605015865257E-2</v>
      </c>
      <c r="AA38" s="29">
        <v>3.9405605015865257E-2</v>
      </c>
      <c r="AB38" s="29">
        <v>3.9405605015865257E-2</v>
      </c>
      <c r="AC38" s="29">
        <v>3.9405605015865257E-2</v>
      </c>
      <c r="AD38" s="29">
        <v>3.9405605015865257E-2</v>
      </c>
      <c r="AE38" s="29">
        <v>3.9405605015865257E-2</v>
      </c>
      <c r="AF38" s="29">
        <v>3.9405605015865257E-2</v>
      </c>
      <c r="AG38" s="29">
        <v>3.9405605015865257E-2</v>
      </c>
      <c r="AH38" s="29">
        <v>3.9405605015865257E-2</v>
      </c>
      <c r="AI38" s="29">
        <v>3.9405605015865257E-2</v>
      </c>
      <c r="AJ38" s="29">
        <v>3.9405605015865257E-2</v>
      </c>
      <c r="AK38" s="29">
        <v>3.9405605015865257E-2</v>
      </c>
      <c r="AL38" s="44">
        <v>3.9405605015865257E-2</v>
      </c>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row>
    <row r="39" spans="2:98" ht="15">
      <c r="B39" s="10"/>
      <c r="C39" s="16" t="str">
        <f>INDEX(_pcName,6)</f>
        <v>Radial</v>
      </c>
      <c r="D39" s="12" t="s">
        <v>47</v>
      </c>
      <c r="E39" s="29">
        <f t="shared" si="4"/>
        <v>5.3532142663062235E-2</v>
      </c>
      <c r="F39" s="29">
        <f t="array" ref="F39:AL39">$E$39</f>
        <v>5.3532142663062235E-2</v>
      </c>
      <c r="G39" s="29">
        <v>5.3532142663062235E-2</v>
      </c>
      <c r="H39" s="29">
        <v>5.3532142663062235E-2</v>
      </c>
      <c r="I39" s="29">
        <v>5.3532142663062235E-2</v>
      </c>
      <c r="J39" s="29">
        <v>5.3532142663062235E-2</v>
      </c>
      <c r="K39" s="29">
        <v>5.3532142663062235E-2</v>
      </c>
      <c r="L39" s="29">
        <v>5.3532142663062235E-2</v>
      </c>
      <c r="M39" s="29">
        <v>5.3532142663062235E-2</v>
      </c>
      <c r="N39" s="29">
        <v>5.3532142663062235E-2</v>
      </c>
      <c r="O39" s="29">
        <v>5.3532142663062235E-2</v>
      </c>
      <c r="P39" s="29">
        <v>5.3532142663062235E-2</v>
      </c>
      <c r="Q39" s="29">
        <v>5.3532142663062235E-2</v>
      </c>
      <c r="R39" s="29">
        <v>5.3532142663062235E-2</v>
      </c>
      <c r="S39" s="29">
        <v>5.3532142663062235E-2</v>
      </c>
      <c r="T39" s="29">
        <v>5.3532142663062235E-2</v>
      </c>
      <c r="U39" s="29">
        <v>5.3532142663062235E-2</v>
      </c>
      <c r="V39" s="29">
        <v>5.3532142663062235E-2</v>
      </c>
      <c r="W39" s="29">
        <v>5.3532142663062235E-2</v>
      </c>
      <c r="X39" s="29">
        <v>5.3532142663062235E-2</v>
      </c>
      <c r="Y39" s="29">
        <v>5.3532142663062235E-2</v>
      </c>
      <c r="Z39" s="29">
        <v>5.3532142663062235E-2</v>
      </c>
      <c r="AA39" s="29">
        <v>5.3532142663062235E-2</v>
      </c>
      <c r="AB39" s="29">
        <v>5.3532142663062235E-2</v>
      </c>
      <c r="AC39" s="29">
        <v>5.3532142663062235E-2</v>
      </c>
      <c r="AD39" s="29">
        <v>5.3532142663062235E-2</v>
      </c>
      <c r="AE39" s="29">
        <v>5.3532142663062235E-2</v>
      </c>
      <c r="AF39" s="29">
        <v>5.3532142663062235E-2</v>
      </c>
      <c r="AG39" s="29">
        <v>5.3532142663062235E-2</v>
      </c>
      <c r="AH39" s="29">
        <v>5.3532142663062235E-2</v>
      </c>
      <c r="AI39" s="29">
        <v>5.3532142663062235E-2</v>
      </c>
      <c r="AJ39" s="29">
        <v>5.3532142663062235E-2</v>
      </c>
      <c r="AK39" s="29">
        <v>5.3532142663062235E-2</v>
      </c>
      <c r="AL39" s="44">
        <v>5.3532142663062235E-2</v>
      </c>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row>
    <row r="40" spans="2:98" ht="15">
      <c r="B40" s="10"/>
      <c r="C40" s="17" t="str">
        <f>INDEX(_pcName,7)</f>
        <v>Power Roof Vent</v>
      </c>
      <c r="D40" s="18" t="s">
        <v>47</v>
      </c>
      <c r="E40" s="29">
        <f t="shared" si="4"/>
        <v>0.10037276749324169</v>
      </c>
      <c r="F40" s="46">
        <f t="array" ref="F40:AL40">$E$40</f>
        <v>0.10037276749324169</v>
      </c>
      <c r="G40" s="46">
        <v>0.10037276749324169</v>
      </c>
      <c r="H40" s="46">
        <v>0.10037276749324169</v>
      </c>
      <c r="I40" s="46">
        <v>0.10037276749324169</v>
      </c>
      <c r="J40" s="46">
        <v>0.10037276749324169</v>
      </c>
      <c r="K40" s="46">
        <v>0.10037276749324169</v>
      </c>
      <c r="L40" s="46">
        <v>0.10037276749324169</v>
      </c>
      <c r="M40" s="46">
        <v>0.10037276749324169</v>
      </c>
      <c r="N40" s="46">
        <v>0.10037276749324169</v>
      </c>
      <c r="O40" s="46">
        <v>0.10037276749324169</v>
      </c>
      <c r="P40" s="46">
        <v>0.10037276749324169</v>
      </c>
      <c r="Q40" s="46">
        <v>0.10037276749324169</v>
      </c>
      <c r="R40" s="46">
        <v>0.10037276749324169</v>
      </c>
      <c r="S40" s="46">
        <v>0.10037276749324169</v>
      </c>
      <c r="T40" s="46">
        <v>0.10037276749324169</v>
      </c>
      <c r="U40" s="46">
        <v>0.10037276749324169</v>
      </c>
      <c r="V40" s="46">
        <v>0.10037276749324169</v>
      </c>
      <c r="W40" s="46">
        <v>0.10037276749324169</v>
      </c>
      <c r="X40" s="46">
        <v>0.10037276749324169</v>
      </c>
      <c r="Y40" s="46">
        <v>0.10037276749324169</v>
      </c>
      <c r="Z40" s="46">
        <v>0.10037276749324169</v>
      </c>
      <c r="AA40" s="46">
        <v>0.10037276749324169</v>
      </c>
      <c r="AB40" s="46">
        <v>0.10037276749324169</v>
      </c>
      <c r="AC40" s="46">
        <v>0.10037276749324169</v>
      </c>
      <c r="AD40" s="46">
        <v>0.10037276749324169</v>
      </c>
      <c r="AE40" s="46">
        <v>0.10037276749324169</v>
      </c>
      <c r="AF40" s="46">
        <v>0.10037276749324169</v>
      </c>
      <c r="AG40" s="46">
        <v>0.10037276749324169</v>
      </c>
      <c r="AH40" s="46">
        <v>0.10037276749324169</v>
      </c>
      <c r="AI40" s="46">
        <v>0.10037276749324169</v>
      </c>
      <c r="AJ40" s="46">
        <v>0.10037276749324169</v>
      </c>
      <c r="AK40" s="46">
        <v>0.10037276749324169</v>
      </c>
      <c r="AL40" s="47">
        <v>0.10037276749324169</v>
      </c>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row>
    <row r="41" spans="2:98" ht="15">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row>
    <row r="42" spans="2:98" ht="15">
      <c r="B42" s="10"/>
      <c r="C42" s="22" t="s">
        <v>63</v>
      </c>
      <c r="D42" s="23"/>
      <c r="E42" s="24">
        <f t="array" ref="E42:CS42">_yL</f>
        <v>2019</v>
      </c>
      <c r="F42" s="24">
        <v>2020</v>
      </c>
      <c r="G42" s="24">
        <v>2021</v>
      </c>
      <c r="H42" s="24">
        <v>2022</v>
      </c>
      <c r="I42" s="24">
        <v>2023</v>
      </c>
      <c r="J42" s="24">
        <v>2024</v>
      </c>
      <c r="K42" s="24">
        <v>2025</v>
      </c>
      <c r="L42" s="24">
        <v>2026</v>
      </c>
      <c r="M42" s="24">
        <v>2027</v>
      </c>
      <c r="N42" s="24">
        <v>2028</v>
      </c>
      <c r="O42" s="24">
        <v>2029</v>
      </c>
      <c r="P42" s="24">
        <v>2030</v>
      </c>
      <c r="Q42" s="24">
        <v>2031</v>
      </c>
      <c r="R42" s="24">
        <v>2032</v>
      </c>
      <c r="S42" s="24">
        <v>2033</v>
      </c>
      <c r="T42" s="24">
        <v>2034</v>
      </c>
      <c r="U42" s="24">
        <v>2035</v>
      </c>
      <c r="V42" s="24">
        <v>2036</v>
      </c>
      <c r="W42" s="24">
        <v>2037</v>
      </c>
      <c r="X42" s="24">
        <v>2038</v>
      </c>
      <c r="Y42" s="24">
        <v>2039</v>
      </c>
      <c r="Z42" s="24">
        <v>2040</v>
      </c>
      <c r="AA42" s="24">
        <v>2041</v>
      </c>
      <c r="AB42" s="24">
        <v>2042</v>
      </c>
      <c r="AC42" s="24">
        <v>2043</v>
      </c>
      <c r="AD42" s="24">
        <v>2044</v>
      </c>
      <c r="AE42" s="24">
        <v>2045</v>
      </c>
      <c r="AF42" s="24">
        <v>2046</v>
      </c>
      <c r="AG42" s="24">
        <v>2047</v>
      </c>
      <c r="AH42" s="24">
        <v>2048</v>
      </c>
      <c r="AI42" s="24">
        <v>2049</v>
      </c>
      <c r="AJ42" s="24">
        <v>2050</v>
      </c>
      <c r="AK42" s="24">
        <v>2051</v>
      </c>
      <c r="AL42" s="24">
        <v>2052</v>
      </c>
      <c r="AM42" s="24">
        <v>2053</v>
      </c>
      <c r="AN42" s="24">
        <v>2054</v>
      </c>
      <c r="AO42" s="24">
        <v>2055</v>
      </c>
      <c r="AP42" s="24">
        <v>2056</v>
      </c>
      <c r="AQ42" s="24">
        <v>2057</v>
      </c>
      <c r="AR42" s="24">
        <v>2058</v>
      </c>
      <c r="AS42" s="24">
        <v>2059</v>
      </c>
      <c r="AT42" s="24">
        <v>2060</v>
      </c>
      <c r="AU42" s="24">
        <v>2061</v>
      </c>
      <c r="AV42" s="24">
        <v>2062</v>
      </c>
      <c r="AW42" s="24">
        <v>2063</v>
      </c>
      <c r="AX42" s="24">
        <v>2064</v>
      </c>
      <c r="AY42" s="24">
        <v>2065</v>
      </c>
      <c r="AZ42" s="24">
        <v>2066</v>
      </c>
      <c r="BA42" s="24">
        <v>2067</v>
      </c>
      <c r="BB42" s="24">
        <v>2068</v>
      </c>
      <c r="BC42" s="24">
        <v>2069</v>
      </c>
      <c r="BD42" s="24">
        <v>2070</v>
      </c>
      <c r="BE42" s="24">
        <v>2071</v>
      </c>
      <c r="BF42" s="24">
        <v>2072</v>
      </c>
      <c r="BG42" s="24">
        <v>2073</v>
      </c>
      <c r="BH42" s="24">
        <v>2074</v>
      </c>
      <c r="BI42" s="24">
        <v>2075</v>
      </c>
      <c r="BJ42" s="24">
        <v>2076</v>
      </c>
      <c r="BK42" s="24">
        <v>2077</v>
      </c>
      <c r="BL42" s="24">
        <v>2078</v>
      </c>
      <c r="BM42" s="24">
        <v>2079</v>
      </c>
      <c r="BN42" s="24">
        <v>2080</v>
      </c>
      <c r="BO42" s="24">
        <v>2081</v>
      </c>
      <c r="BP42" s="24">
        <v>2082</v>
      </c>
      <c r="BQ42" s="24">
        <v>2083</v>
      </c>
      <c r="BR42" s="24">
        <v>2084</v>
      </c>
      <c r="BS42" s="24">
        <v>2085</v>
      </c>
      <c r="BT42" s="24">
        <v>2086</v>
      </c>
      <c r="BU42" s="24">
        <v>2087</v>
      </c>
      <c r="BV42" s="24">
        <v>2088</v>
      </c>
      <c r="BW42" s="24">
        <v>2089</v>
      </c>
      <c r="BX42" s="24">
        <v>2090</v>
      </c>
      <c r="BY42" s="24">
        <v>2091</v>
      </c>
      <c r="BZ42" s="24">
        <v>2092</v>
      </c>
      <c r="CA42" s="24">
        <v>2093</v>
      </c>
      <c r="CB42" s="24">
        <v>2094</v>
      </c>
      <c r="CC42" s="24">
        <v>2095</v>
      </c>
      <c r="CD42" s="24">
        <v>2096</v>
      </c>
      <c r="CE42" s="24">
        <v>2097</v>
      </c>
      <c r="CF42" s="24">
        <v>2098</v>
      </c>
      <c r="CG42" s="24">
        <v>2099</v>
      </c>
      <c r="CH42" s="24">
        <v>2100</v>
      </c>
      <c r="CI42" s="24">
        <v>2101</v>
      </c>
      <c r="CJ42" s="24">
        <v>2102</v>
      </c>
      <c r="CK42" s="24">
        <v>2103</v>
      </c>
      <c r="CL42" s="24">
        <v>2104</v>
      </c>
      <c r="CM42" s="24">
        <v>2105</v>
      </c>
      <c r="CN42" s="24">
        <v>2106</v>
      </c>
      <c r="CO42" s="24">
        <v>2107</v>
      </c>
      <c r="CP42" s="24">
        <v>2108</v>
      </c>
      <c r="CQ42" s="24">
        <v>2109</v>
      </c>
      <c r="CR42" s="24">
        <v>2110</v>
      </c>
      <c r="CS42" s="25">
        <v>2111</v>
      </c>
      <c r="CT42" s="10"/>
    </row>
    <row r="43" spans="2:98" ht="15">
      <c r="B43" s="10"/>
      <c r="C43" s="27" t="s">
        <v>64</v>
      </c>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5"/>
      <c r="CT43" s="10"/>
    </row>
    <row r="44" spans="2:98" ht="15">
      <c r="B44" s="10"/>
      <c r="C44" s="48" t="s">
        <v>65</v>
      </c>
      <c r="D44" s="12" t="str">
        <f>shpUnit</f>
        <v>th units</v>
      </c>
      <c r="E44" s="39">
        <f t="array" aca="1" ref="E44:CS44" ca="1">tStkAxHBC+tStkPanBC+tStkCnHBC+tStkCnUBC+tStkInMxBC+tStkRadBC+tStkPRVBC</f>
        <v>498.12296407797447</v>
      </c>
      <c r="F44" s="39">
        <f ca="1"/>
        <v>997.2030890165081</v>
      </c>
      <c r="G44" s="39">
        <f ca="1"/>
        <v>1495.9660098577788</v>
      </c>
      <c r="H44" s="39">
        <f ca="1"/>
        <v>1993.4350101699442</v>
      </c>
      <c r="I44" s="39">
        <f ca="1"/>
        <v>2488.6333053546155</v>
      </c>
      <c r="J44" s="39">
        <f ca="1"/>
        <v>2961.1701622736518</v>
      </c>
      <c r="K44" s="39">
        <f ca="1"/>
        <v>3427.1530909279318</v>
      </c>
      <c r="L44" s="39">
        <f ca="1"/>
        <v>3884.0396145578202</v>
      </c>
      <c r="M44" s="39">
        <f ca="1"/>
        <v>4329.096129024676</v>
      </c>
      <c r="N44" s="39">
        <f ca="1"/>
        <v>4760.7048327150551</v>
      </c>
      <c r="O44" s="39">
        <f ca="1"/>
        <v>5177.5185382654408</v>
      </c>
      <c r="P44" s="39">
        <f ca="1"/>
        <v>5577.692206071908</v>
      </c>
      <c r="Q44" s="39">
        <f ca="1"/>
        <v>5960.358517036193</v>
      </c>
      <c r="R44" s="39">
        <f ca="1"/>
        <v>6342.6053237816541</v>
      </c>
      <c r="S44" s="39">
        <f ca="1"/>
        <v>6723.9979959033535</v>
      </c>
      <c r="T44" s="39">
        <f ca="1"/>
        <v>7086.0403157198598</v>
      </c>
      <c r="U44" s="39">
        <f ca="1"/>
        <v>7447.4022237113186</v>
      </c>
      <c r="V44" s="39">
        <f ca="1"/>
        <v>7807.5095101543184</v>
      </c>
      <c r="W44" s="39">
        <f ca="1"/>
        <v>8148.2162891877006</v>
      </c>
      <c r="X44" s="39">
        <f ca="1"/>
        <v>8470.1794819651641</v>
      </c>
      <c r="Y44" s="39">
        <f ca="1"/>
        <v>8773.6194166830446</v>
      </c>
      <c r="Z44" s="39">
        <f ca="1"/>
        <v>9058.835991610671</v>
      </c>
      <c r="AA44" s="39">
        <f ca="1"/>
        <v>9327.078761146533</v>
      </c>
      <c r="AB44" s="39">
        <f ca="1"/>
        <v>9580.2356478629863</v>
      </c>
      <c r="AC44" s="39">
        <f ca="1"/>
        <v>9818.6157673792113</v>
      </c>
      <c r="AD44" s="39">
        <f ca="1"/>
        <v>10042.128762432241</v>
      </c>
      <c r="AE44" s="39">
        <f ca="1"/>
        <v>10251.653189656068</v>
      </c>
      <c r="AF44" s="39">
        <f ca="1"/>
        <v>10447.782214298333</v>
      </c>
      <c r="AG44" s="39">
        <f ca="1"/>
        <v>10631.272951423953</v>
      </c>
      <c r="AH44" s="39">
        <f ca="1"/>
        <v>10802.612156402134</v>
      </c>
      <c r="AI44" s="39">
        <f ca="1"/>
        <v>10967.319486204897</v>
      </c>
      <c r="AJ44" s="39">
        <f ca="1"/>
        <v>11126.087328281457</v>
      </c>
      <c r="AK44" s="39">
        <f ca="1"/>
        <v>11278.666780856011</v>
      </c>
      <c r="AL44" s="39">
        <f ca="1"/>
        <v>11425.504571111884</v>
      </c>
      <c r="AM44" s="39">
        <f ca="1"/>
        <v>10991.715948487854</v>
      </c>
      <c r="AN44" s="39">
        <f ca="1"/>
        <v>10549.678338999334</v>
      </c>
      <c r="AO44" s="39">
        <f ca="1"/>
        <v>10100.047884166648</v>
      </c>
      <c r="AP44" s="39">
        <f ca="1"/>
        <v>9644.0806783663538</v>
      </c>
      <c r="AQ44" s="39">
        <f ca="1"/>
        <v>9183.4308956651621</v>
      </c>
      <c r="AR44" s="39">
        <f ca="1"/>
        <v>8720.6422912481121</v>
      </c>
      <c r="AS44" s="39">
        <f ca="1"/>
        <v>8258.6340103718649</v>
      </c>
      <c r="AT44" s="39">
        <f ca="1"/>
        <v>7800.1650883028105</v>
      </c>
      <c r="AU44" s="39">
        <f ca="1"/>
        <v>7348.4354452993402</v>
      </c>
      <c r="AV44" s="39">
        <f ca="1"/>
        <v>6905.2349032359507</v>
      </c>
      <c r="AW44" s="39">
        <f ca="1"/>
        <v>6472.6142317463537</v>
      </c>
      <c r="AX44" s="39">
        <f ca="1"/>
        <v>6053.5543550604943</v>
      </c>
      <c r="AY44" s="39">
        <f ca="1"/>
        <v>5649.3793422492618</v>
      </c>
      <c r="AZ44" s="39">
        <f ca="1"/>
        <v>5261.2897929933624</v>
      </c>
      <c r="BA44" s="39">
        <f ca="1"/>
        <v>4890.6101881861268</v>
      </c>
      <c r="BB44" s="39">
        <f ca="1"/>
        <v>4537.9751977869346</v>
      </c>
      <c r="BC44" s="39">
        <f ca="1"/>
        <v>4203.0429084456046</v>
      </c>
      <c r="BD44" s="39">
        <f ca="1"/>
        <v>3886.9787697339866</v>
      </c>
      <c r="BE44" s="39">
        <f ca="1"/>
        <v>3589.3398610354807</v>
      </c>
      <c r="BF44" s="39">
        <f ca="1"/>
        <v>3309.3182969991376</v>
      </c>
      <c r="BG44" s="39">
        <f ca="1"/>
        <v>3046.57575582756</v>
      </c>
      <c r="BH44" s="39">
        <f ca="1"/>
        <v>2800.8027716888764</v>
      </c>
      <c r="BI44" s="39">
        <f ca="1"/>
        <v>2572.4022392673296</v>
      </c>
      <c r="BJ44" s="39">
        <f ca="1"/>
        <v>2360.1860137377862</v>
      </c>
      <c r="BK44" s="39">
        <f ca="1"/>
        <v>2163.4834200886594</v>
      </c>
      <c r="BL44" s="39">
        <f ca="1"/>
        <v>1982.2224147644833</v>
      </c>
      <c r="BM44" s="39">
        <f ca="1"/>
        <v>1817.4362452645796</v>
      </c>
      <c r="BN44" s="39">
        <f ca="1"/>
        <v>1668.2731024013242</v>
      </c>
      <c r="BO44" s="39">
        <f ca="1"/>
        <v>1533.6764766862379</v>
      </c>
      <c r="BP44" s="39">
        <f ca="1"/>
        <v>1412.9986711350821</v>
      </c>
      <c r="BQ44" s="39">
        <f ca="1"/>
        <v>1299.801840868703</v>
      </c>
      <c r="BR44" s="39">
        <f ca="1"/>
        <v>1193.0975220448063</v>
      </c>
      <c r="BS44" s="39">
        <f ca="1"/>
        <v>1093.1200553799645</v>
      </c>
      <c r="BT44" s="39">
        <f ca="1"/>
        <v>999.29191946373783</v>
      </c>
      <c r="BU44" s="39">
        <f ca="1"/>
        <v>910.90096994830378</v>
      </c>
      <c r="BV44" s="39">
        <f ca="1"/>
        <v>828.3558394006709</v>
      </c>
      <c r="BW44" s="39">
        <f ca="1"/>
        <v>750.91472099949783</v>
      </c>
      <c r="BX44" s="39">
        <f ca="1"/>
        <v>678.16435360653975</v>
      </c>
      <c r="BY44" s="39">
        <f ca="1"/>
        <v>610.15325780202556</v>
      </c>
      <c r="BZ44" s="39">
        <f ca="1"/>
        <v>546.62563906526327</v>
      </c>
      <c r="CA44" s="39">
        <f ca="1"/>
        <v>487.28216642972808</v>
      </c>
      <c r="CB44" s="39">
        <f ca="1"/>
        <v>431.95175753389242</v>
      </c>
      <c r="CC44" s="39">
        <f ca="1"/>
        <v>380.53736493946633</v>
      </c>
      <c r="CD44" s="39">
        <f ca="1"/>
        <v>332.9679703526391</v>
      </c>
      <c r="CE44" s="39">
        <f ca="1"/>
        <v>289.06628820857259</v>
      </c>
      <c r="CF44" s="39">
        <f ca="1"/>
        <v>248.50821075150623</v>
      </c>
      <c r="CG44" s="39">
        <f ca="1"/>
        <v>211.25956435482706</v>
      </c>
      <c r="CH44" s="39">
        <f ca="1"/>
        <v>177.32947788801488</v>
      </c>
      <c r="CI44" s="39">
        <f ca="1"/>
        <v>146.53108446947846</v>
      </c>
      <c r="CJ44" s="39">
        <f ca="1"/>
        <v>118.76959228746964</v>
      </c>
      <c r="CK44" s="39">
        <f ca="1"/>
        <v>94.217525530495834</v>
      </c>
      <c r="CL44" s="39">
        <f ca="1"/>
        <v>72.459159471168988</v>
      </c>
      <c r="CM44" s="39">
        <f ca="1"/>
        <v>53.719756636038085</v>
      </c>
      <c r="CN44" s="39">
        <f ca="1"/>
        <v>37.994331297299809</v>
      </c>
      <c r="CO44" s="39">
        <f ca="1"/>
        <v>25.189889610800755</v>
      </c>
      <c r="CP44" s="39">
        <f ca="1"/>
        <v>15.158686841620407</v>
      </c>
      <c r="CQ44" s="39">
        <f ca="1"/>
        <v>7.5763303089777141</v>
      </c>
      <c r="CR44" s="39">
        <f ca="1"/>
        <v>2.5064880006176162</v>
      </c>
      <c r="CS44" s="40">
        <f ca="1"/>
        <v>0</v>
      </c>
      <c r="CT44" s="10"/>
    </row>
    <row r="45" spans="2:98" ht="15">
      <c r="B45" s="10"/>
      <c r="C45" s="48" t="s">
        <v>66</v>
      </c>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5"/>
      <c r="CT45" s="10"/>
    </row>
    <row r="46" spans="2:98" ht="15">
      <c r="B46" s="10"/>
      <c r="C46" s="28" t="str">
        <f>INDEX(_pcName,1)</f>
        <v>Axial Cylindrical Housed</v>
      </c>
      <c r="D46" s="12" t="str">
        <f t="shared" ref="D46:D52" si="5">shpUnit</f>
        <v>th units</v>
      </c>
      <c r="E46" s="39">
        <f ca="1">SUMPRODUCT(N(OFFSET(tShpAxHBC,0,0,1,1)),N(OFFSET(tpSurvAxH,0,1-OFFSET(_i,0,0,1,1),1,1)))</f>
        <v>43.660697705118004</v>
      </c>
      <c r="F46" s="39">
        <f ca="1">SUMPRODUCT(OFFSET(tShpAxHBC,0,0,1,2),N(OFFSET(tpSurvAxH,0,2-OFFSET(_i,0,0,1,2),1,1)))</f>
        <v>87.405290982216712</v>
      </c>
      <c r="G46" s="39">
        <f ca="1">SUMPRODUCT(OFFSET(tShpAxHBC,0,0,1,3),N(OFFSET(tpSurvAxH,0,3-OFFSET(_i,0,0,1,3),1,1)))</f>
        <v>131.12524686796129</v>
      </c>
      <c r="H46" s="39">
        <f ca="1">SUMPRODUCT(OFFSET(tShpAxHBC,0,0,1,4),N(OFFSET(tpSurvAxH,0,4-OFFSET(_i,0,0,1,4),1,1)))</f>
        <v>174.79370547395897</v>
      </c>
      <c r="I46" s="39">
        <f ca="1">SUMPRODUCT(OFFSET(tShpAxHBC,0,0,1,5),N(OFFSET(tpSurvAxH,0,5-OFFSET(_i,0,0,1,5),1,1)))</f>
        <v>218.43645974651992</v>
      </c>
      <c r="J46" s="39">
        <f ca="1">SUMPRODUCT(OFFSET(tShpAxHBC,0,0,1,6),N(OFFSET(tpSurvAxH,0,6-OFFSET(_i,0,0,1,6),1,1)))</f>
        <v>260.32626410005309</v>
      </c>
      <c r="K46" s="39">
        <f ca="1">SUMPRODUCT(OFFSET(tShpAxHBC,0,0,1,7),N(OFFSET(tpSurvAxH,0,7-OFFSET(_i,0,0,1,7),1,1)))</f>
        <v>301.84070226949541</v>
      </c>
      <c r="L46" s="39">
        <f ca="1">SUMPRODUCT(OFFSET(tShpAxHBC,0,0,1,8),N(OFFSET(tpSurvAxH,0,8-OFFSET(_i,0,0,1,8),1,1)))</f>
        <v>342.84135483095207</v>
      </c>
      <c r="M46" s="39">
        <f ca="1">SUMPRODUCT(OFFSET(tShpAxHBC,0,0,1,9),N(OFFSET(tpSurvAxH,0,9-OFFSET(_i,0,0,1,9),1,1)))</f>
        <v>383.05337447564244</v>
      </c>
      <c r="N46" s="39">
        <f ca="1">SUMPRODUCT(OFFSET(tShpAxHBC,0,0,1,10),N(OFFSET(tpSurvAxH,0,10-OFFSET(_i,0,0,1,10),1,1)))</f>
        <v>422.32871852261638</v>
      </c>
      <c r="O46" s="39">
        <f ca="1">SUMPRODUCT(OFFSET(tShpAxHBC,0,0,1,11),N(OFFSET(tpSurvAxH,0,11-OFFSET(_i,0,0,1,11),1,1)))</f>
        <v>460.57126949646988</v>
      </c>
      <c r="P46" s="39">
        <f ca="1">SUMPRODUCT(OFFSET(tShpAxHBC,0,0,1,12),N(OFFSET(tpSurvAxH,0,12-OFFSET(_i,0,0,1,12),1,1)))</f>
        <v>497.64738585532359</v>
      </c>
      <c r="Q46" s="39">
        <f ca="1">SUMPRODUCT(OFFSET(tShpAxHBC,0,0,1,13),N(OFFSET(tpSurvAxH,0,13-OFFSET(_i,0,0,1,13),1,1)))</f>
        <v>533.34930396915843</v>
      </c>
      <c r="R46" s="39">
        <f ca="1">SUMPRODUCT(OFFSET(tShpAxHBC,0,0,1,14),N(OFFSET(tpSurvAxH,0,14-OFFSET(_i,0,0,1,14),1,1)))</f>
        <v>569.18537427275703</v>
      </c>
      <c r="S46" s="39">
        <f ca="1">SUMPRODUCT(OFFSET(tShpAxHBC,0,0,1,15),N(OFFSET(tpSurvAxH,0,15-OFFSET(_i,0,0,1,15),1,1)))</f>
        <v>605.38140065014068</v>
      </c>
      <c r="T46" s="39">
        <f ca="1">SUMPRODUCT(OFFSET(tShpAxHBC,0,0,1,16),N(OFFSET(tpSurvAxH,0,16-OFFSET(_i,0,0,1,16),1,1)))</f>
        <v>640.16674523713743</v>
      </c>
      <c r="U46" s="39">
        <f ca="1">SUMPRODUCT(OFFSET(tShpAxHBC,0,0,1,17),N(OFFSET(tpSurvAxH,0,17-OFFSET(_i,0,0,1,17),1,1)))</f>
        <v>675.01194649778949</v>
      </c>
      <c r="V46" s="39">
        <f ca="1">SUMPRODUCT(OFFSET(tShpAxHBC,0,0,1,18),N(OFFSET(tpSurvAxH,0,18-OFFSET(_i,0,0,1,18),1,1)))</f>
        <v>710.01637948440327</v>
      </c>
      <c r="W46" s="39">
        <f ca="1">SUMPRODUCT(OFFSET(tShpAxHBC,0,0,1,19),N(OFFSET(tpSurvAxH,0,19-OFFSET(_i,0,0,1,19),1,1)))</f>
        <v>743.47056392786556</v>
      </c>
      <c r="X46" s="39">
        <f ca="1">SUMPRODUCT(OFFSET(tShpAxHBC,0,0,1,20),N(OFFSET(tpSurvAxH,0,20-OFFSET(_i,0,0,1,20),1,1)))</f>
        <v>775.72525297514937</v>
      </c>
      <c r="Y46" s="39">
        <f ca="1">SUMPRODUCT(OFFSET(tShpAxHBC,0,0,1,21),N(OFFSET(tpSurvAxH,0,21-OFFSET(_i,0,0,1,21),1,1)))</f>
        <v>806.49083841994604</v>
      </c>
      <c r="Z46" s="39">
        <f ca="1">SUMPRODUCT(OFFSET(tShpAxHBC,0,0,1,22),N(OFFSET(tpSurvAxH,0,22-OFFSET(_i,0,0,1,22),1,1)))</f>
        <v>836.11609941998131</v>
      </c>
      <c r="AA46" s="39">
        <f ca="1">SUMPRODUCT(OFFSET(tShpAxHBC,0,0,1,23),N(OFFSET(tpSurvAxH,0,23-OFFSET(_i,0,0,1,23),1,1)))</f>
        <v>864.34998361959629</v>
      </c>
      <c r="AB46" s="39">
        <f ca="1">SUMPRODUCT(OFFSET(tShpAxHBC,0,0,1,24),N(OFFSET(tpSurvAxH,0,24-OFFSET(_i,0,0,1,24),1,1)))</f>
        <v>891.44088662879301</v>
      </c>
      <c r="AC46" s="39">
        <f ca="1">SUMPRODUCT(OFFSET(tShpAxHBC,0,0,1,25),N(OFFSET(tpSurvAxH,0,25-OFFSET(_i,0,0,1,25),1,1)))</f>
        <v>917.47628740552182</v>
      </c>
      <c r="AD46" s="39">
        <f ca="1">SUMPRODUCT(OFFSET(tShpAxHBC,0,0,1,26),N(OFFSET(tpSurvAxH,0,26-OFFSET(_i,0,0,1,26),1,1)))</f>
        <v>942.41444488434945</v>
      </c>
      <c r="AE46" s="39">
        <f ca="1">SUMPRODUCT(OFFSET(tShpAxHBC,0,0,1,27),N(OFFSET(tpSurvAxH,0,27-OFFSET(_i,0,0,1,27),1,1)))</f>
        <v>966.16064049453155</v>
      </c>
      <c r="AF46" s="39">
        <f ca="1">SUMPRODUCT(OFFSET(tShpAxHBC,0,0,1,28),N(OFFSET(tpSurvAxH,0,28-OFFSET(_i,0,0,1,28),1,1)))</f>
        <v>988.90597824011991</v>
      </c>
      <c r="AG46" s="39">
        <f ca="1">SUMPRODUCT(OFFSET(tShpAxHBC,0,0,1,29),N(OFFSET(tpSurvAxH,0,29-OFFSET(_i,0,0,1,29),1,1)))</f>
        <v>1010.8223875907702</v>
      </c>
      <c r="AH46" s="39">
        <f ca="1">SUMPRODUCT(OFFSET(tShpAxHBC,0,0,1,30),N(OFFSET(tpSurvAxH,0,30-OFFSET(_i,0,0,1,30),1,1)))</f>
        <v>1031.7611775722792</v>
      </c>
      <c r="AI46" s="39">
        <f ca="1">SUMPRODUCT(OFFSET(tShpAxHBC,0,0,1,31),N(OFFSET(tpSurvAxH,0,31-OFFSET(_i,0,0,1,31),1,1)))</f>
        <v>1051.7772537701708</v>
      </c>
      <c r="AJ46" s="39">
        <f ca="1">SUMPRODUCT(OFFSET(tShpAxHBC,0,0,1,32),N(OFFSET(tpSurvAxH,0,32-OFFSET(_i,0,0,1,32),1,1)))</f>
        <v>1071.1985646583919</v>
      </c>
      <c r="AK46" s="39">
        <f ca="1">SUMPRODUCT(OFFSET(tShpAxHBC,0,0,1,33),N(OFFSET(tpSurvAxH,0,33-OFFSET(_i,0,0,1,33),1,1)))</f>
        <v>1089.7166873772994</v>
      </c>
      <c r="AL46" s="39">
        <f ca="1">SUMPRODUCT(OFFSET(tShpAxHBC,0,0,1,34),N(OFFSET(tpSurvAxH,0,34-OFFSET(_i,0,0,1,34),1,1)))</f>
        <v>1107.4996671716838</v>
      </c>
      <c r="AM46" s="39">
        <f ca="1">SUMPRODUCT(OFFSET(tShpAxHBC,0,0,1,34),N(OFFSET(tpSurvAxH,0,35-OFFSET(_i,0,0,1,34),1,1)))</f>
        <v>1074.3022298271494</v>
      </c>
      <c r="AN46" s="39">
        <f ca="1">SUMPRODUCT(OFFSET(tShpAxHBC,0,0,1,34),N(OFFSET(tpSurvAxH,0,36-OFFSET(_i,0,0,1,34),1,1)))</f>
        <v>1040.2370906018707</v>
      </c>
      <c r="AO46" s="39">
        <f ca="1">SUMPRODUCT(OFFSET(tShpAxHBC,0,0,1,34),N(OFFSET(tpSurvAxH,0,37-OFFSET(_i,0,0,1,34),1,1)))</f>
        <v>1005.3292787764387</v>
      </c>
      <c r="AP46" s="39">
        <f ca="1">SUMPRODUCT(OFFSET(tShpAxHBC,0,0,1,34),N(OFFSET(tpSurvAxH,0,38-OFFSET(_i,0,0,1,34),1,1)))</f>
        <v>969.75839714772303</v>
      </c>
      <c r="AQ46" s="39">
        <f ca="1">SUMPRODUCT(OFFSET(tShpAxHBC,0,0,1,34),N(OFFSET(tpSurvAxH,0,39-OFFSET(_i,0,0,1,34),1,1)))</f>
        <v>933.40783202664352</v>
      </c>
      <c r="AR46" s="39">
        <f ca="1">SUMPRODUCT(OFFSET(tShpAxHBC,0,0,1,34),N(OFFSET(tpSurvAxH,0,40-OFFSET(_i,0,0,1,34),1,1)))</f>
        <v>896.41379901659946</v>
      </c>
      <c r="AS46" s="39">
        <f ca="1">SUMPRODUCT(OFFSET(tShpAxHBC,0,0,1,34),N(OFFSET(tpSurvAxH,0,41-OFFSET(_i,0,0,1,34),1,1)))</f>
        <v>859.07600381279076</v>
      </c>
      <c r="AT46" s="39">
        <f ca="1">SUMPRODUCT(OFFSET(tShpAxHBC,0,0,1,34),N(OFFSET(tpSurvAxH,0,42-OFFSET(_i,0,0,1,34),1,1)))</f>
        <v>821.61849846394875</v>
      </c>
      <c r="AU46" s="39">
        <f ca="1">SUMPRODUCT(OFFSET(tShpAxHBC,0,0,1,34),N(OFFSET(tpSurvAxH,0,43-OFFSET(_i,0,0,1,34),1,1)))</f>
        <v>784.32405332237568</v>
      </c>
      <c r="AV46" s="39">
        <f ca="1">SUMPRODUCT(OFFSET(tShpAxHBC,0,0,1,34),N(OFFSET(tpSurvAxH,0,44-OFFSET(_i,0,0,1,34),1,1)))</f>
        <v>747.2910459588079</v>
      </c>
      <c r="AW46" s="39">
        <f ca="1">SUMPRODUCT(OFFSET(tShpAxHBC,0,0,1,34),N(OFFSET(tpSurvAxH,0,45-OFFSET(_i,0,0,1,34),1,1)))</f>
        <v>710.68898542062107</v>
      </c>
      <c r="AX46" s="39">
        <f ca="1">SUMPRODUCT(OFFSET(tShpAxHBC,0,0,1,34),N(OFFSET(tpSurvAxH,0,46-OFFSET(_i,0,0,1,34),1,1)))</f>
        <v>674.75923935013884</v>
      </c>
      <c r="AY46" s="39">
        <f ca="1">SUMPRODUCT(OFFSET(tShpAxHBC,0,0,1,34),N(OFFSET(tpSurvAxH,0,47-OFFSET(_i,0,0,1,34),1,1)))</f>
        <v>639.62336099987851</v>
      </c>
      <c r="AZ46" s="39">
        <f ca="1">SUMPRODUCT(OFFSET(tShpAxHBC,0,0,1,34),N(OFFSET(tpSurvAxH,0,48-OFFSET(_i,0,0,1,34),1,1)))</f>
        <v>605.56707179413377</v>
      </c>
      <c r="BA46" s="39">
        <f ca="1">SUMPRODUCT(OFFSET(tShpAxHBC,0,0,1,34),N(OFFSET(tpSurvAxH,0,49-OFFSET(_i,0,0,1,34),1,1)))</f>
        <v>572.29344711169506</v>
      </c>
      <c r="BB46" s="39">
        <f ca="1">SUMPRODUCT(OFFSET(tShpAxHBC,0,0,1,34),N(OFFSET(tpSurvAxH,0,50-OFFSET(_i,0,0,1,34),1,1)))</f>
        <v>540.12889673968436</v>
      </c>
      <c r="BC46" s="39">
        <f ca="1">SUMPRODUCT(OFFSET(tShpAxHBC,0,0,1,34),N(OFFSET(tpSurvAxH,0,51-OFFSET(_i,0,0,1,34),1,1)))</f>
        <v>509.25208503848637</v>
      </c>
      <c r="BD46" s="39">
        <f ca="1">SUMPRODUCT(OFFSET(tShpAxHBC,0,0,1,34),N(OFFSET(tpSurvAxH,0,52-OFFSET(_i,0,0,1,34),1,1)))</f>
        <v>479.53383768065714</v>
      </c>
      <c r="BE46" s="39">
        <f ca="1">SUMPRODUCT(OFFSET(tShpAxHBC,0,0,1,34),N(OFFSET(tpSurvAxH,0,53-OFFSET(_i,0,0,1,34),1,1)))</f>
        <v>451.04409671438503</v>
      </c>
      <c r="BF46" s="39">
        <f ca="1">SUMPRODUCT(OFFSET(tShpAxHBC,0,0,1,34),N(OFFSET(tpSurvAxH,0,54-OFFSET(_i,0,0,1,34),1,1)))</f>
        <v>423.30505383120442</v>
      </c>
      <c r="BG46" s="39">
        <f ca="1">SUMPRODUCT(OFFSET(tShpAxHBC,0,0,1,34),N(OFFSET(tpSurvAxH,0,55-OFFSET(_i,0,0,1,34),1,1)))</f>
        <v>396.76848229587137</v>
      </c>
      <c r="BH46" s="39">
        <f ca="1">SUMPRODUCT(OFFSET(tShpAxHBC,0,0,1,34),N(OFFSET(tpSurvAxH,0,56-OFFSET(_i,0,0,1,34),1,1)))</f>
        <v>371.01591139818515</v>
      </c>
      <c r="BI46" s="39">
        <f ca="1">SUMPRODUCT(OFFSET(tShpAxHBC,0,0,1,34),N(OFFSET(tpSurvAxH,0,57-OFFSET(_i,0,0,1,34),1,1)))</f>
        <v>346.58294229211538</v>
      </c>
      <c r="BJ46" s="39">
        <f ca="1">SUMPRODUCT(OFFSET(tShpAxHBC,0,0,1,34),N(OFFSET(tpSurvAxH,0,58-OFFSET(_i,0,0,1,34),1,1)))</f>
        <v>323.19469994597807</v>
      </c>
      <c r="BK46" s="39">
        <f ca="1">SUMPRODUCT(OFFSET(tShpAxHBC,0,0,1,34),N(OFFSET(tpSurvAxH,0,59-OFFSET(_i,0,0,1,34),1,1)))</f>
        <v>300.86011140910341</v>
      </c>
      <c r="BL46" s="39">
        <f ca="1">SUMPRODUCT(OFFSET(tShpAxHBC,0,0,1,34),N(OFFSET(tpSurvAxH,0,60-OFFSET(_i,0,0,1,34),1,1)))</f>
        <v>279.48185845436251</v>
      </c>
      <c r="BM46" s="39">
        <f ca="1">SUMPRODUCT(OFFSET(tShpAxHBC,0,1,1,33),N(OFFSET(tpSurvAxH,0,60-OFFSET(_i,0,0,1,33),1,1)))</f>
        <v>259.49550712026439</v>
      </c>
      <c r="BN46" s="39">
        <f ca="1">SUMPRODUCT(OFFSET(tShpAxHBC,0,2,1,32),N(OFFSET(tpSurvAxH,0,60-OFFSET(_i,0,0,1,32),1,1)))</f>
        <v>240.69474417768384</v>
      </c>
      <c r="BO46" s="39">
        <f ca="1">SUMPRODUCT(OFFSET(tShpAxHBC,0,3,1,31),N(OFFSET(tpSurvAxH,0,60-OFFSET(_i,0,0,1,31),1,1)))</f>
        <v>222.86146646869429</v>
      </c>
      <c r="BP46" s="39">
        <f ca="1">SUMPRODUCT(OFFSET(tShpAxHBC,0,4,1,30),N(OFFSET(tpSurvAxH,0,60-OFFSET(_i,0,0,1,30),1,1)))</f>
        <v>206.13997421071255</v>
      </c>
      <c r="BQ46" s="39">
        <f ca="1">SUMPRODUCT(OFFSET(tShpAxHBC,0,5,1,29),N(OFFSET(tpSurvAxH,0,60-OFFSET(_i,0,0,1,29),1,1)))</f>
        <v>190.47827350540865</v>
      </c>
      <c r="BR46" s="39">
        <f ca="1">SUMPRODUCT(OFFSET(tShpAxHBC,0,6,1,28),N(OFFSET(tpSurvAxH,0,60-OFFSET(_i,0,0,1,28),1,1)))</f>
        <v>175.48506801384727</v>
      </c>
      <c r="BS46" s="39">
        <f ca="1">SUMPRODUCT(OFFSET(tShpAxHBC,0,7,1,27),N(OFFSET(tpSurvAxH,0,60-OFFSET(_i,0,0,1,27),1,1)))</f>
        <v>161.5042657253511</v>
      </c>
      <c r="BT46" s="39">
        <f ca="1">SUMPRODUCT(OFFSET(tShpAxHBC,0,8,1,26),N(OFFSET(tpSurvAxH,0,60-OFFSET(_i,0,0,1,26),1,1)))</f>
        <v>148.33107496821123</v>
      </c>
      <c r="BU46" s="39">
        <f ca="1">SUMPRODUCT(OFFSET(tShpAxHBC,0,9,1,25),N(OFFSET(tpSurvAxH,0,60-OFFSET(_i,0,0,1,25),1,1)))</f>
        <v>135.74531571079251</v>
      </c>
      <c r="BV46" s="39">
        <f ca="1">SUMPRODUCT(OFFSET(tShpAxHBC,0,10,1,24),N(OFFSET(tpSurvAxH,0,60-OFFSET(_i,0,0,1,24),1,1)))</f>
        <v>123.87291017990951</v>
      </c>
      <c r="BW46" s="39">
        <f ca="1">SUMPRODUCT(OFFSET(tShpAxHBC,0,11,1,23),N(OFFSET(tpSurvAxH,0,60-OFFSET(_i,0,0,1,23),1,1)))</f>
        <v>112.66220177888313</v>
      </c>
      <c r="BX46" s="39">
        <f ca="1">SUMPRODUCT(OFFSET(tShpAxHBC,0,12,1,22),N(OFFSET(tpSurvAxH,0,60-OFFSET(_i,0,0,1,22),1,1)))</f>
        <v>101.94309541736568</v>
      </c>
      <c r="BY46" s="39">
        <f ca="1">SUMPRODUCT(OFFSET(tShpAxHBC,0,13,1,21),N(OFFSET(tpSurvAxH,0,60-OFFSET(_i,0,0,1,21),1,1)))</f>
        <v>91.871556863616547</v>
      </c>
      <c r="BZ46" s="39">
        <f ca="1">SUMPRODUCT(OFFSET(tShpAxHBC,0,14,1,20),N(OFFSET(tpSurvAxH,0,60-OFFSET(_i,0,0,1,20),1,1)))</f>
        <v>82.422312156222915</v>
      </c>
      <c r="CA46" s="39">
        <f ca="1">SUMPRODUCT(OFFSET(tShpAxHBC,0,15,1,19),N(OFFSET(tpSurvAxH,0,60-OFFSET(_i,0,0,1,19),1,1)))</f>
        <v>73.580328023120984</v>
      </c>
      <c r="CB46" s="39">
        <f ca="1">SUMPRODUCT(OFFSET(tShpAxHBC,0,16,1,18),N(OFFSET(tpSurvAxH,0,60-OFFSET(_i,0,0,1,18),1,1)))</f>
        <v>65.250505625355331</v>
      </c>
      <c r="CC46" s="39">
        <f ca="1">SUMPRODUCT(OFFSET(tShpAxHBC,0,17,1,17),N(OFFSET(tpSurvAxH,0,60-OFFSET(_i,0,0,1,17),1,1)))</f>
        <v>57.451333395597423</v>
      </c>
      <c r="CD46" s="39">
        <f ca="1">SUMPRODUCT(OFFSET(tShpAxHBC,0,18,1,16),N(OFFSET(tpSurvAxH,0,60-OFFSET(_i,0,0,1,16),1,1)))</f>
        <v>50.231377257354694</v>
      </c>
      <c r="CE46" s="39">
        <f ca="1">SUMPRODUCT(OFFSET(tShpAxHBC,0,19,1,15),N(OFFSET(tpSurvAxH,0,60-OFFSET(_i,0,0,1,15),1,1)))</f>
        <v>43.556027455636574</v>
      </c>
      <c r="CF46" s="39">
        <f ca="1">SUMPRODUCT(OFFSET(tShpAxHBC,0,20,1,14),N(OFFSET(tpSurvAxH,0,60-OFFSET(_i,0,0,1,14),1,1)))</f>
        <v>37.380441129983033</v>
      </c>
      <c r="CG46" s="39">
        <f ca="1">SUMPRODUCT(OFFSET(tShpAxHBC,0,21,1,13),N(OFFSET(tpSurvAxH,0,60-OFFSET(_i,0,0,1,13),1,1)))</f>
        <v>31.831273241909919</v>
      </c>
      <c r="CH46" s="39">
        <f ca="1">SUMPRODUCT(OFFSET(tShpAxHBC,0,22,1,12),N(OFFSET(tpSurvAxH,0,60-OFFSET(_i,0,0,1,12),1,1)))</f>
        <v>26.692759907093858</v>
      </c>
      <c r="CI46" s="39">
        <f ca="1">SUMPRODUCT(OFFSET(tShpAxHBC,0,23,1,11),N(OFFSET(tpSurvAxH,0,60-OFFSET(_i,0,0,1,11),1,1)))</f>
        <v>22.076873004562259</v>
      </c>
      <c r="CJ46" s="39">
        <f ca="1">SUMPRODUCT(OFFSET(tShpAxHBC,0,24,1,10),N(OFFSET(tpSurvAxH,0,60-OFFSET(_i,0,0,1,10),1,1)))</f>
        <v>17.849669642693794</v>
      </c>
      <c r="CK46" s="39">
        <f ca="1">SUMPRODUCT(OFFSET(tShpAxHBC,0,25,1,9),N(OFFSET(tpSurvAxH,0,60-OFFSET(_i,0,0,1,9),1,1)))</f>
        <v>14.022903935579365</v>
      </c>
      <c r="CL46" s="39">
        <f ca="1">SUMPRODUCT(OFFSET(tShpAxHBC,0,26,1,8),N(OFFSET(tpSurvAxH,0,60-OFFSET(_i,0,0,1,8),1,1)))</f>
        <v>10.648723257317705</v>
      </c>
      <c r="CM46" s="39">
        <f ca="1">SUMPRODUCT(OFFSET(tShpAxHBC,0,27,1,7),N(OFFSET(tpSurvAxH,0,60-OFFSET(_i,0,0,1,7),1,1)))</f>
        <v>7.7694169020051467</v>
      </c>
      <c r="CN46" s="39">
        <f ca="1">SUMPRODUCT(OFFSET(tShpAxHBC,0,28,1,6),N(OFFSET(tpSurvAxH,0,60-OFFSET(_i,0,0,1,6),1,1)))</f>
        <v>5.4627614652438554</v>
      </c>
      <c r="CO46" s="39">
        <f ca="1">SUMPRODUCT(OFFSET(tShpAxHBC,0,29,1,5),N(OFFSET(tpSurvAxH,0,60-OFFSET(_i,0,0,1,5),1,1)))</f>
        <v>3.5899885566756771</v>
      </c>
      <c r="CP46" s="39">
        <f ca="1">SUMPRODUCT(OFFSET(tShpAxHBC,0,30,1,4),N(OFFSET(tpSurvAxH,0,60-OFFSET(_i,0,0,1,4),1,1)))</f>
        <v>2.1731318682863843</v>
      </c>
      <c r="CQ46" s="39">
        <f ca="1">SUMPRODUCT(OFFSET(tShpAxHBC,0,31,1,3),N(OFFSET(tpSurvAxH,0,60-OFFSET(_i,0,0,1,3),1,1)))</f>
        <v>1.0779729754294638</v>
      </c>
      <c r="CR46" s="39">
        <f ca="1">SUMPRODUCT(OFFSET(tShpAxHBC,0,32,1,2),N(OFFSET(tpSurvAxH,0,60-OFFSET(_i,0,0,1,2),1,1)))</f>
        <v>0.40678290105152654</v>
      </c>
      <c r="CS46" s="40">
        <f ca="1">SUMPRODUCT(N(OFFSET(tShpAxHBC,0,33,1,1)),N(OFFSET(tpSurvAxH,0,60-OFFSET(_i,0,0,1,1),1,1)))</f>
        <v>0</v>
      </c>
      <c r="CT46" s="10"/>
    </row>
    <row r="47" spans="2:98" ht="15">
      <c r="B47" s="10"/>
      <c r="C47" s="28" t="str">
        <f>INDEX(_pcName,2)</f>
        <v>Panel</v>
      </c>
      <c r="D47" s="12" t="str">
        <f t="shared" si="5"/>
        <v>th units</v>
      </c>
      <c r="E47" s="39">
        <f ca="1">SUMPRODUCT(N(OFFSET(tShpPanBC,0,0,1,1)),N(OFFSET(tpSurvPan,0,1-OFFSET(_i,0,0,1,1),1,1)))</f>
        <v>39.313615843577466</v>
      </c>
      <c r="F47" s="39">
        <f ca="1">SUMPRODUCT(OFFSET(tShpPanBC,0,0,1,2),N(OFFSET(tpSurvPan,0,2-OFFSET(_i,0,0,1,2),1,1)))</f>
        <v>78.702774187874979</v>
      </c>
      <c r="G47" s="39">
        <f ca="1">SUMPRODUCT(OFFSET(tShpPanBC,0,0,1,3),N(OFFSET(tpSurvPan,0,3-OFFSET(_i,0,0,1,3),1,1)))</f>
        <v>118.06974816522478</v>
      </c>
      <c r="H47" s="39">
        <f ca="1">SUMPRODUCT(OFFSET(tShpPanBC,0,0,1,4),N(OFFSET(tpSurvPan,0,4-OFFSET(_i,0,0,1,4),1,1)))</f>
        <v>157.39821491795561</v>
      </c>
      <c r="I47" s="39">
        <f ca="1">SUMPRODUCT(OFFSET(tShpPanBC,0,0,1,5),N(OFFSET(tpSurvPan,0,5-OFFSET(_i,0,0,1,5),1,1)))</f>
        <v>196.66423808451097</v>
      </c>
      <c r="J47" s="39">
        <f ca="1">SUMPRODUCT(OFFSET(tShpPanBC,0,0,1,6),N(OFFSET(tpSurvPan,0,6-OFFSET(_i,0,0,1,6),1,1)))</f>
        <v>234.33996990705197</v>
      </c>
      <c r="K47" s="39">
        <f ca="1">SUMPRODUCT(OFFSET(tShpPanBC,0,0,1,7),N(OFFSET(tpSurvPan,0,7-OFFSET(_i,0,0,1,7),1,1)))</f>
        <v>271.70915163110891</v>
      </c>
      <c r="L47" s="39">
        <f ca="1">SUMPRODUCT(OFFSET(tShpPanBC,0,0,1,8),N(OFFSET(tpSurvPan,0,8-OFFSET(_i,0,0,1,8),1,1)))</f>
        <v>308.60008389223941</v>
      </c>
      <c r="M47" s="39">
        <f ca="1">SUMPRODUCT(OFFSET(tShpPanBC,0,0,1,9),N(OFFSET(tpSurvPan,0,9-OFFSET(_i,0,0,1,9),1,1)))</f>
        <v>344.96141565835751</v>
      </c>
      <c r="N47" s="39">
        <f ca="1">SUMPRODUCT(OFFSET(tShpPanBC,0,0,1,10),N(OFFSET(tpSurvPan,0,10-OFFSET(_i,0,0,1,10),1,1)))</f>
        <v>380.63835865274706</v>
      </c>
      <c r="O47" s="39">
        <f ca="1">SUMPRODUCT(OFFSET(tShpPanBC,0,0,1,11),N(OFFSET(tpSurvPan,0,11-OFFSET(_i,0,0,1,11),1,1)))</f>
        <v>415.56290208029134</v>
      </c>
      <c r="P47" s="39">
        <f ca="1">SUMPRODUCT(OFFSET(tShpPanBC,0,0,1,12),N(OFFSET(tpSurvPan,0,12-OFFSET(_i,0,0,1,12),1,1)))</f>
        <v>449.38104068490304</v>
      </c>
      <c r="Q47" s="39">
        <f ca="1">SUMPRODUCT(OFFSET(tShpPanBC,0,0,1,13),N(OFFSET(tpSurvPan,0,13-OFFSET(_i,0,0,1,13),1,1)))</f>
        <v>482.00924741529724</v>
      </c>
      <c r="R47" s="39">
        <f ca="1">SUMPRODUCT(OFFSET(tShpPanBC,0,0,1,14),N(OFFSET(tpSurvPan,0,14-OFFSET(_i,0,0,1,14),1,1)))</f>
        <v>514.79877876225282</v>
      </c>
      <c r="S47" s="39">
        <f ca="1">SUMPRODUCT(OFFSET(tShpPanBC,0,0,1,15),N(OFFSET(tpSurvPan,0,15-OFFSET(_i,0,0,1,15),1,1)))</f>
        <v>547.7141834397537</v>
      </c>
      <c r="T47" s="39">
        <f ca="1">SUMPRODUCT(OFFSET(tShpPanBC,0,0,1,16),N(OFFSET(tpSurvPan,0,16-OFFSET(_i,0,0,1,16),1,1)))</f>
        <v>579.39944978790675</v>
      </c>
      <c r="U47" s="39">
        <f ca="1">SUMPRODUCT(OFFSET(tShpPanBC,0,0,1,17),N(OFFSET(tpSurvPan,0,17-OFFSET(_i,0,0,1,17),1,1)))</f>
        <v>611.07397602164338</v>
      </c>
      <c r="V47" s="39">
        <f ca="1">SUMPRODUCT(OFFSET(tShpPanBC,0,0,1,18),N(OFFSET(tpSurvPan,0,18-OFFSET(_i,0,0,1,18),1,1)))</f>
        <v>642.56614006170435</v>
      </c>
      <c r="W47" s="39">
        <f ca="1">SUMPRODUCT(OFFSET(tShpPanBC,0,0,1,19),N(OFFSET(tpSurvPan,0,19-OFFSET(_i,0,0,1,19),1,1)))</f>
        <v>672.34291329888185</v>
      </c>
      <c r="X47" s="39">
        <f ca="1">SUMPRODUCT(OFFSET(tShpPanBC,0,0,1,20),N(OFFSET(tpSurvPan,0,20-OFFSET(_i,0,0,1,20),1,1)))</f>
        <v>700.46078992686307</v>
      </c>
      <c r="Y47" s="39">
        <f ca="1">SUMPRODUCT(OFFSET(tShpPanBC,0,0,1,21),N(OFFSET(tpSurvPan,0,21-OFFSET(_i,0,0,1,21),1,1)))</f>
        <v>726.77032983353433</v>
      </c>
      <c r="Z47" s="39">
        <f ca="1">SUMPRODUCT(OFFSET(tShpPanBC,0,0,1,22),N(OFFSET(tpSurvPan,0,22-OFFSET(_i,0,0,1,22),1,1)))</f>
        <v>751.42582902871459</v>
      </c>
      <c r="AA47" s="39">
        <f ca="1">SUMPRODUCT(OFFSET(tShpPanBC,0,0,1,23),N(OFFSET(tpSurvPan,0,23-OFFSET(_i,0,0,1,23),1,1)))</f>
        <v>774.54966712057239</v>
      </c>
      <c r="AB47" s="39">
        <f ca="1">SUMPRODUCT(OFFSET(tShpPanBC,0,0,1,24),N(OFFSET(tpSurvPan,0,24-OFFSET(_i,0,0,1,24),1,1)))</f>
        <v>796.14959604449439</v>
      </c>
      <c r="AC47" s="39">
        <f ca="1">SUMPRODUCT(OFFSET(tShpPanBC,0,0,1,25),N(OFFSET(tpSurvPan,0,25-OFFSET(_i,0,0,1,25),1,1)))</f>
        <v>816.10380164396327</v>
      </c>
      <c r="AD47" s="39">
        <f ca="1">SUMPRODUCT(OFFSET(tShpPanBC,0,0,1,26),N(OFFSET(tpSurvPan,0,26-OFFSET(_i,0,0,1,26),1,1)))</f>
        <v>834.47366183808424</v>
      </c>
      <c r="AE47" s="39">
        <f ca="1">SUMPRODUCT(OFFSET(tShpPanBC,0,0,1,27),N(OFFSET(tpSurvPan,0,27-OFFSET(_i,0,0,1,27),1,1)))</f>
        <v>851.36190569865607</v>
      </c>
      <c r="AF47" s="39">
        <f ca="1">SUMPRODUCT(OFFSET(tShpPanBC,0,0,1,28),N(OFFSET(tpSurvPan,0,28-OFFSET(_i,0,0,1,28),1,1)))</f>
        <v>866.9171042126477</v>
      </c>
      <c r="AG47" s="39">
        <f ca="1">SUMPRODUCT(OFFSET(tShpPanBC,0,0,1,29),N(OFFSET(tpSurvPan,0,29-OFFSET(_i,0,0,1,29),1,1)))</f>
        <v>881.04607288243437</v>
      </c>
      <c r="AH47" s="39">
        <f ca="1">SUMPRODUCT(OFFSET(tShpPanBC,0,0,1,30),N(OFFSET(tpSurvPan,0,30-OFFSET(_i,0,0,1,30),1,1)))</f>
        <v>893.83155639237839</v>
      </c>
      <c r="AI47" s="39">
        <f ca="1">SUMPRODUCT(OFFSET(tShpPanBC,0,0,1,31),N(OFFSET(tpSurvPan,0,31-OFFSET(_i,0,0,1,31),1,1)))</f>
        <v>906.1597825543289</v>
      </c>
      <c r="AJ47" s="39">
        <f ca="1">SUMPRODUCT(OFFSET(tShpPanBC,0,0,1,32),N(OFFSET(tpSurvPan,0,32-OFFSET(_i,0,0,1,32),1,1)))</f>
        <v>918.00308319142323</v>
      </c>
      <c r="AK47" s="39">
        <f ca="1">SUMPRODUCT(OFFSET(tShpPanBC,0,0,1,33),N(OFFSET(tpSurvPan,0,33-OFFSET(_i,0,0,1,33),1,1)))</f>
        <v>929.36592423752018</v>
      </c>
      <c r="AL47" s="39">
        <f ca="1">SUMPRODUCT(OFFSET(tShpPanBC,0,0,1,34),N(OFFSET(tpSurvPan,0,34-OFFSET(_i,0,0,1,34),1,1)))</f>
        <v>940.21767890449246</v>
      </c>
      <c r="AM47" s="39">
        <f ca="1">SUMPRODUCT(OFFSET(tShpPanBC,0,0,1,34),N(OFFSET(tpSurvPan,0,35-OFFSET(_i,0,0,1,34),1,1)))</f>
        <v>905.26656913766203</v>
      </c>
      <c r="AN47" s="39">
        <f ca="1">SUMPRODUCT(OFFSET(tShpPanBC,0,0,1,34),N(OFFSET(tpSurvPan,0,36-OFFSET(_i,0,0,1,34),1,1)))</f>
        <v>869.69452839723465</v>
      </c>
      <c r="AO47" s="39">
        <f ca="1">SUMPRODUCT(OFFSET(tShpPanBC,0,0,1,34),N(OFFSET(tpSurvPan,0,37-OFFSET(_i,0,0,1,34),1,1)))</f>
        <v>833.5148414706822</v>
      </c>
      <c r="AP47" s="39">
        <f ca="1">SUMPRODUCT(OFFSET(tShpPanBC,0,0,1,34),N(OFFSET(tpSurvPan,0,38-OFFSET(_i,0,0,1,34),1,1)))</f>
        <v>796.80897133268206</v>
      </c>
      <c r="AQ47" s="39">
        <f ca="1">SUMPRODUCT(OFFSET(tShpPanBC,0,0,1,34),N(OFFSET(tpSurvPan,0,39-OFFSET(_i,0,0,1,34),1,1)))</f>
        <v>759.6205656778908</v>
      </c>
      <c r="AR47" s="39">
        <f ca="1">SUMPRODUCT(OFFSET(tShpPanBC,0,0,1,34),N(OFFSET(tpSurvPan,0,40-OFFSET(_i,0,0,1,34),1,1)))</f>
        <v>722.06172286949743</v>
      </c>
      <c r="AS47" s="39">
        <f ca="1">SUMPRODUCT(OFFSET(tShpPanBC,0,0,1,34),N(OFFSET(tpSurvPan,0,41-OFFSET(_i,0,0,1,34),1,1)))</f>
        <v>684.31371788846104</v>
      </c>
      <c r="AT47" s="39">
        <f ca="1">SUMPRODUCT(OFFSET(tShpPanBC,0,0,1,34),N(OFFSET(tpSurvPan,0,42-OFFSET(_i,0,0,1,34),1,1)))</f>
        <v>646.50347177988226</v>
      </c>
      <c r="AU47" s="39">
        <f ca="1">SUMPRODUCT(OFFSET(tShpPanBC,0,0,1,34),N(OFFSET(tpSurvPan,0,43-OFFSET(_i,0,0,1,34),1,1)))</f>
        <v>608.77096237939429</v>
      </c>
      <c r="AV47" s="39">
        <f ca="1">SUMPRODUCT(OFFSET(tShpPanBC,0,0,1,34),N(OFFSET(tpSurvPan,0,44-OFFSET(_i,0,0,1,34),1,1)))</f>
        <v>571.31289654467537</v>
      </c>
      <c r="AW47" s="39">
        <f ca="1">SUMPRODUCT(OFFSET(tShpPanBC,0,0,1,34),N(OFFSET(tpSurvPan,0,45-OFFSET(_i,0,0,1,34),1,1)))</f>
        <v>534.22347646804224</v>
      </c>
      <c r="AX47" s="39">
        <f ca="1">SUMPRODUCT(OFFSET(tShpPanBC,0,0,1,34),N(OFFSET(tpSurvPan,0,46-OFFSET(_i,0,0,1,34),1,1)))</f>
        <v>497.93872592254297</v>
      </c>
      <c r="AY47" s="39">
        <f ca="1">SUMPRODUCT(OFFSET(tShpPanBC,0,0,1,34),N(OFFSET(tpSurvPan,0,47-OFFSET(_i,0,0,1,34),1,1)))</f>
        <v>462.64341989357928</v>
      </c>
      <c r="AZ47" s="39">
        <f ca="1">SUMPRODUCT(OFFSET(tShpPanBC,0,0,1,34),N(OFFSET(tpSurvPan,0,48-OFFSET(_i,0,0,1,34),1,1)))</f>
        <v>428.434991148248</v>
      </c>
      <c r="BA47" s="39">
        <f ca="1">SUMPRODUCT(OFFSET(tShpPanBC,0,0,1,34),N(OFFSET(tpSurvPan,0,49-OFFSET(_i,0,0,1,34),1,1)))</f>
        <v>395.40566364839822</v>
      </c>
      <c r="BB47" s="39">
        <f ca="1">SUMPRODUCT(OFFSET(tShpPanBC,0,0,1,34),N(OFFSET(tpSurvPan,0,50-OFFSET(_i,0,0,1,34),1,1)))</f>
        <v>363.51235852073518</v>
      </c>
      <c r="BC47" s="39">
        <f ca="1">SUMPRODUCT(OFFSET(tShpPanBC,0,0,1,34),N(OFFSET(tpSurvPan,0,51-OFFSET(_i,0,0,1,34),1,1)))</f>
        <v>332.98861275672749</v>
      </c>
      <c r="BD47" s="39">
        <f ca="1">SUMPRODUCT(OFFSET(tShpPanBC,0,0,1,34),N(OFFSET(tpSurvPan,0,52-OFFSET(_i,0,0,1,34),1,1)))</f>
        <v>304.06752513562776</v>
      </c>
      <c r="BE47" s="39">
        <f ca="1">SUMPRODUCT(OFFSET(tShpPanBC,0,0,1,34),N(OFFSET(tpSurvPan,0,53-OFFSET(_i,0,0,1,34),1,1)))</f>
        <v>276.8481904357746</v>
      </c>
      <c r="BF47" s="39">
        <f ca="1">SUMPRODUCT(OFFSET(tShpPanBC,0,0,1,34),N(OFFSET(tpSurvPan,0,54-OFFSET(_i,0,0,1,34),1,1)))</f>
        <v>251.29259417257245</v>
      </c>
      <c r="BG47" s="39">
        <f ca="1">SUMPRODUCT(OFFSET(tShpPanBC,0,0,1,34),N(OFFSET(tpSurvPan,0,55-OFFSET(_i,0,0,1,34),1,1)))</f>
        <v>227.56762044116567</v>
      </c>
      <c r="BH47" s="39">
        <f ca="1">SUMPRODUCT(OFFSET(tShpPanBC,0,0,1,34),N(OFFSET(tpSurvPan,0,56-OFFSET(_i,0,0,1,34),1,1)))</f>
        <v>205.3894291480907</v>
      </c>
      <c r="BI47" s="39">
        <f ca="1">SUMPRODUCT(OFFSET(tShpPanBC,0,0,1,34),N(OFFSET(tpSurvPan,0,57-OFFSET(_i,0,0,1,34),1,1)))</f>
        <v>184.90036958523766</v>
      </c>
      <c r="BJ47" s="39">
        <f ca="1">SUMPRODUCT(OFFSET(tShpPanBC,0,0,1,34),N(OFFSET(tpSurvPan,0,58-OFFSET(_i,0,0,1,34),1,1)))</f>
        <v>166.18959700407083</v>
      </c>
      <c r="BK47" s="39">
        <f ca="1">SUMPRODUCT(OFFSET(tShpPanBC,0,0,1,34),N(OFFSET(tpSurvPan,0,59-OFFSET(_i,0,0,1,34),1,1)))</f>
        <v>149.29872750801755</v>
      </c>
      <c r="BL47" s="39">
        <f ca="1">SUMPRODUCT(OFFSET(tShpPanBC,0,0,1,34),N(OFFSET(tpSurvPan,0,60-OFFSET(_i,0,0,1,34),1,1)))</f>
        <v>134.18848081823973</v>
      </c>
      <c r="BM47" s="39">
        <f ca="1">SUMPRODUCT(OFFSET(tShpPanBC,0,1,1,33),N(OFFSET(tpSurvPan,0,60-OFFSET(_i,0,0,1,33),1,1)))</f>
        <v>120.87780574067887</v>
      </c>
      <c r="BN47" s="39">
        <f ca="1">SUMPRODUCT(OFFSET(tShpPanBC,0,2,1,32),N(OFFSET(tpSurvPan,0,60-OFFSET(_i,0,0,1,32),1,1)))</f>
        <v>109.17217031884564</v>
      </c>
      <c r="BO47" s="39">
        <f ca="1">SUMPRODUCT(OFFSET(tShpPanBC,0,3,1,31),N(OFFSET(tpSurvPan,0,60-OFFSET(_i,0,0,1,31),1,1)))</f>
        <v>99.170507075039296</v>
      </c>
      <c r="BP47" s="39">
        <f ca="1">SUMPRODUCT(OFFSET(tShpPanBC,0,4,1,30),N(OFFSET(tpSurvPan,0,60-OFFSET(_i,0,0,1,30),1,1)))</f>
        <v>90.778577796260436</v>
      </c>
      <c r="BQ47" s="39">
        <f ca="1">SUMPRODUCT(OFFSET(tShpPanBC,0,5,1,29),N(OFFSET(tpSurvPan,0,60-OFFSET(_i,0,0,1,29),1,1)))</f>
        <v>82.950512667362503</v>
      </c>
      <c r="BR47" s="39">
        <f ca="1">SUMPRODUCT(OFFSET(tShpPanBC,0,6,1,28),N(OFFSET(tpSurvPan,0,60-OFFSET(_i,0,0,1,28),1,1)))</f>
        <v>75.702906078462576</v>
      </c>
      <c r="BS47" s="39">
        <f ca="1">SUMPRODUCT(OFFSET(tShpPanBC,0,7,1,27),N(OFFSET(tpSurvPan,0,60-OFFSET(_i,0,0,1,27),1,1)))</f>
        <v>69.014756407417352</v>
      </c>
      <c r="BT47" s="39">
        <f ca="1">SUMPRODUCT(OFFSET(tShpPanBC,0,8,1,26),N(OFFSET(tpSurvPan,0,60-OFFSET(_i,0,0,1,26),1,1)))</f>
        <v>62.900920926929011</v>
      </c>
      <c r="BU47" s="39">
        <f ca="1">SUMPRODUCT(OFFSET(tShpPanBC,0,9,1,25),N(OFFSET(tpSurvPan,0,60-OFFSET(_i,0,0,1,25),1,1)))</f>
        <v>57.195948946347585</v>
      </c>
      <c r="BV47" s="39">
        <f ca="1">SUMPRODUCT(OFFSET(tShpPanBC,0,10,1,24),N(OFFSET(tpSurvPan,0,60-OFFSET(_i,0,0,1,24),1,1)))</f>
        <v>51.906456750722313</v>
      </c>
      <c r="BW47" s="39">
        <f ca="1">SUMPRODUCT(OFFSET(tShpPanBC,0,11,1,23),N(OFFSET(tpSurvPan,0,60-OFFSET(_i,0,0,1,23),1,1)))</f>
        <v>47.012776148186717</v>
      </c>
      <c r="BX47" s="39">
        <f ca="1">SUMPRODUCT(OFFSET(tShpPanBC,0,12,1,22),N(OFFSET(tpSurvPan,0,60-OFFSET(_i,0,0,1,22),1,1)))</f>
        <v>42.400136763178352</v>
      </c>
      <c r="BY47" s="39">
        <f ca="1">SUMPRODUCT(OFFSET(tShpPanBC,0,13,1,21),N(OFFSET(tpSurvPan,0,60-OFFSET(_i,0,0,1,21),1,1)))</f>
        <v>38.104342155792466</v>
      </c>
      <c r="BZ47" s="39">
        <f ca="1">SUMPRODUCT(OFFSET(tShpPanBC,0,14,1,20),N(OFFSET(tpSurvPan,0,60-OFFSET(_i,0,0,1,20),1,1)))</f>
        <v>34.097144151508942</v>
      </c>
      <c r="CA47" s="39">
        <f ca="1">SUMPRODUCT(OFFSET(tShpPanBC,0,15,1,19),N(OFFSET(tpSurvPan,0,60-OFFSET(_i,0,0,1,19),1,1)))</f>
        <v>30.38164846970367</v>
      </c>
      <c r="CB47" s="39">
        <f ca="1">SUMPRODUCT(OFFSET(tShpPanBC,0,16,1,18),N(OFFSET(tpSurvPan,0,60-OFFSET(_i,0,0,1,18),1,1)))</f>
        <v>27.002300877120685</v>
      </c>
      <c r="CC47" s="39">
        <f ca="1">SUMPRODUCT(OFFSET(tShpPanBC,0,17,1,17),N(OFFSET(tpSurvPan,0,60-OFFSET(_i,0,0,1,17),1,1)))</f>
        <v>23.852942007423128</v>
      </c>
      <c r="CD47" s="39">
        <f ca="1">SUMPRODUCT(OFFSET(tShpPanBC,0,18,1,16),N(OFFSET(tpSurvPan,0,60-OFFSET(_i,0,0,1,16),1,1)))</f>
        <v>20.920553319712461</v>
      </c>
      <c r="CE47" s="39">
        <f ca="1">SUMPRODUCT(OFFSET(tShpPanBC,0,19,1,15),N(OFFSET(tpSurvPan,0,60-OFFSET(_i,0,0,1,15),1,1)))</f>
        <v>18.223326110538913</v>
      </c>
      <c r="CF47" s="39">
        <f ca="1">SUMPRODUCT(OFFSET(tShpPanBC,0,20,1,14),N(OFFSET(tpSurvPan,0,60-OFFSET(_i,0,0,1,14),1,1)))</f>
        <v>15.770755880363986</v>
      </c>
      <c r="CG47" s="39">
        <f ca="1">SUMPRODUCT(OFFSET(tShpPanBC,0,21,1,13),N(OFFSET(tpSurvPan,0,60-OFFSET(_i,0,0,1,13),1,1)))</f>
        <v>13.504048205780901</v>
      </c>
      <c r="CH47" s="39">
        <f ca="1">SUMPRODUCT(OFFSET(tShpPanBC,0,22,1,12),N(OFFSET(tpSurvPan,0,60-OFFSET(_i,0,0,1,12),1,1)))</f>
        <v>11.418639205270857</v>
      </c>
      <c r="CI47" s="39">
        <f ca="1">SUMPRODUCT(OFFSET(tShpPanBC,0,23,1,11),N(OFFSET(tpSurvPan,0,60-OFFSET(_i,0,0,1,11),1,1)))</f>
        <v>9.5150062343666733</v>
      </c>
      <c r="CJ47" s="39">
        <f ca="1">SUMPRODUCT(OFFSET(tShpPanBC,0,24,1,10),N(OFFSET(tpSurvPan,0,60-OFFSET(_i,0,0,1,10),1,1)))</f>
        <v>7.7485166598315249</v>
      </c>
      <c r="CK47" s="39">
        <f ca="1">SUMPRODUCT(OFFSET(tShpPanBC,0,25,1,9),N(OFFSET(tpSurvPan,0,60-OFFSET(_i,0,0,1,9),1,1)))</f>
        <v>6.1833431631363283</v>
      </c>
      <c r="CL47" s="39">
        <f ca="1">SUMPRODUCT(OFFSET(tShpPanBC,0,26,1,8),N(OFFSET(tpSurvPan,0,60-OFFSET(_i,0,0,1,8),1,1)))</f>
        <v>4.7976386138812162</v>
      </c>
      <c r="CM47" s="39">
        <f ca="1">SUMPRODUCT(OFFSET(tShpPanBC,0,27,1,7),N(OFFSET(tpSurvPan,0,60-OFFSET(_i,0,0,1,7),1,1)))</f>
        <v>3.5921689904185659</v>
      </c>
      <c r="CN47" s="39">
        <f ca="1">SUMPRODUCT(OFFSET(tShpPanBC,0,28,1,6),N(OFFSET(tpSurvPan,0,60-OFFSET(_i,0,0,1,6),1,1)))</f>
        <v>2.5404558629591141</v>
      </c>
      <c r="CO47" s="39">
        <f ca="1">SUMPRODUCT(OFFSET(tShpPanBC,0,29,1,5),N(OFFSET(tpSurvPan,0,60-OFFSET(_i,0,0,1,5),1,1)))</f>
        <v>1.6340701577425443</v>
      </c>
      <c r="CP47" s="39">
        <f ca="1">SUMPRODUCT(OFFSET(tShpPanBC,0,30,1,4),N(OFFSET(tpSurvPan,0,60-OFFSET(_i,0,0,1,4),1,1)))</f>
        <v>1.0189620547733278</v>
      </c>
      <c r="CQ47" s="39">
        <f ca="1">SUMPRODUCT(OFFSET(tShpPanBC,0,31,1,3),N(OFFSET(tpSurvPan,0,60-OFFSET(_i,0,0,1,3),1,1)))</f>
        <v>0.53289119363284998</v>
      </c>
      <c r="CR47" s="39">
        <f ca="1">SUMPRODUCT(OFFSET(tShpPanBC,0,32,1,2),N(OFFSET(tpSurvPan,0,60-OFFSET(_i,0,0,1,2),1,1)))</f>
        <v>0.16279178650363738</v>
      </c>
      <c r="CS47" s="40">
        <f ca="1">SUMPRODUCT(N(OFFSET(tShpPanBC,0,33,1,1)),N(OFFSET(tpSurvPan,0,60-OFFSET(_i,0,0,1,1),1,1)))</f>
        <v>0</v>
      </c>
      <c r="CT47" s="10"/>
    </row>
    <row r="48" spans="2:98" ht="15">
      <c r="B48" s="10"/>
      <c r="C48" s="28" t="str">
        <f>INDEX(_pcName,3)</f>
        <v>Centrif Housed</v>
      </c>
      <c r="D48" s="12" t="str">
        <f t="shared" si="5"/>
        <v>th units</v>
      </c>
      <c r="E48" s="39">
        <f ca="1">SUMPRODUCT(N(OFFSET(tShpCnHBC,0,0,1,1)),N(OFFSET(tpSurvCnH,0,1-OFFSET(_i,0,0,1,1),1,1)))</f>
        <v>111.77900085105475</v>
      </c>
      <c r="F48" s="39">
        <f ca="1">SUMPRODUCT(OFFSET(tShpCnHBC,0,0,1,2),N(OFFSET(tpSurvCnH,0,2-OFFSET(_i,0,0,1,2),1,1)))</f>
        <v>223.77278899834482</v>
      </c>
      <c r="G48" s="39">
        <f ca="1">SUMPRODUCT(OFFSET(tShpCnHBC,0,0,1,3),N(OFFSET(tpSurvCnH,0,3-OFFSET(_i,0,0,1,3),1,1)))</f>
        <v>335.68114532666766</v>
      </c>
      <c r="H48" s="39">
        <f ca="1">SUMPRODUCT(OFFSET(tShpCnHBC,0,0,1,4),N(OFFSET(tpSurvCnH,0,4-OFFSET(_i,0,0,1,4),1,1)))</f>
        <v>447.17816917777179</v>
      </c>
      <c r="I48" s="39">
        <f ca="1">SUMPRODUCT(OFFSET(tShpCnHBC,0,0,1,5),N(OFFSET(tpSurvCnH,0,5-OFFSET(_i,0,0,1,5),1,1)))</f>
        <v>557.90465339386697</v>
      </c>
      <c r="J48" s="39">
        <f ca="1">SUMPRODUCT(OFFSET(tShpCnHBC,0,0,1,6),N(OFFSET(tpSurvCnH,0,6-OFFSET(_i,0,0,1,6),1,1)))</f>
        <v>663.05785020979806</v>
      </c>
      <c r="K48" s="39">
        <f ca="1">SUMPRODUCT(OFFSET(tShpCnHBC,0,0,1,7),N(OFFSET(tpSurvCnH,0,7-OFFSET(_i,0,0,1,7),1,1)))</f>
        <v>766.24261828190572</v>
      </c>
      <c r="L48" s="39">
        <f ca="1">SUMPRODUCT(OFFSET(tShpCnHBC,0,0,1,8),N(OFFSET(tpSurvCnH,0,8-OFFSET(_i,0,0,1,8),1,1)))</f>
        <v>866.78199656269737</v>
      </c>
      <c r="M48" s="39">
        <f ca="1">SUMPRODUCT(OFFSET(tShpCnHBC,0,0,1,9),N(OFFSET(tpSurvCnH,0,9-OFFSET(_i,0,0,1,9),1,1)))</f>
        <v>964.03735069765128</v>
      </c>
      <c r="N48" s="39">
        <f ca="1">SUMPRODUCT(OFFSET(tShpCnHBC,0,0,1,10),N(OFFSET(tpSurvCnH,0,10-OFFSET(_i,0,0,1,10),1,1)))</f>
        <v>1057.5337476359314</v>
      </c>
      <c r="O48" s="39">
        <f ca="1">SUMPRODUCT(OFFSET(tShpCnHBC,0,0,1,11),N(OFFSET(tpSurvCnH,0,11-OFFSET(_i,0,0,1,11),1,1)))</f>
        <v>1146.8493979875279</v>
      </c>
      <c r="P48" s="39">
        <f ca="1">SUMPRODUCT(OFFSET(tShpCnHBC,0,0,1,12),N(OFFSET(tpSurvCnH,0,12-OFFSET(_i,0,0,1,12),1,1)))</f>
        <v>1231.5835905294412</v>
      </c>
      <c r="Q48" s="39">
        <f ca="1">SUMPRODUCT(OFFSET(tShpCnHBC,0,0,1,13),N(OFFSET(tpSurvCnH,0,13-OFFSET(_i,0,0,1,13),1,1)))</f>
        <v>1311.7206475154162</v>
      </c>
      <c r="R48" s="39">
        <f ca="1">SUMPRODUCT(OFFSET(tShpCnHBC,0,0,1,14),N(OFFSET(tpSurvCnH,0,14-OFFSET(_i,0,0,1,14),1,1)))</f>
        <v>1390.9776439870038</v>
      </c>
      <c r="S48" s="39">
        <f ca="1">SUMPRODUCT(OFFSET(tShpCnHBC,0,0,1,15),N(OFFSET(tpSurvCnH,0,15-OFFSET(_i,0,0,1,15),1,1)))</f>
        <v>1469.4463802438725</v>
      </c>
      <c r="T48" s="39">
        <f ca="1">SUMPRODUCT(OFFSET(tShpCnHBC,0,0,1,16),N(OFFSET(tpSurvCnH,0,16-OFFSET(_i,0,0,1,16),1,1)))</f>
        <v>1542.5890223292399</v>
      </c>
      <c r="U48" s="39">
        <f ca="1">SUMPRODUCT(OFFSET(tShpCnHBC,0,0,1,17),N(OFFSET(tpSurvCnH,0,17-OFFSET(_i,0,0,1,17),1,1)))</f>
        <v>1614.9023965743359</v>
      </c>
      <c r="V48" s="39">
        <f ca="1">SUMPRODUCT(OFFSET(tShpCnHBC,0,0,1,18),N(OFFSET(tpSurvCnH,0,18-OFFSET(_i,0,0,1,18),1,1)))</f>
        <v>1686.2885944994705</v>
      </c>
      <c r="W48" s="39">
        <f ca="1">SUMPRODUCT(OFFSET(tShpCnHBC,0,0,1,19),N(OFFSET(tpSurvCnH,0,19-OFFSET(_i,0,0,1,19),1,1)))</f>
        <v>1752.7047760631219</v>
      </c>
      <c r="X48" s="39">
        <f ca="1">SUMPRODUCT(OFFSET(tShpCnHBC,0,0,1,20),N(OFFSET(tpSurvCnH,0,20-OFFSET(_i,0,0,1,20),1,1)))</f>
        <v>1814.1754446320115</v>
      </c>
      <c r="Y48" s="39">
        <f ca="1">SUMPRODUCT(OFFSET(tShpCnHBC,0,0,1,21),N(OFFSET(tpSurvCnH,0,21-OFFSET(_i,0,0,1,21),1,1)))</f>
        <v>1871.054558901076</v>
      </c>
      <c r="Z48" s="39">
        <f ca="1">SUMPRODUCT(OFFSET(tShpCnHBC,0,0,1,22),N(OFFSET(tpSurvCnH,0,22-OFFSET(_i,0,0,1,22),1,1)))</f>
        <v>1923.3221007690411</v>
      </c>
      <c r="AA48" s="39">
        <f ca="1">SUMPRODUCT(OFFSET(tShpCnHBC,0,0,1,23),N(OFFSET(tpSurvCnH,0,23-OFFSET(_i,0,0,1,23),1,1)))</f>
        <v>1971.2165269651375</v>
      </c>
      <c r="AB48" s="39">
        <f ca="1">SUMPRODUCT(OFFSET(tShpCnHBC,0,0,1,24),N(OFFSET(tpSurvCnH,0,24-OFFSET(_i,0,0,1,24),1,1)))</f>
        <v>2015.2984553881709</v>
      </c>
      <c r="AC48" s="39">
        <f ca="1">SUMPRODUCT(OFFSET(tShpCnHBC,0,0,1,25),N(OFFSET(tpSurvCnH,0,25-OFFSET(_i,0,0,1,25),1,1)))</f>
        <v>2055.7842844259335</v>
      </c>
      <c r="AD48" s="39">
        <f ca="1">SUMPRODUCT(OFFSET(tShpCnHBC,0,0,1,26),N(OFFSET(tpSurvCnH,0,26-OFFSET(_i,0,0,1,26),1,1)))</f>
        <v>2092.6381351310783</v>
      </c>
      <c r="AE48" s="39">
        <f ca="1">SUMPRODUCT(OFFSET(tShpCnHBC,0,0,1,27),N(OFFSET(tpSurvCnH,0,27-OFFSET(_i,0,0,1,27),1,1)))</f>
        <v>2126.0737710401836</v>
      </c>
      <c r="AF48" s="39">
        <f ca="1">SUMPRODUCT(OFFSET(tShpCnHBC,0,0,1,28),N(OFFSET(tpSurvCnH,0,28-OFFSET(_i,0,0,1,28),1,1)))</f>
        <v>2156.1659134923343</v>
      </c>
      <c r="AG48" s="39">
        <f ca="1">SUMPRODUCT(OFFSET(tShpCnHBC,0,0,1,29),N(OFFSET(tpSurvCnH,0,29-OFFSET(_i,0,0,1,29),1,1)))</f>
        <v>2183.360119975182</v>
      </c>
      <c r="AH48" s="39">
        <f ca="1">SUMPRODUCT(OFFSET(tShpCnHBC,0,0,1,30),N(OFFSET(tpSurvCnH,0,30-OFFSET(_i,0,0,1,30),1,1)))</f>
        <v>2207.6556999632617</v>
      </c>
      <c r="AI48" s="39">
        <f ca="1">SUMPRODUCT(OFFSET(tShpCnHBC,0,0,1,31),N(OFFSET(tpSurvCnH,0,31-OFFSET(_i,0,0,1,31),1,1)))</f>
        <v>2231.0985752596835</v>
      </c>
      <c r="AJ48" s="39">
        <f ca="1">SUMPRODUCT(OFFSET(tShpCnHBC,0,0,1,32),N(OFFSET(tpSurvCnH,0,32-OFFSET(_i,0,0,1,32),1,1)))</f>
        <v>2253.6870191061166</v>
      </c>
      <c r="AK48" s="39">
        <f ca="1">SUMPRODUCT(OFFSET(tShpCnHBC,0,0,1,33),N(OFFSET(tpSurvCnH,0,33-OFFSET(_i,0,0,1,33),1,1)))</f>
        <v>2275.5577477195466</v>
      </c>
      <c r="AL48" s="39">
        <f ca="1">SUMPRODUCT(OFFSET(tShpCnHBC,0,0,1,34),N(OFFSET(tpSurvCnH,0,34-OFFSET(_i,0,0,1,34),1,1)))</f>
        <v>2296.5975426131968</v>
      </c>
      <c r="AM48" s="39">
        <f ca="1">SUMPRODUCT(OFFSET(tShpCnHBC,0,0,1,34),N(OFFSET(tpSurvCnH,0,35-OFFSET(_i,0,0,1,34),1,1)))</f>
        <v>2187.725562591359</v>
      </c>
      <c r="AN48" s="39">
        <f ca="1">SUMPRODUCT(OFFSET(tShpCnHBC,0,0,1,34),N(OFFSET(tpSurvCnH,0,36-OFFSET(_i,0,0,1,34),1,1)))</f>
        <v>2077.4428932384262</v>
      </c>
      <c r="AO48" s="39">
        <f ca="1">SUMPRODUCT(OFFSET(tShpCnHBC,0,0,1,34),N(OFFSET(tpSurvCnH,0,37-OFFSET(_i,0,0,1,34),1,1)))</f>
        <v>1965.8902623837573</v>
      </c>
      <c r="AP48" s="39">
        <f ca="1">SUMPRODUCT(OFFSET(tShpCnHBC,0,0,1,34),N(OFFSET(tpSurvCnH,0,38-OFFSET(_i,0,0,1,34),1,1)))</f>
        <v>1853.4193247511294</v>
      </c>
      <c r="AQ48" s="39">
        <f ca="1">SUMPRODUCT(OFFSET(tShpCnHBC,0,0,1,34),N(OFFSET(tpSurvCnH,0,39-OFFSET(_i,0,0,1,34),1,1)))</f>
        <v>1740.6288977564134</v>
      </c>
      <c r="AR48" s="39">
        <f ca="1">SUMPRODUCT(OFFSET(tShpCnHBC,0,0,1,34),N(OFFSET(tpSurvCnH,0,40-OFFSET(_i,0,0,1,34),1,1)))</f>
        <v>1628.2547166589975</v>
      </c>
      <c r="AS48" s="39">
        <f ca="1">SUMPRODUCT(OFFSET(tShpCnHBC,0,0,1,34),N(OFFSET(tpSurvCnH,0,41-OFFSET(_i,0,0,1,34),1,1)))</f>
        <v>1516.9816856679256</v>
      </c>
      <c r="AT48" s="39">
        <f ca="1">SUMPRODUCT(OFFSET(tShpCnHBC,0,0,1,34),N(OFFSET(tpSurvCnH,0,42-OFFSET(_i,0,0,1,34),1,1)))</f>
        <v>1407.5425066615371</v>
      </c>
      <c r="AU48" s="39">
        <f ca="1">SUMPRODUCT(OFFSET(tShpCnHBC,0,0,1,34),N(OFFSET(tpSurvCnH,0,43-OFFSET(_i,0,0,1,34),1,1)))</f>
        <v>1300.6733890081712</v>
      </c>
      <c r="AV48" s="39">
        <f ca="1">SUMPRODUCT(OFFSET(tShpCnHBC,0,0,1,34),N(OFFSET(tpSurvCnH,0,44-OFFSET(_i,0,0,1,34),1,1)))</f>
        <v>1196.9917212954817</v>
      </c>
      <c r="AW48" s="39">
        <f ca="1">SUMPRODUCT(OFFSET(tShpCnHBC,0,0,1,34),N(OFFSET(tpSurvCnH,0,45-OFFSET(_i,0,0,1,34),1,1)))</f>
        <v>1097.1511633180676</v>
      </c>
      <c r="AX48" s="39">
        <f ca="1">SUMPRODUCT(OFFSET(tShpCnHBC,0,0,1,34),N(OFFSET(tpSurvCnH,0,46-OFFSET(_i,0,0,1,34),1,1)))</f>
        <v>1001.7402877954356</v>
      </c>
      <c r="AY48" s="39">
        <f ca="1">SUMPRODUCT(OFFSET(tShpCnHBC,0,0,1,34),N(OFFSET(tpSurvCnH,0,47-OFFSET(_i,0,0,1,34),1,1)))</f>
        <v>910.85363202574763</v>
      </c>
      <c r="AZ48" s="39">
        <f ca="1">SUMPRODUCT(OFFSET(tShpCnHBC,0,0,1,34),N(OFFSET(tpSurvCnH,0,48-OFFSET(_i,0,0,1,34),1,1)))</f>
        <v>824.87090881430481</v>
      </c>
      <c r="BA48" s="39">
        <f ca="1">SUMPRODUCT(OFFSET(tShpCnHBC,0,0,1,34),N(OFFSET(tpSurvCnH,0,49-OFFSET(_i,0,0,1,34),1,1)))</f>
        <v>743.96362969587801</v>
      </c>
      <c r="BB48" s="39">
        <f ca="1">SUMPRODUCT(OFFSET(tShpCnHBC,0,0,1,34),N(OFFSET(tpSurvCnH,0,50-OFFSET(_i,0,0,1,34),1,1)))</f>
        <v>668.72109429625027</v>
      </c>
      <c r="BC48" s="39">
        <f ca="1">SUMPRODUCT(OFFSET(tShpCnHBC,0,0,1,34),N(OFFSET(tpSurvCnH,0,51-OFFSET(_i,0,0,1,34),1,1)))</f>
        <v>598.71822953570313</v>
      </c>
      <c r="BD48" s="39">
        <f ca="1">SUMPRODUCT(OFFSET(tShpCnHBC,0,0,1,34),N(OFFSET(tpSurvCnH,0,52-OFFSET(_i,0,0,1,34),1,1)))</f>
        <v>534.09734965778318</v>
      </c>
      <c r="BE48" s="39">
        <f ca="1">SUMPRODUCT(OFFSET(tShpCnHBC,0,0,1,34),N(OFFSET(tpSurvCnH,0,53-OFFSET(_i,0,0,1,34),1,1)))</f>
        <v>474.76512958974962</v>
      </c>
      <c r="BF48" s="39">
        <f ca="1">SUMPRODUCT(OFFSET(tShpCnHBC,0,0,1,34),N(OFFSET(tpSurvCnH,0,54-OFFSET(_i,0,0,1,34),1,1)))</f>
        <v>420.70899973090775</v>
      </c>
      <c r="BG48" s="39">
        <f ca="1">SUMPRODUCT(OFFSET(tShpCnHBC,0,0,1,34),N(OFFSET(tpSurvCnH,0,55-OFFSET(_i,0,0,1,34),1,1)))</f>
        <v>371.47904442185467</v>
      </c>
      <c r="BH48" s="39">
        <f ca="1">SUMPRODUCT(OFFSET(tShpCnHBC,0,0,1,34),N(OFFSET(tpSurvCnH,0,56-OFFSET(_i,0,0,1,34),1,1)))</f>
        <v>327.0771004302789</v>
      </c>
      <c r="BI48" s="39">
        <f ca="1">SUMPRODUCT(OFFSET(tShpCnHBC,0,0,1,34),N(OFFSET(tpSurvCnH,0,57-OFFSET(_i,0,0,1,34),1,1)))</f>
        <v>287.53139598601496</v>
      </c>
      <c r="BJ48" s="39">
        <f ca="1">SUMPRODUCT(OFFSET(tShpCnHBC,0,0,1,34),N(OFFSET(tpSurvCnH,0,58-OFFSET(_i,0,0,1,34),1,1)))</f>
        <v>252.40540713358851</v>
      </c>
      <c r="BK48" s="39">
        <f ca="1">SUMPRODUCT(OFFSET(tShpCnHBC,0,0,1,34),N(OFFSET(tpSurvCnH,0,59-OFFSET(_i,0,0,1,34),1,1)))</f>
        <v>221.391158671944</v>
      </c>
      <c r="BL48" s="39">
        <f ca="1">SUMPRODUCT(OFFSET(tShpCnHBC,0,0,1,34),N(OFFSET(tpSurvCnH,0,60-OFFSET(_i,0,0,1,34),1,1)))</f>
        <v>194.52447036608388</v>
      </c>
      <c r="BM48" s="39">
        <f ca="1">SUMPRODUCT(OFFSET(tShpCnHBC,0,1,1,33),N(OFFSET(tpSurvCnH,0,60-OFFSET(_i,0,0,1,33),1,1)))</f>
        <v>171.637386539483</v>
      </c>
      <c r="BN48" s="39">
        <f ca="1">SUMPRODUCT(OFFSET(tShpCnHBC,0,2,1,32),N(OFFSET(tpSurvCnH,0,60-OFFSET(_i,0,0,1,32),1,1)))</f>
        <v>152.60800190445545</v>
      </c>
      <c r="BO48" s="39">
        <f ca="1">SUMPRODUCT(OFFSET(tShpCnHBC,0,3,1,31),N(OFFSET(tpSurvCnH,0,60-OFFSET(_i,0,0,1,31),1,1)))</f>
        <v>136.87353997229025</v>
      </c>
      <c r="BP48" s="39">
        <f ca="1">SUMPRODUCT(OFFSET(tShpCnHBC,0,4,1,30),N(OFFSET(tpSurvCnH,0,60-OFFSET(_i,0,0,1,30),1,1)))</f>
        <v>124.40444770750132</v>
      </c>
      <c r="BQ48" s="39">
        <f ca="1">SUMPRODUCT(OFFSET(tShpCnHBC,0,5,1,29),N(OFFSET(tpSurvCnH,0,60-OFFSET(_i,0,0,1,29),1,1)))</f>
        <v>112.8376917389127</v>
      </c>
      <c r="BR48" s="39">
        <f ca="1">SUMPRODUCT(OFFSET(tShpCnHBC,0,6,1,28),N(OFFSET(tpSurvCnH,0,60-OFFSET(_i,0,0,1,28),1,1)))</f>
        <v>102.13799004700259</v>
      </c>
      <c r="BS48" s="39">
        <f ca="1">SUMPRODUCT(OFFSET(tShpCnHBC,0,7,1,27),N(OFFSET(tpSurvCnH,0,60-OFFSET(_i,0,0,1,27),1,1)))</f>
        <v>92.128953168390325</v>
      </c>
      <c r="BT48" s="39">
        <f ca="1">SUMPRODUCT(OFFSET(tShpCnHBC,0,8,1,26),N(OFFSET(tpSurvCnH,0,60-OFFSET(_i,0,0,1,26),1,1)))</f>
        <v>82.930007391121038</v>
      </c>
      <c r="BU48" s="39">
        <f ca="1">SUMPRODUCT(OFFSET(tShpCnHBC,0,9,1,25),N(OFFSET(tpSurvCnH,0,60-OFFSET(_i,0,0,1,25),1,1)))</f>
        <v>74.479676943962744</v>
      </c>
      <c r="BV48" s="39">
        <f ca="1">SUMPRODUCT(OFFSET(tShpCnHBC,0,10,1,24),N(OFFSET(tpSurvCnH,0,60-OFFSET(_i,0,0,1,24),1,1)))</f>
        <v>66.755597200586706</v>
      </c>
      <c r="BW48" s="39">
        <f ca="1">SUMPRODUCT(OFFSET(tShpCnHBC,0,11,1,23),N(OFFSET(tpSurvCnH,0,60-OFFSET(_i,0,0,1,23),1,1)))</f>
        <v>59.630270123009154</v>
      </c>
      <c r="BX48" s="39">
        <f ca="1">SUMPRODUCT(OFFSET(tShpCnHBC,0,12,1,22),N(OFFSET(tpSurvCnH,0,60-OFFSET(_i,0,0,1,22),1,1)))</f>
        <v>53.080109181347126</v>
      </c>
      <c r="BY48" s="39">
        <f ca="1">SUMPRODUCT(OFFSET(tShpCnHBC,0,13,1,21),N(OFFSET(tpSurvCnH,0,60-OFFSET(_i,0,0,1,21),1,1)))</f>
        <v>47.044268923622383</v>
      </c>
      <c r="BZ48" s="39">
        <f ca="1">SUMPRODUCT(OFFSET(tShpCnHBC,0,14,1,20),N(OFFSET(tpSurvCnH,0,60-OFFSET(_i,0,0,1,20),1,1)))</f>
        <v>41.566931933698264</v>
      </c>
      <c r="CA48" s="39">
        <f ca="1">SUMPRODUCT(OFFSET(tShpCnHBC,0,15,1,19),N(OFFSET(tpSurvCnH,0,60-OFFSET(_i,0,0,1,19),1,1)))</f>
        <v>36.550171922625829</v>
      </c>
      <c r="CB48" s="39">
        <f ca="1">SUMPRODUCT(OFFSET(tShpCnHBC,0,16,1,18),N(OFFSET(tpSurvCnH,0,60-OFFSET(_i,0,0,1,18),1,1)))</f>
        <v>31.984587641480694</v>
      </c>
      <c r="CC48" s="39">
        <f ca="1">SUMPRODUCT(OFFSET(tShpCnHBC,0,17,1,17),N(OFFSET(tpSurvCnH,0,60-OFFSET(_i,0,0,1,17),1,1)))</f>
        <v>27.864536843226482</v>
      </c>
      <c r="CD48" s="39">
        <f ca="1">SUMPRODUCT(OFFSET(tShpCnHBC,0,18,1,16),N(OFFSET(tpSurvCnH,0,60-OFFSET(_i,0,0,1,16),1,1)))</f>
        <v>24.091967139190885</v>
      </c>
      <c r="CE48" s="39">
        <f ca="1">SUMPRODUCT(OFFSET(tShpCnHBC,0,19,1,15),N(OFFSET(tpSurvCnH,0,60-OFFSET(_i,0,0,1,15),1,1)))</f>
        <v>20.615880633993783</v>
      </c>
      <c r="CF48" s="39">
        <f ca="1">SUMPRODUCT(OFFSET(tShpCnHBC,0,20,1,14),N(OFFSET(tpSurvCnH,0,60-OFFSET(_i,0,0,1,14),1,1)))</f>
        <v>17.449516759776802</v>
      </c>
      <c r="CG48" s="39">
        <f ca="1">SUMPRODUCT(OFFSET(tShpCnHBC,0,21,1,13),N(OFFSET(tpSurvCnH,0,60-OFFSET(_i,0,0,1,13),1,1)))</f>
        <v>14.619106142311331</v>
      </c>
      <c r="CH48" s="39">
        <f ca="1">SUMPRODUCT(OFFSET(tShpCnHBC,0,22,1,12),N(OFFSET(tpSurvCnH,0,60-OFFSET(_i,0,0,1,12),1,1)))</f>
        <v>12.177046613342066</v>
      </c>
      <c r="CI48" s="39">
        <f ca="1">SUMPRODUCT(OFFSET(tShpCnHBC,0,23,1,11),N(OFFSET(tpSurvCnH,0,60-OFFSET(_i,0,0,1,11),1,1)))</f>
        <v>9.9827312715972223</v>
      </c>
      <c r="CJ48" s="39">
        <f ca="1">SUMPRODUCT(OFFSET(tShpCnHBC,0,24,1,10),N(OFFSET(tpSurvCnH,0,60-OFFSET(_i,0,0,1,10),1,1)))</f>
        <v>8.0243148443136665</v>
      </c>
      <c r="CK48" s="39">
        <f ca="1">SUMPRODUCT(OFFSET(tShpCnHBC,0,25,1,9),N(OFFSET(tpSurvCnH,0,60-OFFSET(_i,0,0,1,9),1,1)))</f>
        <v>6.3157275058265547</v>
      </c>
      <c r="CL48" s="39">
        <f ca="1">SUMPRODUCT(OFFSET(tShpCnHBC,0,26,1,8),N(OFFSET(tpSurvCnH,0,60-OFFSET(_i,0,0,1,8),1,1)))</f>
        <v>4.8451306497008062</v>
      </c>
      <c r="CM48" s="39">
        <f ca="1">SUMPRODUCT(OFFSET(tShpCnHBC,0,27,1,7),N(OFFSET(tpSurvCnH,0,60-OFFSET(_i,0,0,1,7),1,1)))</f>
        <v>3.6135454049355111</v>
      </c>
      <c r="CN48" s="39">
        <f ca="1">SUMPRODUCT(OFFSET(tShpCnHBC,0,28,1,6),N(OFFSET(tpSurvCnH,0,60-OFFSET(_i,0,0,1,6),1,1)))</f>
        <v>2.5574287136764702</v>
      </c>
      <c r="CO48" s="39">
        <f ca="1">SUMPRODUCT(OFFSET(tShpCnHBC,0,29,1,5),N(OFFSET(tpSurvCnH,0,60-OFFSET(_i,0,0,1,5),1,1)))</f>
        <v>1.6904400465203495</v>
      </c>
      <c r="CP48" s="39">
        <f ca="1">SUMPRODUCT(OFFSET(tShpCnHBC,0,30,1,4),N(OFFSET(tpSurvCnH,0,60-OFFSET(_i,0,0,1,4),1,1)))</f>
        <v>0.97464928975475706</v>
      </c>
      <c r="CQ48" s="39">
        <f ca="1">SUMPRODUCT(OFFSET(tShpCnHBC,0,31,1,3),N(OFFSET(tpSurvCnH,0,60-OFFSET(_i,0,0,1,3),1,1)))</f>
        <v>0.44944675198031186</v>
      </c>
      <c r="CR48" s="39">
        <f ca="1">SUMPRODUCT(OFFSET(tShpCnHBC,0,32,1,2),N(OFFSET(tpSurvCnH,0,60-OFFSET(_i,0,0,1,2),1,1)))</f>
        <v>0.12857224350956389</v>
      </c>
      <c r="CS48" s="40">
        <f ca="1">SUMPRODUCT(N(OFFSET(tShpCnHBC,0,33,1,1)),N(OFFSET(tpSurvCnH,0,60-OFFSET(_i,0,0,1,1),1,1)))</f>
        <v>0</v>
      </c>
      <c r="CT48" s="10"/>
    </row>
    <row r="49" spans="2:98" ht="15">
      <c r="B49" s="10"/>
      <c r="C49" s="28" t="str">
        <f>INDEX(_pcName,4)</f>
        <v>Centrif Unhous</v>
      </c>
      <c r="D49" s="12" t="str">
        <f t="shared" si="5"/>
        <v>th units</v>
      </c>
      <c r="E49" s="39">
        <f ca="1">SUMPRODUCT(N(OFFSET(tShpCnUBC,0,0,1,1)),N(OFFSET(tpSurvCnU,0,1-OFFSET(_i,0,0,1,1),1,1)))</f>
        <v>137.61391625731923</v>
      </c>
      <c r="F49" s="39">
        <f ca="1">SUMPRODUCT(OFFSET(tShpCnUBC,0,0,1,2),N(OFFSET(tpSurvCnU,0,2-OFFSET(_i,0,0,1,2),1,1)))</f>
        <v>275.49226251286905</v>
      </c>
      <c r="G49" s="39">
        <f ca="1">SUMPRODUCT(OFFSET(tShpCnUBC,0,0,1,3),N(OFFSET(tpSurvCnU,0,3-OFFSET(_i,0,0,1,3),1,1)))</f>
        <v>413.27919291663079</v>
      </c>
      <c r="H49" s="39">
        <f ca="1">SUMPRODUCT(OFFSET(tShpCnUBC,0,0,1,4),N(OFFSET(tpSurvCnU,0,4-OFFSET(_i,0,0,1,4),1,1)))</f>
        <v>550.43589556543293</v>
      </c>
      <c r="I49" s="39">
        <f ca="1">SUMPRODUCT(OFFSET(tShpCnUBC,0,0,1,5),N(OFFSET(tpSurvCnU,0,5-OFFSET(_i,0,0,1,5),1,1)))</f>
        <v>686.16207318924046</v>
      </c>
      <c r="J49" s="39">
        <f ca="1">SUMPRODUCT(OFFSET(tShpCnUBC,0,0,1,6),N(OFFSET(tpSurvCnU,0,6-OFFSET(_i,0,0,1,6),1,1)))</f>
        <v>814.72321795906203</v>
      </c>
      <c r="K49" s="39">
        <f ca="1">SUMPRODUCT(OFFSET(tShpCnUBC,0,0,1,7),N(OFFSET(tpSurvCnU,0,7-OFFSET(_i,0,0,1,7),1,1)))</f>
        <v>940.35162240329919</v>
      </c>
      <c r="L49" s="39">
        <f ca="1">SUMPRODUCT(OFFSET(tShpCnUBC,0,0,1,8),N(OFFSET(tpSurvCnU,0,8-OFFSET(_i,0,0,1,8),1,1)))</f>
        <v>1062.0067724296082</v>
      </c>
      <c r="M49" s="39">
        <f ca="1">SUMPRODUCT(OFFSET(tShpCnUBC,0,0,1,9),N(OFFSET(tpSurvCnU,0,9-OFFSET(_i,0,0,1,9),1,1)))</f>
        <v>1178.7005826948516</v>
      </c>
      <c r="N49" s="39">
        <f ca="1">SUMPRODUCT(OFFSET(tShpCnUBC,0,0,1,10),N(OFFSET(tpSurvCnU,0,10-OFFSET(_i,0,0,1,10),1,1)))</f>
        <v>1289.9715721374982</v>
      </c>
      <c r="O49" s="39">
        <f ca="1">SUMPRODUCT(OFFSET(tShpCnUBC,0,0,1,11),N(OFFSET(tpSurvCnU,0,11-OFFSET(_i,0,0,1,11),1,1)))</f>
        <v>1395.5284336673817</v>
      </c>
      <c r="P49" s="39">
        <f ca="1">SUMPRODUCT(OFFSET(tShpCnUBC,0,0,1,12),N(OFFSET(tpSurvCnU,0,12-OFFSET(_i,0,0,1,12),1,1)))</f>
        <v>1494.8450539281371</v>
      </c>
      <c r="Q49" s="39">
        <f ca="1">SUMPRODUCT(OFFSET(tShpCnUBC,0,0,1,13),N(OFFSET(tpSurvCnU,0,13-OFFSET(_i,0,0,1,13),1,1)))</f>
        <v>1587.5245514259441</v>
      </c>
      <c r="R49" s="39">
        <f ca="1">SUMPRODUCT(OFFSET(tShpCnUBC,0,0,1,14),N(OFFSET(tpSurvCnU,0,14-OFFSET(_i,0,0,1,14),1,1)))</f>
        <v>1678.6460812446578</v>
      </c>
      <c r="S49" s="39">
        <f ca="1">SUMPRODUCT(OFFSET(tShpCnUBC,0,0,1,15),N(OFFSET(tpSurvCnU,0,15-OFFSET(_i,0,0,1,15),1,1)))</f>
        <v>1767.9215807968262</v>
      </c>
      <c r="T49" s="39">
        <f ca="1">SUMPRODUCT(OFFSET(tShpCnUBC,0,0,1,16),N(OFFSET(tpSurvCnU,0,16-OFFSET(_i,0,0,1,16),1,1)))</f>
        <v>1850.6234921099549</v>
      </c>
      <c r="U49" s="39">
        <f ca="1">SUMPRODUCT(OFFSET(tShpCnUBC,0,0,1,17),N(OFFSET(tpSurvCnU,0,17-OFFSET(_i,0,0,1,17),1,1)))</f>
        <v>1931.9436430436749</v>
      </c>
      <c r="V49" s="39">
        <f ca="1">SUMPRODUCT(OFFSET(tShpCnUBC,0,0,1,18),N(OFFSET(tpSurvCnU,0,18-OFFSET(_i,0,0,1,18),1,1)))</f>
        <v>2011.7857837192505</v>
      </c>
      <c r="W49" s="39">
        <f ca="1">SUMPRODUCT(OFFSET(tShpCnUBC,0,0,1,19),N(OFFSET(tpSurvCnU,0,19-OFFSET(_i,0,0,1,19),1,1)))</f>
        <v>2085.5611874705201</v>
      </c>
      <c r="X49" s="39">
        <f ca="1">SUMPRODUCT(OFFSET(tShpCnUBC,0,0,1,20),N(OFFSET(tpSurvCnU,0,20-OFFSET(_i,0,0,1,20),1,1)))</f>
        <v>2153.4899881674696</v>
      </c>
      <c r="Y49" s="39">
        <f ca="1">SUMPRODUCT(OFFSET(tShpCnUBC,0,0,1,21),N(OFFSET(tpSurvCnU,0,21-OFFSET(_i,0,0,1,21),1,1)))</f>
        <v>2215.5030547366073</v>
      </c>
      <c r="Z49" s="39">
        <f ca="1">SUMPRODUCT(OFFSET(tShpCnUBC,0,0,1,22),N(OFFSET(tpSurvCnU,0,22-OFFSET(_i,0,0,1,22),1,1)))</f>
        <v>2271.6903213384576</v>
      </c>
      <c r="AA49" s="39">
        <f ca="1">SUMPRODUCT(OFFSET(tShpCnUBC,0,0,1,23),N(OFFSET(tpSurvCnU,0,23-OFFSET(_i,0,0,1,23),1,1)))</f>
        <v>2322.6153656132815</v>
      </c>
      <c r="AB49" s="39">
        <f ca="1">SUMPRODUCT(OFFSET(tShpCnUBC,0,0,1,24),N(OFFSET(tpSurvCnU,0,24-OFFSET(_i,0,0,1,24),1,1)))</f>
        <v>2369.0476160607059</v>
      </c>
      <c r="AC49" s="39">
        <f ca="1">SUMPRODUCT(OFFSET(tShpCnUBC,0,0,1,25),N(OFFSET(tpSurvCnU,0,25-OFFSET(_i,0,0,1,25),1,1)))</f>
        <v>2411.3209020191707</v>
      </c>
      <c r="AD49" s="39">
        <f ca="1">SUMPRODUCT(OFFSET(tShpCnUBC,0,0,1,26),N(OFFSET(tpSurvCnU,0,26-OFFSET(_i,0,0,1,26),1,1)))</f>
        <v>2449.3322141388126</v>
      </c>
      <c r="AE49" s="39">
        <f ca="1">SUMPRODUCT(OFFSET(tShpCnUBC,0,0,1,27),N(OFFSET(tpSurvCnU,0,27-OFFSET(_i,0,0,1,27),1,1)))</f>
        <v>2483.6845474546699</v>
      </c>
      <c r="AF49" s="39">
        <f ca="1">SUMPRODUCT(OFFSET(tShpCnUBC,0,0,1,28),N(OFFSET(tpSurvCnU,0,28-OFFSET(_i,0,0,1,28),1,1)))</f>
        <v>2514.4961576197629</v>
      </c>
      <c r="AG49" s="39">
        <f ca="1">SUMPRODUCT(OFFSET(tShpCnUBC,0,0,1,29),N(OFFSET(tpSurvCnU,0,29-OFFSET(_i,0,0,1,29),1,1)))</f>
        <v>2541.8554800727388</v>
      </c>
      <c r="AH49" s="39">
        <f ca="1">SUMPRODUCT(OFFSET(tShpCnUBC,0,0,1,30),N(OFFSET(tpSurvCnU,0,30-OFFSET(_i,0,0,1,30),1,1)))</f>
        <v>2566.0799062117444</v>
      </c>
      <c r="AI49" s="39">
        <f ca="1">SUMPRODUCT(OFFSET(tShpCnUBC,0,0,1,31),N(OFFSET(tpSurvCnU,0,31-OFFSET(_i,0,0,1,31),1,1)))</f>
        <v>2589.3756010349416</v>
      </c>
      <c r="AJ49" s="39">
        <f ca="1">SUMPRODUCT(OFFSET(tShpCnUBC,0,0,1,32),N(OFFSET(tpSurvCnU,0,32-OFFSET(_i,0,0,1,32),1,1)))</f>
        <v>2611.8930361234311</v>
      </c>
      <c r="AK49" s="39">
        <f ca="1">SUMPRODUCT(OFFSET(tShpCnUBC,0,0,1,33),N(OFFSET(tpSurvCnU,0,33-OFFSET(_i,0,0,1,33),1,1)))</f>
        <v>2633.6845967160007</v>
      </c>
      <c r="AL49" s="39">
        <f ca="1">SUMPRODUCT(OFFSET(tShpCnUBC,0,0,1,34),N(OFFSET(tpSurvCnU,0,34-OFFSET(_i,0,0,1,34),1,1)))</f>
        <v>2654.7127039240195</v>
      </c>
      <c r="AM49" s="39">
        <f ca="1">SUMPRODUCT(OFFSET(tShpCnUBC,0,0,1,34),N(OFFSET(tpSurvCnU,0,35-OFFSET(_i,0,0,1,34),1,1)))</f>
        <v>2516.078434558372</v>
      </c>
      <c r="AN49" s="39">
        <f ca="1">SUMPRODUCT(OFFSET(tShpCnUBC,0,0,1,34),N(OFFSET(tpSurvCnU,0,36-OFFSET(_i,0,0,1,34),1,1)))</f>
        <v>2376.0941751299233</v>
      </c>
      <c r="AO49" s="39">
        <f ca="1">SUMPRODUCT(OFFSET(tShpCnUBC,0,0,1,34),N(OFFSET(tpSurvCnU,0,37-OFFSET(_i,0,0,1,34),1,1)))</f>
        <v>2234.7875172896556</v>
      </c>
      <c r="AP49" s="39">
        <f ca="1">SUMPRODUCT(OFFSET(tShpCnUBC,0,0,1,34),N(OFFSET(tpSurvCnU,0,38-OFFSET(_i,0,0,1,34),1,1)))</f>
        <v>2092.7342979984974</v>
      </c>
      <c r="AQ49" s="39">
        <f ca="1">SUMPRODUCT(OFFSET(tShpCnUBC,0,0,1,34),N(OFFSET(tpSurvCnU,0,39-OFFSET(_i,0,0,1,34),1,1)))</f>
        <v>1951.02677147591</v>
      </c>
      <c r="AR49" s="39">
        <f ca="1">SUMPRODUCT(OFFSET(tShpCnUBC,0,0,1,34),N(OFFSET(tpSurvCnU,0,40-OFFSET(_i,0,0,1,34),1,1)))</f>
        <v>1810.4692302863041</v>
      </c>
      <c r="AS49" s="39">
        <f ca="1">SUMPRODUCT(OFFSET(tShpCnUBC,0,0,1,34),N(OFFSET(tpSurvCnU,0,41-OFFSET(_i,0,0,1,34),1,1)))</f>
        <v>1672.0650888828611</v>
      </c>
      <c r="AT49" s="39">
        <f ca="1">SUMPRODUCT(OFFSET(tShpCnUBC,0,0,1,34),N(OFFSET(tpSurvCnU,0,42-OFFSET(_i,0,0,1,34),1,1)))</f>
        <v>1536.9480903493511</v>
      </c>
      <c r="AU49" s="39">
        <f ca="1">SUMPRODUCT(OFFSET(tShpCnUBC,0,0,1,34),N(OFFSET(tpSurvCnU,0,43-OFFSET(_i,0,0,1,34),1,1)))</f>
        <v>1406.2433942834732</v>
      </c>
      <c r="AV49" s="39">
        <f ca="1">SUMPRODUCT(OFFSET(tShpCnUBC,0,0,1,34),N(OFFSET(tpSurvCnU,0,44-OFFSET(_i,0,0,1,34),1,1)))</f>
        <v>1280.5346181906275</v>
      </c>
      <c r="AW49" s="39">
        <f ca="1">SUMPRODUCT(OFFSET(tShpCnUBC,0,0,1,34),N(OFFSET(tpSurvCnU,0,45-OFFSET(_i,0,0,1,34),1,1)))</f>
        <v>1160.3216466211752</v>
      </c>
      <c r="AX49" s="39">
        <f ca="1">SUMPRODUCT(OFFSET(tShpCnUBC,0,0,1,34),N(OFFSET(tpSurvCnU,0,46-OFFSET(_i,0,0,1,34),1,1)))</f>
        <v>1046.4059318356365</v>
      </c>
      <c r="AY49" s="39">
        <f ca="1">SUMPRODUCT(OFFSET(tShpCnUBC,0,0,1,34),N(OFFSET(tpSurvCnU,0,47-OFFSET(_i,0,0,1,34),1,1)))</f>
        <v>939.44862772615102</v>
      </c>
      <c r="AZ49" s="39">
        <f ca="1">SUMPRODUCT(OFFSET(tShpCnUBC,0,0,1,34),N(OFFSET(tpSurvCnU,0,48-OFFSET(_i,0,0,1,34),1,1)))</f>
        <v>839.26920722446789</v>
      </c>
      <c r="BA49" s="39">
        <f ca="1">SUMPRODUCT(OFFSET(tShpCnUBC,0,0,1,34),N(OFFSET(tpSurvCnU,0,49-OFFSET(_i,0,0,1,34),1,1)))</f>
        <v>746.49529044141377</v>
      </c>
      <c r="BB49" s="39">
        <f ca="1">SUMPRODUCT(OFFSET(tShpCnUBC,0,0,1,34),N(OFFSET(tpSurvCnU,0,50-OFFSET(_i,0,0,1,34),1,1)))</f>
        <v>660.85573869585539</v>
      </c>
      <c r="BC49" s="39">
        <f ca="1">SUMPRODUCT(OFFSET(tShpCnUBC,0,0,1,34),N(OFFSET(tpSurvCnU,0,51-OFFSET(_i,0,0,1,34),1,1)))</f>
        <v>582.18508700497364</v>
      </c>
      <c r="BD49" s="39">
        <f ca="1">SUMPRODUCT(OFFSET(tShpCnUBC,0,0,1,34),N(OFFSET(tpSurvCnU,0,52-OFFSET(_i,0,0,1,34),1,1)))</f>
        <v>510.73793380630042</v>
      </c>
      <c r="BE49" s="39">
        <f ca="1">SUMPRODUCT(OFFSET(tShpCnUBC,0,0,1,34),N(OFFSET(tpSurvCnU,0,53-OFFSET(_i,0,0,1,34),1,1)))</f>
        <v>445.87287290252868</v>
      </c>
      <c r="BF49" s="39">
        <f ca="1">SUMPRODUCT(OFFSET(tShpCnUBC,0,0,1,34),N(OFFSET(tpSurvCnU,0,54-OFFSET(_i,0,0,1,34),1,1)))</f>
        <v>387.33803960595048</v>
      </c>
      <c r="BG49" s="39">
        <f ca="1">SUMPRODUCT(OFFSET(tShpCnUBC,0,0,1,34),N(OFFSET(tpSurvCnU,0,55-OFFSET(_i,0,0,1,34),1,1)))</f>
        <v>335.09562166892204</v>
      </c>
      <c r="BH49" s="39">
        <f ca="1">SUMPRODUCT(OFFSET(tShpCnUBC,0,0,1,34),N(OFFSET(tpSurvCnU,0,56-OFFSET(_i,0,0,1,34),1,1)))</f>
        <v>288.96716018964548</v>
      </c>
      <c r="BI49" s="39">
        <f ca="1">SUMPRODUCT(OFFSET(tShpCnUBC,0,0,1,34),N(OFFSET(tpSurvCnU,0,57-OFFSET(_i,0,0,1,34),1,1)))</f>
        <v>248.73252696580673</v>
      </c>
      <c r="BJ49" s="39">
        <f ca="1">SUMPRODUCT(OFFSET(tShpCnUBC,0,0,1,34),N(OFFSET(tpSurvCnU,0,58-OFFSET(_i,0,0,1,34),1,1)))</f>
        <v>213.78126491159048</v>
      </c>
      <c r="BK49" s="39">
        <f ca="1">SUMPRODUCT(OFFSET(tShpCnUBC,0,0,1,34),N(OFFSET(tpSurvCnU,0,59-OFFSET(_i,0,0,1,34),1,1)))</f>
        <v>183.59859635405999</v>
      </c>
      <c r="BL49" s="39">
        <f ca="1">SUMPRODUCT(OFFSET(tShpCnUBC,0,0,1,34),N(OFFSET(tpSurvCnU,0,60-OFFSET(_i,0,0,1,34),1,1)))</f>
        <v>158.26464651772329</v>
      </c>
      <c r="BM49" s="39">
        <f ca="1">SUMPRODUCT(OFFSET(tShpCnUBC,0,1,1,33),N(OFFSET(tpSurvCnU,0,60-OFFSET(_i,0,0,1,33),1,1)))</f>
        <v>137.12101198725563</v>
      </c>
      <c r="BN49" s="39">
        <f ca="1">SUMPRODUCT(OFFSET(tShpCnUBC,0,2,1,32),N(OFFSET(tpSurvCnU,0,60-OFFSET(_i,0,0,1,32),1,1)))</f>
        <v>119.97691111931636</v>
      </c>
      <c r="BO49" s="39">
        <f ca="1">SUMPRODUCT(OFFSET(tShpCnUBC,0,3,1,31),N(OFFSET(tpSurvCnU,0,60-OFFSET(_i,0,0,1,31),1,1)))</f>
        <v>106.66322756132492</v>
      </c>
      <c r="BP49" s="39">
        <f ca="1">SUMPRODUCT(OFFSET(tShpCnUBC,0,4,1,30),N(OFFSET(tpSurvCnU,0,60-OFFSET(_i,0,0,1,30),1,1)))</f>
        <v>96.794453336436661</v>
      </c>
      <c r="BQ49" s="39">
        <f ca="1">SUMPRODUCT(OFFSET(tShpCnUBC,0,5,1,29),N(OFFSET(tpSurvCnU,0,60-OFFSET(_i,0,0,1,29),1,1)))</f>
        <v>87.807849705517782</v>
      </c>
      <c r="BR49" s="39">
        <f ca="1">SUMPRODUCT(OFFSET(tShpCnUBC,0,6,1,28),N(OFFSET(tpSurvCnU,0,60-OFFSET(_i,0,0,1,28),1,1)))</f>
        <v>79.503108874736341</v>
      </c>
      <c r="BS49" s="39">
        <f ca="1">SUMPRODUCT(OFFSET(tShpCnUBC,0,7,1,27),N(OFFSET(tpSurvCnU,0,60-OFFSET(_i,0,0,1,27),1,1)))</f>
        <v>71.832073421421896</v>
      </c>
      <c r="BT49" s="39">
        <f ca="1">SUMPRODUCT(OFFSET(tShpCnUBC,0,8,1,26),N(OFFSET(tpSurvCnU,0,60-OFFSET(_i,0,0,1,26),1,1)))</f>
        <v>64.816206237896751</v>
      </c>
      <c r="BU49" s="39">
        <f ca="1">SUMPRODUCT(OFFSET(tShpCnUBC,0,9,1,25),N(OFFSET(tpSurvCnU,0,60-OFFSET(_i,0,0,1,25),1,1)))</f>
        <v>58.348550192676164</v>
      </c>
      <c r="BV49" s="39">
        <f ca="1">SUMPRODUCT(OFFSET(tShpCnUBC,0,10,1,24),N(OFFSET(tpSurvCnU,0,60-OFFSET(_i,0,0,1,24),1,1)))</f>
        <v>52.319272933482537</v>
      </c>
      <c r="BW49" s="39">
        <f ca="1">SUMPRODUCT(OFFSET(tShpCnUBC,0,11,1,23),N(OFFSET(tpSurvCnU,0,60-OFFSET(_i,0,0,1,23),1,1)))</f>
        <v>46.716529220096952</v>
      </c>
      <c r="BX49" s="39">
        <f ca="1">SUMPRODUCT(OFFSET(tShpCnUBC,0,12,1,22),N(OFFSET(tpSurvCnU,0,60-OFFSET(_i,0,0,1,22),1,1)))</f>
        <v>41.52520830423915</v>
      </c>
      <c r="BY49" s="39">
        <f ca="1">SUMPRODUCT(OFFSET(tShpCnUBC,0,13,1,21),N(OFFSET(tpSurvCnU,0,60-OFFSET(_i,0,0,1,21),1,1)))</f>
        <v>36.747386945877182</v>
      </c>
      <c r="BZ49" s="39">
        <f ca="1">SUMPRODUCT(OFFSET(tShpCnUBC,0,14,1,20),N(OFFSET(tpSurvCnU,0,60-OFFSET(_i,0,0,1,20),1,1)))</f>
        <v>32.342215338269391</v>
      </c>
      <c r="CA49" s="39">
        <f ca="1">SUMPRODUCT(OFFSET(tShpCnUBC,0,15,1,19),N(OFFSET(tpSurvCnU,0,60-OFFSET(_i,0,0,1,19),1,1)))</f>
        <v>28.297089380466378</v>
      </c>
      <c r="CB49" s="39">
        <f ca="1">SUMPRODUCT(OFFSET(tShpCnUBC,0,16,1,18),N(OFFSET(tpSurvCnU,0,60-OFFSET(_i,0,0,1,18),1,1)))</f>
        <v>24.597349272102775</v>
      </c>
      <c r="CC49" s="39">
        <f ca="1">SUMPRODUCT(OFFSET(tShpCnUBC,0,17,1,17),N(OFFSET(tpSurvCnU,0,60-OFFSET(_i,0,0,1,17),1,1)))</f>
        <v>21.263705163279383</v>
      </c>
      <c r="CD49" s="39">
        <f ca="1">SUMPRODUCT(OFFSET(tShpCnUBC,0,18,1,16),N(OFFSET(tpSurvCnU,0,60-OFFSET(_i,0,0,1,16),1,1)))</f>
        <v>18.251850308067912</v>
      </c>
      <c r="CE49" s="39">
        <f ca="1">SUMPRODUCT(OFFSET(tShpCnUBC,0,19,1,15),N(OFFSET(tpSurvCnU,0,60-OFFSET(_i,0,0,1,15),1,1)))</f>
        <v>15.514827302828843</v>
      </c>
      <c r="CF49" s="39">
        <f ca="1">SUMPRODUCT(OFFSET(tShpCnUBC,0,20,1,14),N(OFFSET(tpSurvCnU,0,60-OFFSET(_i,0,0,1,14),1,1)))</f>
        <v>13.037403912375305</v>
      </c>
      <c r="CG49" s="39">
        <f ca="1">SUMPRODUCT(OFFSET(tShpCnUBC,0,21,1,13),N(OFFSET(tpSurvCnU,0,60-OFFSET(_i,0,0,1,13),1,1)))</f>
        <v>10.740673544378648</v>
      </c>
      <c r="CH49" s="39">
        <f ca="1">SUMPRODUCT(OFFSET(tShpCnUBC,0,22,1,12),N(OFFSET(tpSurvCnU,0,60-OFFSET(_i,0,0,1,12),1,1)))</f>
        <v>8.7839397602823048</v>
      </c>
      <c r="CI49" s="39">
        <f ca="1">SUMPRODUCT(OFFSET(tShpCnUBC,0,23,1,11),N(OFFSET(tpSurvCnU,0,60-OFFSET(_i,0,0,1,11),1,1)))</f>
        <v>7.0572394005266723</v>
      </c>
      <c r="CJ49" s="39">
        <f ca="1">SUMPRODUCT(OFFSET(tShpCnUBC,0,24,1,10),N(OFFSET(tpSurvCnU,0,60-OFFSET(_i,0,0,1,10),1,1)))</f>
        <v>5.5456651917588236</v>
      </c>
      <c r="CK49" s="39">
        <f ca="1">SUMPRODUCT(OFFSET(tShpCnUBC,0,25,1,9),N(OFFSET(tpSurvCnU,0,60-OFFSET(_i,0,0,1,9),1,1)))</f>
        <v>4.3137333611566611</v>
      </c>
      <c r="CL49" s="39">
        <f ca="1">SUMPRODUCT(OFFSET(tShpCnUBC,0,26,1,8),N(OFFSET(tpSurvCnU,0,60-OFFSET(_i,0,0,1,8),1,1)))</f>
        <v>3.2195695964356981</v>
      </c>
      <c r="CM49" s="39">
        <f ca="1">SUMPRODUCT(OFFSET(tShpCnUBC,0,27,1,7),N(OFFSET(tpSurvCnU,0,60-OFFSET(_i,0,0,1,7),1,1)))</f>
        <v>2.3273525394897336</v>
      </c>
      <c r="CN49" s="39">
        <f ca="1">SUMPRODUCT(OFFSET(tShpCnUBC,0,28,1,6),N(OFFSET(tpSurvCnU,0,60-OFFSET(_i,0,0,1,6),1,1)))</f>
        <v>1.5902571764929141</v>
      </c>
      <c r="CO49" s="39">
        <f ca="1">SUMPRODUCT(OFFSET(tShpCnUBC,0,29,1,5),N(OFFSET(tpSurvCnU,0,60-OFFSET(_i,0,0,1,5),1,1)))</f>
        <v>1.0089481523377997</v>
      </c>
      <c r="CP49" s="39">
        <f ca="1">SUMPRODUCT(OFFSET(tShpCnUBC,0,30,1,4),N(OFFSET(tpSurvCnU,0,60-OFFSET(_i,0,0,1,4),1,1)))</f>
        <v>0.58409444547746425</v>
      </c>
      <c r="CQ49" s="39">
        <f ca="1">SUMPRODUCT(OFFSET(tShpCnUBC,0,31,1,3),N(OFFSET(tpSurvCnU,0,60-OFFSET(_i,0,0,1,3),1,1)))</f>
        <v>0.28457697868068094</v>
      </c>
      <c r="CR49" s="39">
        <f ca="1">SUMPRODUCT(OFFSET(tShpCnUBC,0,32,1,2),N(OFFSET(tpSurvCnU,0,60-OFFSET(_i,0,0,1,2),1,1)))</f>
        <v>7.9144248099502615E-2</v>
      </c>
      <c r="CS49" s="40">
        <f ca="1">SUMPRODUCT(N(OFFSET(tShpCnUBC,0,33,1,1)),N(OFFSET(tpSurvCnU,0,60-OFFSET(_i,0,0,1,1),1,1)))</f>
        <v>0</v>
      </c>
      <c r="CT49" s="10"/>
    </row>
    <row r="50" spans="2:98" ht="15">
      <c r="B50" s="10"/>
      <c r="C50" s="28" t="str">
        <f>INDEX(_pcName,5)</f>
        <v>Inline-Mixed</v>
      </c>
      <c r="D50" s="12" t="str">
        <f t="shared" si="5"/>
        <v>th units</v>
      </c>
      <c r="E50" s="39">
        <f ca="1">SUMPRODUCT(N(OFFSET(tShpInMxBC,0,0,1,1)),N(OFFSET(tpSurvInMx,0,1-OFFSET(_i,0,0,1,1),1,1)))</f>
        <v>33.788668735799874</v>
      </c>
      <c r="F50" s="39">
        <f ca="1">SUMPRODUCT(OFFSET(tShpInMxBC,0,0,1,2),N(OFFSET(tpSurvInMx,0,2-OFFSET(_i,0,0,1,2),1,1)))</f>
        <v>67.642263591406675</v>
      </c>
      <c r="G50" s="39">
        <f ca="1">SUMPRODUCT(OFFSET(tShpInMxBC,0,0,1,3),N(OFFSET(tpSurvInMx,0,3-OFFSET(_i,0,0,1,3),1,1)))</f>
        <v>101.47679176464845</v>
      </c>
      <c r="H50" s="39">
        <f ca="1">SUMPRODUCT(OFFSET(tShpInMxBC,0,0,1,4),N(OFFSET(tpSurvInMx,0,4-OFFSET(_i,0,0,1,4),1,1)))</f>
        <v>135.27822433402207</v>
      </c>
      <c r="I50" s="39">
        <f ca="1">SUMPRODUCT(OFFSET(tShpInMxBC,0,0,1,5),N(OFFSET(tpSurvInMx,0,5-OFFSET(_i,0,0,1,5),1,1)))</f>
        <v>169.08342957632809</v>
      </c>
      <c r="J50" s="39">
        <f ca="1">SUMPRODUCT(OFFSET(tShpInMxBC,0,0,1,6),N(OFFSET(tpSurvInMx,0,6-OFFSET(_i,0,0,1,6),1,1)))</f>
        <v>201.57600764089852</v>
      </c>
      <c r="K50" s="39">
        <f ca="1">SUMPRODUCT(OFFSET(tShpInMxBC,0,0,1,7),N(OFFSET(tpSurvInMx,0,7-OFFSET(_i,0,0,1,7),1,1)))</f>
        <v>233.91331189666238</v>
      </c>
      <c r="L50" s="39">
        <f ca="1">SUMPRODUCT(OFFSET(tShpInMxBC,0,0,1,8),N(OFFSET(tpSurvInMx,0,8-OFFSET(_i,0,0,1,8),1,1)))</f>
        <v>265.9782321125536</v>
      </c>
      <c r="M50" s="39">
        <f ca="1">SUMPRODUCT(OFFSET(tShpInMxBC,0,0,1,9),N(OFFSET(tpSurvInMx,0,9-OFFSET(_i,0,0,1,9),1,1)))</f>
        <v>297.57800139185025</v>
      </c>
      <c r="N50" s="39">
        <f ca="1">SUMPRODUCT(OFFSET(tShpInMxBC,0,0,1,10),N(OFFSET(tpSurvInMx,0,10-OFFSET(_i,0,0,1,10),1,1)))</f>
        <v>328.57035417656641</v>
      </c>
      <c r="O50" s="39">
        <f ca="1">SUMPRODUCT(OFFSET(tShpInMxBC,0,0,1,11),N(OFFSET(tpSurvInMx,0,11-OFFSET(_i,0,0,1,11),1,1)))</f>
        <v>358.88348851718979</v>
      </c>
      <c r="P50" s="39">
        <f ca="1">SUMPRODUCT(OFFSET(tShpInMxBC,0,0,1,12),N(OFFSET(tpSurvInMx,0,12-OFFSET(_i,0,0,1,12),1,1)))</f>
        <v>388.40046343334677</v>
      </c>
      <c r="Q50" s="39">
        <f ca="1">SUMPRODUCT(OFFSET(tShpInMxBC,0,0,1,13),N(OFFSET(tpSurvInMx,0,13-OFFSET(_i,0,0,1,13),1,1)))</f>
        <v>417.09597748949795</v>
      </c>
      <c r="R50" s="39">
        <f ca="1">SUMPRODUCT(OFFSET(tShpInMxBC,0,0,1,14),N(OFFSET(tpSurvInMx,0,14-OFFSET(_i,0,0,1,14),1,1)))</f>
        <v>446.1232056430909</v>
      </c>
      <c r="S50" s="39">
        <f ca="1">SUMPRODUCT(OFFSET(tShpInMxBC,0,0,1,15),N(OFFSET(tpSurvInMx,0,15-OFFSET(_i,0,0,1,15),1,1)))</f>
        <v>475.28258645185667</v>
      </c>
      <c r="T50" s="39">
        <f ca="1">SUMPRODUCT(OFFSET(tShpInMxBC,0,0,1,16),N(OFFSET(tpSurvInMx,0,16-OFFSET(_i,0,0,1,16),1,1)))</f>
        <v>503.32764904292389</v>
      </c>
      <c r="U50" s="39">
        <f ca="1">SUMPRODUCT(OFFSET(tShpInMxBC,0,0,1,17),N(OFFSET(tpSurvInMx,0,17-OFFSET(_i,0,0,1,17),1,1)))</f>
        <v>531.58654022963378</v>
      </c>
      <c r="V50" s="39">
        <f ca="1">SUMPRODUCT(OFFSET(tShpInMxBC,0,0,1,18),N(OFFSET(tpSurvInMx,0,18-OFFSET(_i,0,0,1,18),1,1)))</f>
        <v>559.95008964671513</v>
      </c>
      <c r="W50" s="39">
        <f ca="1">SUMPRODUCT(OFFSET(tShpInMxBC,0,0,1,19),N(OFFSET(tpSurvInMx,0,19-OFFSET(_i,0,0,1,19),1,1)))</f>
        <v>587.13359116728816</v>
      </c>
      <c r="X50" s="39">
        <f ca="1">SUMPRODUCT(OFFSET(tShpInMxBC,0,0,1,20),N(OFFSET(tpSurvInMx,0,20-OFFSET(_i,0,0,1,20),1,1)))</f>
        <v>613.15268172320032</v>
      </c>
      <c r="Y50" s="39">
        <f ca="1">SUMPRODUCT(OFFSET(tShpInMxBC,0,0,1,21),N(OFFSET(tpSurvInMx,0,21-OFFSET(_i,0,0,1,21),1,1)))</f>
        <v>638.10968998931924</v>
      </c>
      <c r="Z50" s="39">
        <f ca="1">SUMPRODUCT(OFFSET(tShpInMxBC,0,0,1,22),N(OFFSET(tpSurvInMx,0,22-OFFSET(_i,0,0,1,22),1,1)))</f>
        <v>661.99286168579306</v>
      </c>
      <c r="AA50" s="39">
        <f ca="1">SUMPRODUCT(OFFSET(tShpInMxBC,0,0,1,23),N(OFFSET(tpSurvInMx,0,23-OFFSET(_i,0,0,1,23),1,1)))</f>
        <v>684.77007091446558</v>
      </c>
      <c r="AB50" s="39">
        <f ca="1">SUMPRODUCT(OFFSET(tShpInMxBC,0,0,1,24),N(OFFSET(tpSurvInMx,0,24-OFFSET(_i,0,0,1,24),1,1)))</f>
        <v>706.60426796992613</v>
      </c>
      <c r="AC50" s="39">
        <f ca="1">SUMPRODUCT(OFFSET(tShpInMxBC,0,0,1,25),N(OFFSET(tpSurvInMx,0,25-OFFSET(_i,0,0,1,25),1,1)))</f>
        <v>727.38450461591401</v>
      </c>
      <c r="AD50" s="39">
        <f ca="1">SUMPRODUCT(OFFSET(tShpInMxBC,0,0,1,26),N(OFFSET(tpSurvInMx,0,26-OFFSET(_i,0,0,1,26),1,1)))</f>
        <v>747.20505657845422</v>
      </c>
      <c r="AE50" s="39">
        <f ca="1">SUMPRODUCT(OFFSET(tShpInMxBC,0,0,1,27),N(OFFSET(tpSurvInMx,0,27-OFFSET(_i,0,0,1,27),1,1)))</f>
        <v>766.08483391073082</v>
      </c>
      <c r="AF50" s="39">
        <f ca="1">SUMPRODUCT(OFFSET(tShpInMxBC,0,0,1,28),N(OFFSET(tpSurvInMx,0,28-OFFSET(_i,0,0,1,28),1,1)))</f>
        <v>783.99727254715992</v>
      </c>
      <c r="AG50" s="39">
        <f ca="1">SUMPRODUCT(OFFSET(tShpInMxBC,0,0,1,29),N(OFFSET(tpSurvInMx,0,29-OFFSET(_i,0,0,1,29),1,1)))</f>
        <v>800.93374951061048</v>
      </c>
      <c r="AH50" s="39">
        <f ca="1">SUMPRODUCT(OFFSET(tShpInMxBC,0,0,1,30),N(OFFSET(tpSurvInMx,0,30-OFFSET(_i,0,0,1,30),1,1)))</f>
        <v>816.98495520466167</v>
      </c>
      <c r="AI50" s="39">
        <f ca="1">SUMPRODUCT(OFFSET(tShpInMxBC,0,0,1,31),N(OFFSET(tpSurvInMx,0,31-OFFSET(_i,0,0,1,31),1,1)))</f>
        <v>832.20974208682071</v>
      </c>
      <c r="AJ50" s="39">
        <f ca="1">SUMPRODUCT(OFFSET(tShpInMxBC,0,0,1,32),N(OFFSET(tpSurvInMx,0,32-OFFSET(_i,0,0,1,32),1,1)))</f>
        <v>846.62255334518761</v>
      </c>
      <c r="AK50" s="39">
        <f ca="1">SUMPRODUCT(OFFSET(tShpInMxBC,0,0,1,33),N(OFFSET(tpSurvInMx,0,33-OFFSET(_i,0,0,1,33),1,1)))</f>
        <v>860.35857235638866</v>
      </c>
      <c r="AL50" s="39">
        <f ca="1">SUMPRODUCT(OFFSET(tShpInMxBC,0,0,1,34),N(OFFSET(tpSurvInMx,0,34-OFFSET(_i,0,0,1,34),1,1)))</f>
        <v>873.4114130898414</v>
      </c>
      <c r="AM50" s="39">
        <f ca="1">SUMPRODUCT(OFFSET(tShpInMxBC,0,0,1,34),N(OFFSET(tpSurvInMx,0,35-OFFSET(_i,0,0,1,34),1,1)))</f>
        <v>846.76940340336193</v>
      </c>
      <c r="AN50" s="39">
        <f ca="1">SUMPRODUCT(OFFSET(tShpInMxBC,0,0,1,34),N(OFFSET(tpSurvInMx,0,36-OFFSET(_i,0,0,1,34),1,1)))</f>
        <v>819.29851675555756</v>
      </c>
      <c r="AO50" s="39">
        <f ca="1">SUMPRODUCT(OFFSET(tShpInMxBC,0,0,1,34),N(OFFSET(tpSurvInMx,0,37-OFFSET(_i,0,0,1,34),1,1)))</f>
        <v>791.07070941181769</v>
      </c>
      <c r="AP50" s="39">
        <f ca="1">SUMPRODUCT(OFFSET(tShpInMxBC,0,0,1,34),N(OFFSET(tpSurvInMx,0,38-OFFSET(_i,0,0,1,34),1,1)))</f>
        <v>762.13378644478848</v>
      </c>
      <c r="AQ50" s="39">
        <f ca="1">SUMPRODUCT(OFFSET(tShpInMxBC,0,0,1,34),N(OFFSET(tpSurvInMx,0,39-OFFSET(_i,0,0,1,34),1,1)))</f>
        <v>732.45812125498969</v>
      </c>
      <c r="AR50" s="39">
        <f ca="1">SUMPRODUCT(OFFSET(tShpInMxBC,0,0,1,34),N(OFFSET(tpSurvInMx,0,40-OFFSET(_i,0,0,1,34),1,1)))</f>
        <v>702.20004801856282</v>
      </c>
      <c r="AS50" s="39">
        <f ca="1">SUMPRODUCT(OFFSET(tShpInMxBC,0,0,1,34),N(OFFSET(tpSurvInMx,0,41-OFFSET(_i,0,0,1,34),1,1)))</f>
        <v>671.51584654901319</v>
      </c>
      <c r="AT50" s="39">
        <f ca="1">SUMPRODUCT(OFFSET(tShpInMxBC,0,0,1,34),N(OFFSET(tpSurvInMx,0,42-OFFSET(_i,0,0,1,34),1,1)))</f>
        <v>640.52122609870162</v>
      </c>
      <c r="AU50" s="39">
        <f ca="1">SUMPRODUCT(OFFSET(tShpInMxBC,0,0,1,34),N(OFFSET(tpSurvInMx,0,43-OFFSET(_i,0,0,1,34),1,1)))</f>
        <v>609.44913059504393</v>
      </c>
      <c r="AV50" s="39">
        <f ca="1">SUMPRODUCT(OFFSET(tShpInMxBC,0,0,1,34),N(OFFSET(tpSurvInMx,0,44-OFFSET(_i,0,0,1,34),1,1)))</f>
        <v>578.4014056571549</v>
      </c>
      <c r="AW50" s="39">
        <f ca="1">SUMPRODUCT(OFFSET(tShpInMxBC,0,0,1,34),N(OFFSET(tpSurvInMx,0,45-OFFSET(_i,0,0,1,34),1,1)))</f>
        <v>547.57588642897792</v>
      </c>
      <c r="AX50" s="39">
        <f ca="1">SUMPRODUCT(OFFSET(tShpInMxBC,0,0,1,34),N(OFFSET(tpSurvInMx,0,46-OFFSET(_i,0,0,1,34),1,1)))</f>
        <v>517.15812015825736</v>
      </c>
      <c r="AY50" s="39">
        <f ca="1">SUMPRODUCT(OFFSET(tShpInMxBC,0,0,1,34),N(OFFSET(tpSurvInMx,0,47-OFFSET(_i,0,0,1,34),1,1)))</f>
        <v>487.24447913798997</v>
      </c>
      <c r="AZ50" s="39">
        <f ca="1">SUMPRODUCT(OFFSET(tShpInMxBC,0,0,1,34),N(OFFSET(tpSurvInMx,0,48-OFFSET(_i,0,0,1,34),1,1)))</f>
        <v>457.87311873639925</v>
      </c>
      <c r="BA50" s="39">
        <f ca="1">SUMPRODUCT(OFFSET(tShpInMxBC,0,0,1,34),N(OFFSET(tpSurvInMx,0,49-OFFSET(_i,0,0,1,34),1,1)))</f>
        <v>429.36483557929995</v>
      </c>
      <c r="BB50" s="39">
        <f ca="1">SUMPRODUCT(OFFSET(tShpInMxBC,0,0,1,34),N(OFFSET(tpSurvInMx,0,50-OFFSET(_i,0,0,1,34),1,1)))</f>
        <v>401.74955974043417</v>
      </c>
      <c r="BC50" s="39">
        <f ca="1">SUMPRODUCT(OFFSET(tShpInMxBC,0,0,1,34),N(OFFSET(tpSurvInMx,0,51-OFFSET(_i,0,0,1,34),1,1)))</f>
        <v>374.94218788730012</v>
      </c>
      <c r="BD50" s="39">
        <f ca="1">SUMPRODUCT(OFFSET(tShpInMxBC,0,0,1,34),N(OFFSET(tpSurvInMx,0,52-OFFSET(_i,0,0,1,34),1,1)))</f>
        <v>349.09648041530988</v>
      </c>
      <c r="BE50" s="39">
        <f ca="1">SUMPRODUCT(OFFSET(tShpInMxBC,0,0,1,34),N(OFFSET(tpSurvInMx,0,53-OFFSET(_i,0,0,1,34),1,1)))</f>
        <v>324.32730914057441</v>
      </c>
      <c r="BF50" s="39">
        <f ca="1">SUMPRODUCT(OFFSET(tShpInMxBC,0,0,1,34),N(OFFSET(tpSurvInMx,0,54-OFFSET(_i,0,0,1,34),1,1)))</f>
        <v>300.63873155024157</v>
      </c>
      <c r="BG50" s="39">
        <f ca="1">SUMPRODUCT(OFFSET(tShpInMxBC,0,0,1,34),N(OFFSET(tpSurvInMx,0,55-OFFSET(_i,0,0,1,34),1,1)))</f>
        <v>277.8974636842575</v>
      </c>
      <c r="BH50" s="39">
        <f ca="1">SUMPRODUCT(OFFSET(tShpInMxBC,0,0,1,34),N(OFFSET(tpSurvInMx,0,56-OFFSET(_i,0,0,1,34),1,1)))</f>
        <v>256.14607547809828</v>
      </c>
      <c r="BI50" s="39">
        <f ca="1">SUMPRODUCT(OFFSET(tShpInMxBC,0,0,1,34),N(OFFSET(tpSurvInMx,0,57-OFFSET(_i,0,0,1,34),1,1)))</f>
        <v>235.57187490403871</v>
      </c>
      <c r="BJ50" s="39">
        <f ca="1">SUMPRODUCT(OFFSET(tShpInMxBC,0,0,1,34),N(OFFSET(tpSurvInMx,0,58-OFFSET(_i,0,0,1,34),1,1)))</f>
        <v>216.05997879180379</v>
      </c>
      <c r="BK50" s="39">
        <f ca="1">SUMPRODUCT(OFFSET(tShpInMxBC,0,0,1,34),N(OFFSET(tpSurvInMx,0,59-OFFSET(_i,0,0,1,34),1,1)))</f>
        <v>197.70317285589203</v>
      </c>
      <c r="BL50" s="39">
        <f ca="1">SUMPRODUCT(OFFSET(tShpInMxBC,0,0,1,34),N(OFFSET(tpSurvInMx,0,60-OFFSET(_i,0,0,1,34),1,1)))</f>
        <v>180.38068412392769</v>
      </c>
      <c r="BM50" s="39">
        <f ca="1">SUMPRODUCT(OFFSET(tShpInMxBC,0,1,1,33),N(OFFSET(tpSurvInMx,0,60-OFFSET(_i,0,0,1,33),1,1)))</f>
        <v>164.18453260238547</v>
      </c>
      <c r="BN50" s="39">
        <f ca="1">SUMPRODUCT(OFFSET(tShpInMxBC,0,2,1,32),N(OFFSET(tpSurvInMx,0,60-OFFSET(_i,0,0,1,32),1,1)))</f>
        <v>149.13629531923601</v>
      </c>
      <c r="BO50" s="39">
        <f ca="1">SUMPRODUCT(OFFSET(tShpInMxBC,0,3,1,31),N(OFFSET(tpSurvInMx,0,60-OFFSET(_i,0,0,1,31),1,1)))</f>
        <v>135.23111682408339</v>
      </c>
      <c r="BP50" s="39">
        <f ca="1">SUMPRODUCT(OFFSET(tShpInMxBC,0,4,1,30),N(OFFSET(tpSurvInMx,0,60-OFFSET(_i,0,0,1,30),1,1)))</f>
        <v>122.37203121756579</v>
      </c>
      <c r="BQ50" s="39">
        <f ca="1">SUMPRODUCT(OFFSET(tShpInMxBC,0,5,1,29),N(OFFSET(tpSurvInMx,0,60-OFFSET(_i,0,0,1,29),1,1)))</f>
        <v>110.47615641534524</v>
      </c>
      <c r="BR50" s="39">
        <f ca="1">SUMPRODUCT(OFFSET(tShpInMxBC,0,6,1,28),N(OFFSET(tpSurvInMx,0,60-OFFSET(_i,0,0,1,28),1,1)))</f>
        <v>99.510383708598027</v>
      </c>
      <c r="BS50" s="39">
        <f ca="1">SUMPRODUCT(OFFSET(tShpInMxBC,0,7,1,27),N(OFFSET(tpSurvInMx,0,60-OFFSET(_i,0,0,1,27),1,1)))</f>
        <v>89.323440237530477</v>
      </c>
      <c r="BT50" s="39">
        <f ca="1">SUMPRODUCT(OFFSET(tShpInMxBC,0,8,1,26),N(OFFSET(tpSurvInMx,0,60-OFFSET(_i,0,0,1,26),1,1)))</f>
        <v>79.925422479144189</v>
      </c>
      <c r="BU50" s="39">
        <f ca="1">SUMPRODUCT(OFFSET(tShpInMxBC,0,9,1,25),N(OFFSET(tpSurvInMx,0,60-OFFSET(_i,0,0,1,25),1,1)))</f>
        <v>71.286631470929962</v>
      </c>
      <c r="BV50" s="39">
        <f ca="1">SUMPRODUCT(OFFSET(tShpInMxBC,0,10,1,24),N(OFFSET(tpSurvInMx,0,60-OFFSET(_i,0,0,1,24),1,1)))</f>
        <v>63.398259352192028</v>
      </c>
      <c r="BW50" s="39">
        <f ca="1">SUMPRODUCT(OFFSET(tShpInMxBC,0,11,1,23),N(OFFSET(tpSurvInMx,0,60-OFFSET(_i,0,0,1,23),1,1)))</f>
        <v>56.177315322357558</v>
      </c>
      <c r="BX50" s="39">
        <f ca="1">SUMPRODUCT(OFFSET(tShpInMxBC,0,12,1,22),N(OFFSET(tpSurvInMx,0,60-OFFSET(_i,0,0,1,22),1,1)))</f>
        <v>49.562588454378322</v>
      </c>
      <c r="BY50" s="39">
        <f ca="1">SUMPRODUCT(OFFSET(tShpInMxBC,0,13,1,21),N(OFFSET(tpSurvInMx,0,60-OFFSET(_i,0,0,1,21),1,1)))</f>
        <v>43.580697709617823</v>
      </c>
      <c r="BZ50" s="39">
        <f ca="1">SUMPRODUCT(OFFSET(tShpInMxBC,0,14,1,20),N(OFFSET(tpSurvInMx,0,60-OFFSET(_i,0,0,1,20),1,1)))</f>
        <v>38.145190781019743</v>
      </c>
      <c r="CA50" s="39">
        <f ca="1">SUMPRODUCT(OFFSET(tShpInMxBC,0,15,1,19),N(OFFSET(tpSurvInMx,0,60-OFFSET(_i,0,0,1,19),1,1)))</f>
        <v>33.186587966434018</v>
      </c>
      <c r="CB50" s="39">
        <f ca="1">SUMPRODUCT(OFFSET(tShpInMxBC,0,16,1,18),N(OFFSET(tpSurvInMx,0,60-OFFSET(_i,0,0,1,18),1,1)))</f>
        <v>28.693773674686639</v>
      </c>
      <c r="CC50" s="39">
        <f ca="1">SUMPRODUCT(OFFSET(tShpInMxBC,0,17,1,17),N(OFFSET(tpSurvInMx,0,60-OFFSET(_i,0,0,1,17),1,1)))</f>
        <v>24.649094855255793</v>
      </c>
      <c r="CD50" s="39">
        <f ca="1">SUMPRODUCT(OFFSET(tShpInMxBC,0,18,1,16),N(OFFSET(tpSurvInMx,0,60-OFFSET(_i,0,0,1,16),1,1)))</f>
        <v>21.093203278894453</v>
      </c>
      <c r="CE50" s="39">
        <f ca="1">SUMPRODUCT(OFFSET(tShpInMxBC,0,19,1,15),N(OFFSET(tpSurvInMx,0,60-OFFSET(_i,0,0,1,15),1,1)))</f>
        <v>17.894885387790545</v>
      </c>
      <c r="CF50" s="39">
        <f ca="1">SUMPRODUCT(OFFSET(tShpInMxBC,0,20,1,14),N(OFFSET(tpSurvInMx,0,60-OFFSET(_i,0,0,1,14),1,1)))</f>
        <v>15.03951582344115</v>
      </c>
      <c r="CG50" s="39">
        <f ca="1">SUMPRODUCT(OFFSET(tShpInMxBC,0,21,1,13),N(OFFSET(tpSurvInMx,0,60-OFFSET(_i,0,0,1,13),1,1)))</f>
        <v>12.461579301036098</v>
      </c>
      <c r="CH50" s="39">
        <f ca="1">SUMPRODUCT(OFFSET(tShpInMxBC,0,22,1,12),N(OFFSET(tpSurvInMx,0,60-OFFSET(_i,0,0,1,12),1,1)))</f>
        <v>10.200669336239049</v>
      </c>
      <c r="CI50" s="39">
        <f ca="1">SUMPRODUCT(OFFSET(tShpInMxBC,0,23,1,11),N(OFFSET(tpSurvInMx,0,60-OFFSET(_i,0,0,1,11),1,1)))</f>
        <v>8.2110573175135979</v>
      </c>
      <c r="CJ50" s="39">
        <f ca="1">SUMPRODUCT(OFFSET(tShpInMxBC,0,24,1,10),N(OFFSET(tpSurvInMx,0,60-OFFSET(_i,0,0,1,10),1,1)))</f>
        <v>6.4900088341091857</v>
      </c>
      <c r="CK50" s="39">
        <f ca="1">SUMPRODUCT(OFFSET(tShpInMxBC,0,25,1,9),N(OFFSET(tpSurvInMx,0,60-OFFSET(_i,0,0,1,9),1,1)))</f>
        <v>5.0386819881799552</v>
      </c>
      <c r="CL50" s="39">
        <f ca="1">SUMPRODUCT(OFFSET(tShpInMxBC,0,26,1,8),N(OFFSET(tpSurvInMx,0,60-OFFSET(_i,0,0,1,8),1,1)))</f>
        <v>3.8387207288780578</v>
      </c>
      <c r="CM50" s="39">
        <f ca="1">SUMPRODUCT(OFFSET(tShpInMxBC,0,27,1,7),N(OFFSET(tpSurvInMx,0,60-OFFSET(_i,0,0,1,7),1,1)))</f>
        <v>2.8209469419794728</v>
      </c>
      <c r="CN50" s="39">
        <f ca="1">SUMPRODUCT(OFFSET(tShpInMxBC,0,28,1,6),N(OFFSET(tpSurvInMx,0,60-OFFSET(_i,0,0,1,6),1,1)))</f>
        <v>1.9744320795605501</v>
      </c>
      <c r="CO50" s="39">
        <f ca="1">SUMPRODUCT(OFFSET(tShpInMxBC,0,29,1,5),N(OFFSET(tpSurvInMx,0,60-OFFSET(_i,0,0,1,5),1,1)))</f>
        <v>1.3155228081291099</v>
      </c>
      <c r="CP50" s="39">
        <f ca="1">SUMPRODUCT(OFFSET(tShpInMxBC,0,30,1,4),N(OFFSET(tpSurvInMx,0,60-OFFSET(_i,0,0,1,4),1,1)))</f>
        <v>0.80989323936012014</v>
      </c>
      <c r="CQ50" s="39">
        <f ca="1">SUMPRODUCT(OFFSET(tShpInMxBC,0,31,1,3),N(OFFSET(tpSurvInMx,0,60-OFFSET(_i,0,0,1,3),1,1)))</f>
        <v>0.41526658801891442</v>
      </c>
      <c r="CR50" s="39">
        <f ca="1">SUMPRODUCT(OFFSET(tShpInMxBC,0,32,1,2),N(OFFSET(tpSurvInMx,0,60-OFFSET(_i,0,0,1,2),1,1)))</f>
        <v>0.13602731452423697</v>
      </c>
      <c r="CS50" s="40">
        <f ca="1">SUMPRODUCT(N(OFFSET(tShpInMxBC,0,33,1,1)),N(OFFSET(tpSurvInMx,0,60-OFFSET(_i,0,0,1,1),1,1)))</f>
        <v>0</v>
      </c>
      <c r="CT50" s="10"/>
    </row>
    <row r="51" spans="2:98" ht="15">
      <c r="B51" s="10"/>
      <c r="C51" s="28" t="str">
        <f>INDEX(_pcName,6)</f>
        <v>Radial</v>
      </c>
      <c r="D51" s="12" t="str">
        <f t="shared" si="5"/>
        <v>th units</v>
      </c>
      <c r="E51" s="39">
        <f ca="1">SUMPRODUCT(N(OFFSET(tShpRadBC,0,0,1,1)),N(OFFSET(tpSurvRad,0,1-OFFSET(_i,0,0,1,1),1,1)))</f>
        <v>45.901587716558311</v>
      </c>
      <c r="F51" s="39">
        <f ca="1">SUMPRODUCT(OFFSET(tShpRadBC,0,0,1,2),N(OFFSET(tpSurvRad,0,2-OFFSET(_i,0,0,1,2),1,1)))</f>
        <v>91.891376954363764</v>
      </c>
      <c r="G51" s="39">
        <f ca="1">SUMPRODUCT(OFFSET(tShpRadBC,0,0,1,3),N(OFFSET(tpSurvRad,0,3-OFFSET(_i,0,0,1,3),1,1)))</f>
        <v>137.85526428405069</v>
      </c>
      <c r="H51" s="39">
        <f ca="1">SUMPRODUCT(OFFSET(tShpRadBC,0,0,1,4),N(OFFSET(tpSurvRad,0,4-OFFSET(_i,0,0,1,4),1,1)))</f>
        <v>183.77419154810539</v>
      </c>
      <c r="I51" s="39">
        <f ca="1">SUMPRODUCT(OFFSET(tShpRadBC,0,0,1,5),N(OFFSET(tpSurvRad,0,5-OFFSET(_i,0,0,1,5),1,1)))</f>
        <v>229.69824395274753</v>
      </c>
      <c r="J51" s="39">
        <f ca="1">SUMPRODUCT(OFFSET(tShpRadBC,0,0,1,6),N(OFFSET(tpSurvRad,0,6-OFFSET(_i,0,0,1,6),1,1)))</f>
        <v>273.72435075041977</v>
      </c>
      <c r="K51" s="39">
        <f ca="1">SUMPRODUCT(OFFSET(tShpRadBC,0,0,1,7),N(OFFSET(tpSurvRad,0,7-OFFSET(_i,0,0,1,7),1,1)))</f>
        <v>317.43372538812434</v>
      </c>
      <c r="L51" s="39">
        <f ca="1">SUMPRODUCT(OFFSET(tShpRadBC,0,0,1,8),N(OFFSET(tpSurvRad,0,8-OFFSET(_i,0,0,1,8),1,1)))</f>
        <v>360.79588156245234</v>
      </c>
      <c r="M51" s="39">
        <f ca="1">SUMPRODUCT(OFFSET(tShpRadBC,0,0,1,9),N(OFFSET(tpSurvRad,0,9-OFFSET(_i,0,0,1,9),1,1)))</f>
        <v>403.49880970031643</v>
      </c>
      <c r="N51" s="39">
        <f ca="1">SUMPRODUCT(OFFSET(tShpRadBC,0,0,1,10),N(OFFSET(tpSurvRad,0,10-OFFSET(_i,0,0,1,10),1,1)))</f>
        <v>445.49593711213294</v>
      </c>
      <c r="O51" s="39">
        <f ca="1">SUMPRODUCT(OFFSET(tShpRadBC,0,0,1,11),N(OFFSET(tpSurvRad,0,11-OFFSET(_i,0,0,1,11),1,1)))</f>
        <v>486.64823428411671</v>
      </c>
      <c r="P51" s="39">
        <f ca="1">SUMPRODUCT(OFFSET(tShpRadBC,0,0,1,12),N(OFFSET(tpSurvRad,0,12-OFFSET(_i,0,0,1,12),1,1)))</f>
        <v>526.85148485519449</v>
      </c>
      <c r="Q51" s="39">
        <f ca="1">SUMPRODUCT(OFFSET(tShpRadBC,0,0,1,13),N(OFFSET(tpSurvRad,0,13-OFFSET(_i,0,0,1,13),1,1)))</f>
        <v>565.95188363561169</v>
      </c>
      <c r="R51" s="39">
        <f ca="1">SUMPRODUCT(OFFSET(tShpRadBC,0,0,1,14),N(OFFSET(tpSurvRad,0,14-OFFSET(_i,0,0,1,14),1,1)))</f>
        <v>605.59121278435123</v>
      </c>
      <c r="S51" s="39">
        <f ca="1">SUMPRODUCT(OFFSET(tShpRadBC,0,0,1,15),N(OFFSET(tpSurvRad,0,15-OFFSET(_i,0,0,1,15),1,1)))</f>
        <v>645.53913123286566</v>
      </c>
      <c r="T51" s="39">
        <f ca="1">SUMPRODUCT(OFFSET(tShpRadBC,0,0,1,16),N(OFFSET(tpSurvRad,0,16-OFFSET(_i,0,0,1,16),1,1)))</f>
        <v>684.24656448364408</v>
      </c>
      <c r="U51" s="39">
        <f ca="1">SUMPRODUCT(OFFSET(tShpRadBC,0,0,1,17),N(OFFSET(tpSurvRad,0,17-OFFSET(_i,0,0,1,17),1,1)))</f>
        <v>723.52951919434713</v>
      </c>
      <c r="V51" s="39">
        <f ca="1">SUMPRODUCT(OFFSET(tShpRadBC,0,0,1,18),N(OFFSET(tpSurvRad,0,18-OFFSET(_i,0,0,1,18),1,1)))</f>
        <v>763.10139463386054</v>
      </c>
      <c r="W51" s="39">
        <f ca="1">SUMPRODUCT(OFFSET(tShpRadBC,0,0,1,19),N(OFFSET(tpSurvRad,0,19-OFFSET(_i,0,0,1,19),1,1)))</f>
        <v>801.30592084054831</v>
      </c>
      <c r="X51" s="39">
        <f ca="1">SUMPRODUCT(OFFSET(tShpRadBC,0,0,1,20),N(OFFSET(tpSurvRad,0,20-OFFSET(_i,0,0,1,20),1,1)))</f>
        <v>838.22774488800576</v>
      </c>
      <c r="Y51" s="39">
        <f ca="1">SUMPRODUCT(OFFSET(tShpRadBC,0,0,1,21),N(OFFSET(tpSurvRad,0,21-OFFSET(_i,0,0,1,21),1,1)))</f>
        <v>873.9827051853764</v>
      </c>
      <c r="Z51" s="39">
        <f ca="1">SUMPRODUCT(OFFSET(tShpRadBC,0,0,1,22),N(OFFSET(tpSurvRad,0,22-OFFSET(_i,0,0,1,22),1,1)))</f>
        <v>908.3185971488823</v>
      </c>
      <c r="AA51" s="39">
        <f ca="1">SUMPRODUCT(OFFSET(tShpRadBC,0,0,1,23),N(OFFSET(tpSurvRad,0,23-OFFSET(_i,0,0,1,23),1,1)))</f>
        <v>941.4987606662562</v>
      </c>
      <c r="AB51" s="39">
        <f ca="1">SUMPRODUCT(OFFSET(tShpRadBC,0,0,1,24),N(OFFSET(tpSurvRad,0,24-OFFSET(_i,0,0,1,24),1,1)))</f>
        <v>973.66754703461527</v>
      </c>
      <c r="AC51" s="39">
        <f ca="1">SUMPRODUCT(OFFSET(tShpRadBC,0,0,1,25),N(OFFSET(tpSurvRad,0,25-OFFSET(_i,0,0,1,25),1,1)))</f>
        <v>1004.8488505647172</v>
      </c>
      <c r="AD51" s="39">
        <f ca="1">SUMPRODUCT(OFFSET(tShpRadBC,0,0,1,26),N(OFFSET(tpSurvRad,0,26-OFFSET(_i,0,0,1,26),1,1)))</f>
        <v>1035.0488364569665</v>
      </c>
      <c r="AE51" s="39">
        <f ca="1">SUMPRODUCT(OFFSET(tShpRadBC,0,0,1,27),N(OFFSET(tpSurvRad,0,27-OFFSET(_i,0,0,1,27),1,1)))</f>
        <v>1064.1474915959375</v>
      </c>
      <c r="AF51" s="39">
        <f ca="1">SUMPRODUCT(OFFSET(tShpRadBC,0,0,1,28),N(OFFSET(tpSurvRad,0,28-OFFSET(_i,0,0,1,28),1,1)))</f>
        <v>1092.1011846992292</v>
      </c>
      <c r="AG51" s="39">
        <f ca="1">SUMPRODUCT(OFFSET(tShpRadBC,0,0,1,29),N(OFFSET(tpSurvRad,0,29-OFFSET(_i,0,0,1,29),1,1)))</f>
        <v>1119.0061709831107</v>
      </c>
      <c r="AH51" s="39">
        <f ca="1">SUMPRODUCT(OFFSET(tShpRadBC,0,0,1,30),N(OFFSET(tpSurvRad,0,30-OFFSET(_i,0,0,1,30),1,1)))</f>
        <v>1145.0200070315584</v>
      </c>
      <c r="AI51" s="39">
        <f ca="1">SUMPRODUCT(OFFSET(tShpRadBC,0,0,1,31),N(OFFSET(tpSurvRad,0,31-OFFSET(_i,0,0,1,31),1,1)))</f>
        <v>1170.2361575752391</v>
      </c>
      <c r="AJ51" s="39">
        <f ca="1">SUMPRODUCT(OFFSET(tShpRadBC,0,0,1,32),N(OFFSET(tpSurvRad,0,32-OFFSET(_i,0,0,1,32),1,1)))</f>
        <v>1194.5931894137125</v>
      </c>
      <c r="AK51" s="39">
        <f ca="1">SUMPRODUCT(OFFSET(tShpRadBC,0,0,1,33),N(OFFSET(tpSurvRad,0,33-OFFSET(_i,0,0,1,33),1,1)))</f>
        <v>1217.9512530107002</v>
      </c>
      <c r="AL51" s="39">
        <f ca="1">SUMPRODUCT(OFFSET(tShpRadBC,0,0,1,34),N(OFFSET(tpSurvRad,0,34-OFFSET(_i,0,0,1,34),1,1)))</f>
        <v>1240.4874392639415</v>
      </c>
      <c r="AM51" s="39">
        <f ca="1">SUMPRODUCT(OFFSET(tShpRadBC,0,0,1,34),N(OFFSET(tpSurvRad,0,35-OFFSET(_i,0,0,1,34),1,1)))</f>
        <v>1209.2575836044791</v>
      </c>
      <c r="AN51" s="39">
        <f ca="1">SUMPRODUCT(OFFSET(tShpRadBC,0,0,1,34),N(OFFSET(tpSurvRad,0,36-OFFSET(_i,0,0,1,34),1,1)))</f>
        <v>1176.8032017568326</v>
      </c>
      <c r="AO51" s="39">
        <f ca="1">SUMPRODUCT(OFFSET(tShpRadBC,0,0,1,34),N(OFFSET(tpSurvRad,0,37-OFFSET(_i,0,0,1,34),1,1)))</f>
        <v>1143.368118346991</v>
      </c>
      <c r="AP51" s="39">
        <f ca="1">SUMPRODUCT(OFFSET(tShpRadBC,0,0,1,34),N(OFFSET(tpSurvRad,0,38-OFFSET(_i,0,0,1,34),1,1)))</f>
        <v>1109.043008356565</v>
      </c>
      <c r="AQ51" s="39">
        <f ca="1">SUMPRODUCT(OFFSET(tShpRadBC,0,0,1,34),N(OFFSET(tpSurvRad,0,39-OFFSET(_i,0,0,1,34),1,1)))</f>
        <v>1073.7543387818735</v>
      </c>
      <c r="AR51" s="39">
        <f ca="1">SUMPRODUCT(OFFSET(tShpRadBC,0,0,1,34),N(OFFSET(tpSurvRad,0,40-OFFSET(_i,0,0,1,34),1,1)))</f>
        <v>1037.7794116119821</v>
      </c>
      <c r="AS51" s="39">
        <f ca="1">SUMPRODUCT(OFFSET(tShpRadBC,0,0,1,34),N(OFFSET(tpSurvRad,0,41-OFFSET(_i,0,0,1,34),1,1)))</f>
        <v>1001.2924242375636</v>
      </c>
      <c r="AT51" s="39">
        <f ca="1">SUMPRODUCT(OFFSET(tShpRadBC,0,0,1,34),N(OFFSET(tpSurvRad,0,42-OFFSET(_i,0,0,1,34),1,1)))</f>
        <v>964.36477164699022</v>
      </c>
      <c r="AU51" s="39">
        <f ca="1">SUMPRODUCT(OFFSET(tShpRadBC,0,0,1,34),N(OFFSET(tpSurvRad,0,43-OFFSET(_i,0,0,1,34),1,1)))</f>
        <v>927.26155223738454</v>
      </c>
      <c r="AV51" s="39">
        <f ca="1">SUMPRODUCT(OFFSET(tShpRadBC,0,0,1,34),N(OFFSET(tpSurvRad,0,44-OFFSET(_i,0,0,1,34),1,1)))</f>
        <v>890.01353459692041</v>
      </c>
      <c r="AW51" s="39">
        <f ca="1">SUMPRODUCT(OFFSET(tShpRadBC,0,0,1,34),N(OFFSET(tpSurvRad,0,45-OFFSET(_i,0,0,1,34),1,1)))</f>
        <v>852.88707473401416</v>
      </c>
      <c r="AX51" s="39">
        <f ca="1">SUMPRODUCT(OFFSET(tShpRadBC,0,0,1,34),N(OFFSET(tpSurvRad,0,46-OFFSET(_i,0,0,1,34),1,1)))</f>
        <v>815.97147677485907</v>
      </c>
      <c r="AY51" s="39">
        <f ca="1">SUMPRODUCT(OFFSET(tShpRadBC,0,0,1,34),N(OFFSET(tpSurvRad,0,47-OFFSET(_i,0,0,1,34),1,1)))</f>
        <v>779.49347877734203</v>
      </c>
      <c r="AZ51" s="39">
        <f ca="1">SUMPRODUCT(OFFSET(tShpRadBC,0,0,1,34),N(OFFSET(tpSurvRad,0,48-OFFSET(_i,0,0,1,34),1,1)))</f>
        <v>743.57473781478382</v>
      </c>
      <c r="BA51" s="39">
        <f ca="1">SUMPRODUCT(OFFSET(tShpRadBC,0,0,1,34),N(OFFSET(tpSurvRad,0,49-OFFSET(_i,0,0,1,34),1,1)))</f>
        <v>708.48244401990394</v>
      </c>
      <c r="BB51" s="39">
        <f ca="1">SUMPRODUCT(OFFSET(tShpRadBC,0,0,1,34),N(OFFSET(tpSurvRad,0,50-OFFSET(_i,0,0,1,34),1,1)))</f>
        <v>674.05758843288356</v>
      </c>
      <c r="BC51" s="39">
        <f ca="1">SUMPRODUCT(OFFSET(tShpRadBC,0,0,1,34),N(OFFSET(tpSurvRad,0,51-OFFSET(_i,0,0,1,34),1,1)))</f>
        <v>640.12724304375206</v>
      </c>
      <c r="BD51" s="39">
        <f ca="1">SUMPRODUCT(OFFSET(tShpRadBC,0,0,1,34),N(OFFSET(tpSurvRad,0,52-OFFSET(_i,0,0,1,34),1,1)))</f>
        <v>607.15020245249775</v>
      </c>
      <c r="BE51" s="39">
        <f ca="1">SUMPRODUCT(OFFSET(tShpRadBC,0,0,1,34),N(OFFSET(tpSurvRad,0,53-OFFSET(_i,0,0,1,34),1,1)))</f>
        <v>574.92952296155966</v>
      </c>
      <c r="BF51" s="39">
        <f ca="1">SUMPRODUCT(OFFSET(tShpRadBC,0,0,1,34),N(OFFSET(tpSurvRad,0,54-OFFSET(_i,0,0,1,34),1,1)))</f>
        <v>543.54795681254177</v>
      </c>
      <c r="BG51" s="39">
        <f ca="1">SUMPRODUCT(OFFSET(tShpRadBC,0,0,1,34),N(OFFSET(tpSurvRad,0,55-OFFSET(_i,0,0,1,34),1,1)))</f>
        <v>512.78731260131121</v>
      </c>
      <c r="BH51" s="39">
        <f ca="1">SUMPRODUCT(OFFSET(tShpRadBC,0,0,1,34),N(OFFSET(tpSurvRad,0,56-OFFSET(_i,0,0,1,34),1,1)))</f>
        <v>483.04537616884937</v>
      </c>
      <c r="BI51" s="39">
        <f ca="1">SUMPRODUCT(OFFSET(tShpRadBC,0,0,1,34),N(OFFSET(tpSurvRad,0,57-OFFSET(_i,0,0,1,34),1,1)))</f>
        <v>454.17717253139489</v>
      </c>
      <c r="BJ51" s="39">
        <f ca="1">SUMPRODUCT(OFFSET(tShpRadBC,0,0,1,34),N(OFFSET(tpSurvRad,0,58-OFFSET(_i,0,0,1,34),1,1)))</f>
        <v>426.12541694916018</v>
      </c>
      <c r="BK51" s="39">
        <f ca="1">SUMPRODUCT(OFFSET(tShpRadBC,0,0,1,34),N(OFFSET(tpSurvRad,0,59-OFFSET(_i,0,0,1,34),1,1)))</f>
        <v>398.7685665811498</v>
      </c>
      <c r="BL51" s="39">
        <f ca="1">SUMPRODUCT(OFFSET(tShpRadBC,0,0,1,34),N(OFFSET(tpSurvRad,0,60-OFFSET(_i,0,0,1,34),1,1)))</f>
        <v>372.12627980942602</v>
      </c>
      <c r="BM51" s="39">
        <f ca="1">SUMPRODUCT(OFFSET(tShpRadBC,0,1,1,33),N(OFFSET(tpSurvRad,0,60-OFFSET(_i,0,0,1,33),1,1)))</f>
        <v>346.81621317591595</v>
      </c>
      <c r="BN51" s="39">
        <f ca="1">SUMPRODUCT(OFFSET(tShpRadBC,0,2,1,32),N(OFFSET(tpSurvRad,0,60-OFFSET(_i,0,0,1,32),1,1)))</f>
        <v>322.86554206034725</v>
      </c>
      <c r="BO51" s="39">
        <f ca="1">SUMPRODUCT(OFFSET(tShpRadBC,0,3,1,31),N(OFFSET(tpSurvRad,0,60-OFFSET(_i,0,0,1,31),1,1)))</f>
        <v>300.14110397357018</v>
      </c>
      <c r="BP51" s="39">
        <f ca="1">SUMPRODUCT(OFFSET(tShpRadBC,0,4,1,30),N(OFFSET(tpSurvRad,0,60-OFFSET(_i,0,0,1,30),1,1)))</f>
        <v>278.46902264105483</v>
      </c>
      <c r="BQ51" s="39">
        <f ca="1">SUMPRODUCT(OFFSET(tShpRadBC,0,5,1,29),N(OFFSET(tpSurvRad,0,60-OFFSET(_i,0,0,1,29),1,1)))</f>
        <v>257.72560671990624</v>
      </c>
      <c r="BR51" s="39">
        <f ca="1">SUMPRODUCT(OFFSET(tShpRadBC,0,6,1,28),N(OFFSET(tpSurvRad,0,60-OFFSET(_i,0,0,1,28),1,1)))</f>
        <v>237.94927976658875</v>
      </c>
      <c r="BS51" s="39">
        <f ca="1">SUMPRODUCT(OFFSET(tShpRadBC,0,7,1,27),N(OFFSET(tpSurvRad,0,60-OFFSET(_i,0,0,1,27),1,1)))</f>
        <v>219.31390187614647</v>
      </c>
      <c r="BT51" s="39">
        <f ca="1">SUMPRODUCT(OFFSET(tShpRadBC,0,8,1,26),N(OFFSET(tpSurvRad,0,60-OFFSET(_i,0,0,1,26),1,1)))</f>
        <v>201.61439205789526</v>
      </c>
      <c r="BU51" s="39">
        <f ca="1">SUMPRODUCT(OFFSET(tShpRadBC,0,9,1,25),N(OFFSET(tpSurvRad,0,60-OFFSET(_i,0,0,1,25),1,1)))</f>
        <v>184.72953894160855</v>
      </c>
      <c r="BV51" s="39">
        <f ca="1">SUMPRODUCT(OFFSET(tShpRadBC,0,10,1,24),N(OFFSET(tpSurvRad,0,60-OFFSET(_i,0,0,1,24),1,1)))</f>
        <v>168.95109985568908</v>
      </c>
      <c r="BW51" s="39">
        <f ca="1">SUMPRODUCT(OFFSET(tShpRadBC,0,11,1,23),N(OFFSET(tpSurvRad,0,60-OFFSET(_i,0,0,1,23),1,1)))</f>
        <v>154.0133399925175</v>
      </c>
      <c r="BX51" s="39">
        <f ca="1">SUMPRODUCT(OFFSET(tShpRadBC,0,12,1,22),N(OFFSET(tpSurvRad,0,60-OFFSET(_i,0,0,1,22),1,1)))</f>
        <v>139.80941911545239</v>
      </c>
      <c r="BY51" s="39">
        <f ca="1">SUMPRODUCT(OFFSET(tShpRadBC,0,13,1,21),N(OFFSET(tpSurvRad,0,60-OFFSET(_i,0,0,1,21),1,1)))</f>
        <v>126.41244210093714</v>
      </c>
      <c r="BZ51" s="39">
        <f ca="1">SUMPRODUCT(OFFSET(tShpRadBC,0,14,1,20),N(OFFSET(tpSurvRad,0,60-OFFSET(_i,0,0,1,20),1,1)))</f>
        <v>113.78875395220564</v>
      </c>
      <c r="CA51" s="39">
        <f ca="1">SUMPRODUCT(OFFSET(tShpRadBC,0,15,1,19),N(OFFSET(tpSurvRad,0,60-OFFSET(_i,0,0,1,19),1,1)))</f>
        <v>101.89475443845714</v>
      </c>
      <c r="CB51" s="39">
        <f ca="1">SUMPRODUCT(OFFSET(tShpRadBC,0,16,1,18),N(OFFSET(tpSurvRad,0,60-OFFSET(_i,0,0,1,18),1,1)))</f>
        <v>90.645406327863725</v>
      </c>
      <c r="CC51" s="39">
        <f ca="1">SUMPRODUCT(OFFSET(tShpRadBC,0,17,1,17),N(OFFSET(tpSurvRad,0,60-OFFSET(_i,0,0,1,17),1,1)))</f>
        <v>80.150211836674259</v>
      </c>
      <c r="CD51" s="39">
        <f ca="1">SUMPRODUCT(OFFSET(tShpRadBC,0,18,1,16),N(OFFSET(tpSurvRad,0,60-OFFSET(_i,0,0,1,16),1,1)))</f>
        <v>70.400666674871459</v>
      </c>
      <c r="CE51" s="39">
        <f ca="1">SUMPRODUCT(OFFSET(tShpRadBC,0,19,1,15),N(OFFSET(tpSurvRad,0,60-OFFSET(_i,0,0,1,15),1,1)))</f>
        <v>61.286161273600285</v>
      </c>
      <c r="CF51" s="39">
        <f ca="1">SUMPRODUCT(OFFSET(tShpRadBC,0,20,1,14),N(OFFSET(tpSurvRad,0,60-OFFSET(_i,0,0,1,14),1,1)))</f>
        <v>52.891752981632678</v>
      </c>
      <c r="CG51" s="39">
        <f ca="1">SUMPRODUCT(OFFSET(tShpRadBC,0,21,1,13),N(OFFSET(tpSurvRad,0,60-OFFSET(_i,0,0,1,13),1,1)))</f>
        <v>45.164772944931016</v>
      </c>
      <c r="CH51" s="39">
        <f ca="1">SUMPRODUCT(OFFSET(tShpRadBC,0,22,1,12),N(OFFSET(tpSurvRad,0,60-OFFSET(_i,0,0,1,12),1,1)))</f>
        <v>37.994154524168167</v>
      </c>
      <c r="CI51" s="39">
        <f ca="1">SUMPRODUCT(OFFSET(tShpRadBC,0,23,1,11),N(OFFSET(tpSurvRad,0,60-OFFSET(_i,0,0,1,11),1,1)))</f>
        <v>31.423694193926242</v>
      </c>
      <c r="CJ51" s="39">
        <f ca="1">SUMPRODUCT(OFFSET(tShpRadBC,0,24,1,10),N(OFFSET(tpSurvRad,0,60-OFFSET(_i,0,0,1,10),1,1)))</f>
        <v>25.4824847104056</v>
      </c>
      <c r="CK51" s="39">
        <f ca="1">SUMPRODUCT(OFFSET(tShpRadBC,0,25,1,9),N(OFFSET(tpSurvRad,0,60-OFFSET(_i,0,0,1,9),1,1)))</f>
        <v>20.242170818978853</v>
      </c>
      <c r="CL51" s="39">
        <f ca="1">SUMPRODUCT(OFFSET(tShpRadBC,0,26,1,8),N(OFFSET(tpSurvRad,0,60-OFFSET(_i,0,0,1,8),1,1)))</f>
        <v>15.573193427843941</v>
      </c>
      <c r="CM51" s="39">
        <f ca="1">SUMPRODUCT(OFFSET(tShpRadBC,0,27,1,7),N(OFFSET(tpSurvRad,0,60-OFFSET(_i,0,0,1,7),1,1)))</f>
        <v>11.647684624913676</v>
      </c>
      <c r="CN51" s="39">
        <f ca="1">SUMPRODUCT(OFFSET(tShpRadBC,0,28,1,6),N(OFFSET(tpSurvRad,0,60-OFFSET(_i,0,0,1,6),1,1)))</f>
        <v>8.2779332390880125</v>
      </c>
      <c r="CO51" s="39">
        <f ca="1">SUMPRODUCT(OFFSET(tShpRadBC,0,29,1,5),N(OFFSET(tpSurvRad,0,60-OFFSET(_i,0,0,1,5),1,1)))</f>
        <v>5.5617554203224548</v>
      </c>
      <c r="CP51" s="39">
        <f ca="1">SUMPRODUCT(OFFSET(tShpRadBC,0,30,1,4),N(OFFSET(tpSurvRad,0,60-OFFSET(_i,0,0,1,4),1,1)))</f>
        <v>3.3693793896184641</v>
      </c>
      <c r="CQ51" s="39">
        <f ca="1">SUMPRODUCT(OFFSET(tShpRadBC,0,31,1,3),N(OFFSET(tpSurvRad,0,60-OFFSET(_i,0,0,1,3),1,1)))</f>
        <v>1.6924528987043335</v>
      </c>
      <c r="CR51" s="39">
        <f ca="1">SUMPRODUCT(OFFSET(tShpRadBC,0,32,1,2),N(OFFSET(tpSurvRad,0,60-OFFSET(_i,0,0,1,2),1,1)))</f>
        <v>0.54381593774217851</v>
      </c>
      <c r="CS51" s="40">
        <f ca="1">SUMPRODUCT(N(OFFSET(tShpRadBC,0,33,1,1)),N(OFFSET(tpSurvRad,0,60-OFFSET(_i,0,0,1,1),1,1)))</f>
        <v>0</v>
      </c>
      <c r="CT51" s="10"/>
    </row>
    <row r="52" spans="2:98" ht="15">
      <c r="B52" s="10"/>
      <c r="C52" s="28" t="str">
        <f>INDEX(_pcName,7)</f>
        <v>Power Roof Vent</v>
      </c>
      <c r="D52" s="12" t="str">
        <f t="shared" si="5"/>
        <v>th units</v>
      </c>
      <c r="E52" s="39">
        <f ca="1">SUMPRODUCT(N(OFFSET(tShpPRVBC,0,0,1,1)),N(OFFSET(tpSurvPRV,0,1-OFFSET(_i,0,0,1,1),1,1)))</f>
        <v>86.065476968546832</v>
      </c>
      <c r="F52" s="39">
        <f ca="1">SUMPRODUCT(OFFSET(tShpPRVBC,0,0,1,2),N(OFFSET(tpSurvPRV,0,2-OFFSET(_i,0,0,1,2),1,1)))</f>
        <v>172.29633178943203</v>
      </c>
      <c r="G52" s="39">
        <f ca="1">SUMPRODUCT(OFFSET(tShpPRVBC,0,0,1,3),N(OFFSET(tpSurvPRV,0,3-OFFSET(_i,0,0,1,3),1,1)))</f>
        <v>258.47862053259507</v>
      </c>
      <c r="H52" s="39">
        <f ca="1">SUMPRODUCT(OFFSET(tShpPRVBC,0,0,1,4),N(OFFSET(tpSurvPRV,0,4-OFFSET(_i,0,0,1,4),1,1)))</f>
        <v>344.57660915269764</v>
      </c>
      <c r="I52" s="39">
        <f ca="1">SUMPRODUCT(OFFSET(tShpPRVBC,0,0,1,5),N(OFFSET(tpSurvPRV,0,5-OFFSET(_i,0,0,1,5),1,1)))</f>
        <v>430.68420741140164</v>
      </c>
      <c r="J52" s="39">
        <f ca="1">SUMPRODUCT(OFFSET(tShpPRVBC,0,0,1,6),N(OFFSET(tpSurvPRV,0,6-OFFSET(_i,0,0,1,6),1,1)))</f>
        <v>513.42250170636794</v>
      </c>
      <c r="K52" s="39">
        <f ca="1">SUMPRODUCT(OFFSET(tShpPRVBC,0,0,1,7),N(OFFSET(tpSurvPRV,0,7-OFFSET(_i,0,0,1,7),1,1)))</f>
        <v>595.66195905733525</v>
      </c>
      <c r="L52" s="39">
        <f ca="1">SUMPRODUCT(OFFSET(tShpPRVBC,0,0,1,8),N(OFFSET(tpSurvPRV,0,8-OFFSET(_i,0,0,1,8),1,1)))</f>
        <v>677.03529316731681</v>
      </c>
      <c r="M52" s="39">
        <f ca="1">SUMPRODUCT(OFFSET(tShpPRVBC,0,0,1,9),N(OFFSET(tpSurvPRV,0,9-OFFSET(_i,0,0,1,9),1,1)))</f>
        <v>757.26659440600679</v>
      </c>
      <c r="N52" s="39">
        <f ca="1">SUMPRODUCT(OFFSET(tShpPRVBC,0,0,1,10),N(OFFSET(tpSurvPRV,0,10-OFFSET(_i,0,0,1,10),1,1)))</f>
        <v>836.16614447756228</v>
      </c>
      <c r="O52" s="39">
        <f ca="1">SUMPRODUCT(OFFSET(tShpPRVBC,0,0,1,11),N(OFFSET(tpSurvPRV,0,11-OFFSET(_i,0,0,1,11),1,1)))</f>
        <v>913.47481223246393</v>
      </c>
      <c r="P52" s="39">
        <f ca="1">SUMPRODUCT(OFFSET(tShpPRVBC,0,0,1,12),N(OFFSET(tpSurvPRV,0,12-OFFSET(_i,0,0,1,12),1,1)))</f>
        <v>988.98318678556211</v>
      </c>
      <c r="Q52" s="39">
        <f ca="1">SUMPRODUCT(OFFSET(tShpPRVBC,0,0,1,13),N(OFFSET(tpSurvPRV,0,13-OFFSET(_i,0,0,1,13),1,1)))</f>
        <v>1062.7069055852676</v>
      </c>
      <c r="R52" s="39">
        <f ca="1">SUMPRODUCT(OFFSET(tShpPRVBC,0,0,1,14),N(OFFSET(tpSurvPRV,0,14-OFFSET(_i,0,0,1,14),1,1)))</f>
        <v>1137.2830270875406</v>
      </c>
      <c r="S52" s="39">
        <f ca="1">SUMPRODUCT(OFFSET(tShpPRVBC,0,0,1,15),N(OFFSET(tpSurvPRV,0,15-OFFSET(_i,0,0,1,15),1,1)))</f>
        <v>1212.7127330880382</v>
      </c>
      <c r="T52" s="39">
        <f ca="1">SUMPRODUCT(OFFSET(tShpPRVBC,0,0,1,16),N(OFFSET(tpSurvPRV,0,16-OFFSET(_i,0,0,1,16),1,1)))</f>
        <v>1285.687392729053</v>
      </c>
      <c r="U52" s="39">
        <f ca="1">SUMPRODUCT(OFFSET(tShpPRVBC,0,0,1,17),N(OFFSET(tpSurvPRV,0,17-OFFSET(_i,0,0,1,17),1,1)))</f>
        <v>1359.3542021498943</v>
      </c>
      <c r="V52" s="39">
        <f ca="1">SUMPRODUCT(OFFSET(tShpPRVBC,0,0,1,18),N(OFFSET(tpSurvPRV,0,18-OFFSET(_i,0,0,1,18),1,1)))</f>
        <v>1433.8011281089139</v>
      </c>
      <c r="W52" s="39">
        <f ca="1">SUMPRODUCT(OFFSET(tShpPRVBC,0,0,1,19),N(OFFSET(tpSurvPRV,0,19-OFFSET(_i,0,0,1,19),1,1)))</f>
        <v>1505.6973364194735</v>
      </c>
      <c r="X52" s="39">
        <f ca="1">SUMPRODUCT(OFFSET(tShpPRVBC,0,0,1,20),N(OFFSET(tpSurvPRV,0,20-OFFSET(_i,0,0,1,20),1,1)))</f>
        <v>1574.9475796524637</v>
      </c>
      <c r="Y52" s="39">
        <f ca="1">SUMPRODUCT(OFFSET(tShpPRVBC,0,0,1,21),N(OFFSET(tpSurvPRV,0,21-OFFSET(_i,0,0,1,21),1,1)))</f>
        <v>1641.7082396171863</v>
      </c>
      <c r="Z52" s="39">
        <f ca="1">SUMPRODUCT(OFFSET(tShpPRVBC,0,0,1,22),N(OFFSET(tpSurvPRV,0,22-OFFSET(_i,0,0,1,22),1,1)))</f>
        <v>1705.9701822198017</v>
      </c>
      <c r="AA52" s="39">
        <f ca="1">SUMPRODUCT(OFFSET(tShpPRVBC,0,0,1,23),N(OFFSET(tpSurvPRV,0,23-OFFSET(_i,0,0,1,23),1,1)))</f>
        <v>1768.0783862472242</v>
      </c>
      <c r="AB52" s="39">
        <f ca="1">SUMPRODUCT(OFFSET(tShpPRVBC,0,0,1,24),N(OFFSET(tpSurvPRV,0,24-OFFSET(_i,0,0,1,24),1,1)))</f>
        <v>1828.0272787362815</v>
      </c>
      <c r="AC52" s="39">
        <f ca="1">SUMPRODUCT(OFFSET(tShpPRVBC,0,0,1,25),N(OFFSET(tpSurvPRV,0,25-OFFSET(_i,0,0,1,25),1,1)))</f>
        <v>1885.6971367039905</v>
      </c>
      <c r="AD52" s="39">
        <f ca="1">SUMPRODUCT(OFFSET(tShpPRVBC,0,0,1,26),N(OFFSET(tpSurvPRV,0,26-OFFSET(_i,0,0,1,26),1,1)))</f>
        <v>1941.0164134044956</v>
      </c>
      <c r="AE52" s="39">
        <f ca="1">SUMPRODUCT(OFFSET(tShpPRVBC,0,0,1,27),N(OFFSET(tpSurvPRV,0,27-OFFSET(_i,0,0,1,27),1,1)))</f>
        <v>1994.1399994613585</v>
      </c>
      <c r="AF52" s="39">
        <f ca="1">SUMPRODUCT(OFFSET(tShpPRVBC,0,0,1,28),N(OFFSET(tpSurvPRV,0,28-OFFSET(_i,0,0,1,28),1,1)))</f>
        <v>2045.1986034870793</v>
      </c>
      <c r="AG52" s="39">
        <f ca="1">SUMPRODUCT(OFFSET(tShpPRVBC,0,0,1,29),N(OFFSET(tpSurvPRV,0,29-OFFSET(_i,0,0,1,29),1,1)))</f>
        <v>2094.2489704091072</v>
      </c>
      <c r="AH52" s="39">
        <f ca="1">SUMPRODUCT(OFFSET(tShpPRVBC,0,0,1,30),N(OFFSET(tpSurvPRV,0,30-OFFSET(_i,0,0,1,30),1,1)))</f>
        <v>2141.2788540262491</v>
      </c>
      <c r="AI52" s="39">
        <f ca="1">SUMPRODUCT(OFFSET(tShpPRVBC,0,0,1,31),N(OFFSET(tpSurvPRV,0,31-OFFSET(_i,0,0,1,31),1,1)))</f>
        <v>2186.4623739237118</v>
      </c>
      <c r="AJ52" s="39">
        <f ca="1">SUMPRODUCT(OFFSET(tShpPRVBC,0,0,1,32),N(OFFSET(tpSurvPRV,0,32-OFFSET(_i,0,0,1,32),1,1)))</f>
        <v>2230.0898824431938</v>
      </c>
      <c r="AK52" s="39">
        <f ca="1">SUMPRODUCT(OFFSET(tShpPRVBC,0,0,1,33),N(OFFSET(tpSurvPRV,0,33-OFFSET(_i,0,0,1,33),1,1)))</f>
        <v>2272.0319994385559</v>
      </c>
      <c r="AL52" s="39">
        <f ca="1">SUMPRODUCT(OFFSET(tShpPRVBC,0,0,1,34),N(OFFSET(tpSurvPRV,0,34-OFFSET(_i,0,0,1,34),1,1)))</f>
        <v>2312.5781261447087</v>
      </c>
      <c r="AM52" s="39">
        <f ca="1">SUMPRODUCT(OFFSET(tShpPRVBC,0,0,1,34),N(OFFSET(tpSurvPRV,0,35-OFFSET(_i,0,0,1,34),1,1)))</f>
        <v>2252.3161653654706</v>
      </c>
      <c r="AN52" s="39">
        <f ca="1">SUMPRODUCT(OFFSET(tShpPRVBC,0,0,1,34),N(OFFSET(tpSurvPRV,0,36-OFFSET(_i,0,0,1,34),1,1)))</f>
        <v>2190.1079331194892</v>
      </c>
      <c r="AO52" s="39">
        <f ca="1">SUMPRODUCT(OFFSET(tShpPRVBC,0,0,1,34),N(OFFSET(tpSurvPRV,0,37-OFFSET(_i,0,0,1,34),1,1)))</f>
        <v>2126.0871564873069</v>
      </c>
      <c r="AP52" s="39">
        <f ca="1">SUMPRODUCT(OFFSET(tShpPRVBC,0,0,1,34),N(OFFSET(tpSurvPRV,0,38-OFFSET(_i,0,0,1,34),1,1)))</f>
        <v>2060.1828923349676</v>
      </c>
      <c r="AQ52" s="39">
        <f ca="1">SUMPRODUCT(OFFSET(tShpPRVBC,0,0,1,34),N(OFFSET(tpSurvPRV,0,39-OFFSET(_i,0,0,1,34),1,1)))</f>
        <v>1992.5343686914414</v>
      </c>
      <c r="AR52" s="39">
        <f ca="1">SUMPRODUCT(OFFSET(tShpPRVBC,0,0,1,34),N(OFFSET(tpSurvPRV,0,40-OFFSET(_i,0,0,1,34),1,1)))</f>
        <v>1923.4633627861683</v>
      </c>
      <c r="AS52" s="39">
        <f ca="1">SUMPRODUCT(OFFSET(tShpPRVBC,0,0,1,34),N(OFFSET(tpSurvPRV,0,41-OFFSET(_i,0,0,1,34),1,1)))</f>
        <v>1853.3892433332501</v>
      </c>
      <c r="AT52" s="39">
        <f ca="1">SUMPRODUCT(OFFSET(tShpPRVBC,0,0,1,34),N(OFFSET(tpSurvPRV,0,42-OFFSET(_i,0,0,1,34),1,1)))</f>
        <v>1782.6665233023982</v>
      </c>
      <c r="AU52" s="39">
        <f ca="1">SUMPRODUCT(OFFSET(tShpPRVBC,0,0,1,34),N(OFFSET(tpSurvPRV,0,43-OFFSET(_i,0,0,1,34),1,1)))</f>
        <v>1711.7129634734974</v>
      </c>
      <c r="AV52" s="39">
        <f ca="1">SUMPRODUCT(OFFSET(tShpPRVBC,0,0,1,34),N(OFFSET(tpSurvPRV,0,44-OFFSET(_i,0,0,1,34),1,1)))</f>
        <v>1640.6896809922841</v>
      </c>
      <c r="AW52" s="39">
        <f ca="1">SUMPRODUCT(OFFSET(tShpPRVBC,0,0,1,34),N(OFFSET(tpSurvPRV,0,45-OFFSET(_i,0,0,1,34),1,1)))</f>
        <v>1569.7659987554559</v>
      </c>
      <c r="AX52" s="39">
        <f ca="1">SUMPRODUCT(OFFSET(tShpPRVBC,0,0,1,34),N(OFFSET(tpSurvPRV,0,46-OFFSET(_i,0,0,1,34),1,1)))</f>
        <v>1499.5805732236245</v>
      </c>
      <c r="AY52" s="39">
        <f ca="1">SUMPRODUCT(OFFSET(tShpPRVBC,0,0,1,34),N(OFFSET(tpSurvPRV,0,47-OFFSET(_i,0,0,1,34),1,1)))</f>
        <v>1430.0723436885739</v>
      </c>
      <c r="AZ52" s="39">
        <f ca="1">SUMPRODUCT(OFFSET(tShpPRVBC,0,0,1,34),N(OFFSET(tpSurvPRV,0,48-OFFSET(_i,0,0,1,34),1,1)))</f>
        <v>1361.6997574610243</v>
      </c>
      <c r="BA52" s="39">
        <f ca="1">SUMPRODUCT(OFFSET(tShpPRVBC,0,0,1,34),N(OFFSET(tpSurvPRV,0,49-OFFSET(_i,0,0,1,34),1,1)))</f>
        <v>1294.6048776895377</v>
      </c>
      <c r="BB52" s="39">
        <f ca="1">SUMPRODUCT(OFFSET(tShpPRVBC,0,0,1,34),N(OFFSET(tpSurvPRV,0,50-OFFSET(_i,0,0,1,34),1,1)))</f>
        <v>1228.9499613610913</v>
      </c>
      <c r="BC52" s="39">
        <f ca="1">SUMPRODUCT(OFFSET(tShpPRVBC,0,0,1,34),N(OFFSET(tpSurvPRV,0,51-OFFSET(_i,0,0,1,34),1,1)))</f>
        <v>1164.8294631786614</v>
      </c>
      <c r="BD52" s="39">
        <f ca="1">SUMPRODUCT(OFFSET(tShpPRVBC,0,0,1,34),N(OFFSET(tpSurvPRV,0,52-OFFSET(_i,0,0,1,34),1,1)))</f>
        <v>1102.2954405858104</v>
      </c>
      <c r="BE52" s="39">
        <f ca="1">SUMPRODUCT(OFFSET(tShpPRVBC,0,0,1,34),N(OFFSET(tpSurvPRV,0,53-OFFSET(_i,0,0,1,34),1,1)))</f>
        <v>1041.5527392909087</v>
      </c>
      <c r="BF52" s="39">
        <f ca="1">SUMPRODUCT(OFFSET(tShpPRVBC,0,0,1,34),N(OFFSET(tpSurvPRV,0,54-OFFSET(_i,0,0,1,34),1,1)))</f>
        <v>982.48692129571918</v>
      </c>
      <c r="BG52" s="39">
        <f ca="1">SUMPRODUCT(OFFSET(tShpPRVBC,0,0,1,34),N(OFFSET(tpSurvPRV,0,55-OFFSET(_i,0,0,1,34),1,1)))</f>
        <v>924.9802107141777</v>
      </c>
      <c r="BH52" s="39">
        <f ca="1">SUMPRODUCT(OFFSET(tShpPRVBC,0,0,1,34),N(OFFSET(tpSurvPRV,0,56-OFFSET(_i,0,0,1,34),1,1)))</f>
        <v>869.16171887572875</v>
      </c>
      <c r="BI52" s="39">
        <f ca="1">SUMPRODUCT(OFFSET(tShpPRVBC,0,0,1,34),N(OFFSET(tpSurvPRV,0,57-OFFSET(_i,0,0,1,34),1,1)))</f>
        <v>814.90595700272127</v>
      </c>
      <c r="BJ52" s="39">
        <f ca="1">SUMPRODUCT(OFFSET(tShpPRVBC,0,0,1,34),N(OFFSET(tpSurvPRV,0,58-OFFSET(_i,0,0,1,34),1,1)))</f>
        <v>762.4296490015945</v>
      </c>
      <c r="BK52" s="39">
        <f ca="1">SUMPRODUCT(OFFSET(tShpPRVBC,0,0,1,34),N(OFFSET(tpSurvPRV,0,59-OFFSET(_i,0,0,1,34),1,1)))</f>
        <v>711.86308670849269</v>
      </c>
      <c r="BL52" s="39">
        <f ca="1">SUMPRODUCT(OFFSET(tShpPRVBC,0,0,1,34),N(OFFSET(tpSurvPRV,0,60-OFFSET(_i,0,0,1,34),1,1)))</f>
        <v>663.25599467472</v>
      </c>
      <c r="BM52" s="39">
        <f ca="1">SUMPRODUCT(OFFSET(tShpPRVBC,0,1,1,33),N(OFFSET(tpSurvPRV,0,60-OFFSET(_i,0,0,1,33),1,1)))</f>
        <v>617.30378809859633</v>
      </c>
      <c r="BN52" s="39">
        <f ca="1">SUMPRODUCT(OFFSET(tShpPRVBC,0,2,1,32),N(OFFSET(tpSurvPRV,0,60-OFFSET(_i,0,0,1,32),1,1)))</f>
        <v>573.81943750143955</v>
      </c>
      <c r="BO52" s="39">
        <f ca="1">SUMPRODUCT(OFFSET(tShpPRVBC,0,3,1,31),N(OFFSET(tpSurvPRV,0,60-OFFSET(_i,0,0,1,31),1,1)))</f>
        <v>532.73551481123559</v>
      </c>
      <c r="BP52" s="39">
        <f ca="1">SUMPRODUCT(OFFSET(tShpPRVBC,0,4,1,30),N(OFFSET(tpSurvPRV,0,60-OFFSET(_i,0,0,1,30),1,1)))</f>
        <v>494.04016422555054</v>
      </c>
      <c r="BQ52" s="39">
        <f ca="1">SUMPRODUCT(OFFSET(tShpPRVBC,0,5,1,29),N(OFFSET(tpSurvPRV,0,60-OFFSET(_i,0,0,1,29),1,1)))</f>
        <v>457.5257501162497</v>
      </c>
      <c r="BR52" s="39">
        <f ca="1">SUMPRODUCT(OFFSET(tShpPRVBC,0,6,1,28),N(OFFSET(tpSurvPRV,0,60-OFFSET(_i,0,0,1,28),1,1)))</f>
        <v>422.80878555557064</v>
      </c>
      <c r="BS52" s="39">
        <f ca="1">SUMPRODUCT(OFFSET(tShpPRVBC,0,7,1,27),N(OFFSET(tpSurvPRV,0,60-OFFSET(_i,0,0,1,27),1,1)))</f>
        <v>390.00266454370683</v>
      </c>
      <c r="BT52" s="39">
        <f ca="1">SUMPRODUCT(OFFSET(tShpPRVBC,0,8,1,26),N(OFFSET(tpSurvPRV,0,60-OFFSET(_i,0,0,1,26),1,1)))</f>
        <v>358.77389540254035</v>
      </c>
      <c r="BU52" s="39">
        <f ca="1">SUMPRODUCT(OFFSET(tShpPRVBC,0,9,1,25),N(OFFSET(tpSurvPRV,0,60-OFFSET(_i,0,0,1,25),1,1)))</f>
        <v>329.11530774198633</v>
      </c>
      <c r="BV52" s="39">
        <f ca="1">SUMPRODUCT(OFFSET(tShpPRVBC,0,10,1,24),N(OFFSET(tpSurvPRV,0,60-OFFSET(_i,0,0,1,24),1,1)))</f>
        <v>301.15224312808874</v>
      </c>
      <c r="BW52" s="39">
        <f ca="1">SUMPRODUCT(OFFSET(tShpPRVBC,0,11,1,23),N(OFFSET(tpSurvPRV,0,60-OFFSET(_i,0,0,1,23),1,1)))</f>
        <v>274.70228841444674</v>
      </c>
      <c r="BX52" s="39">
        <f ca="1">SUMPRODUCT(OFFSET(tShpPRVBC,0,12,1,22),N(OFFSET(tpSurvPRV,0,60-OFFSET(_i,0,0,1,22),1,1)))</f>
        <v>249.84379637057876</v>
      </c>
      <c r="BY52" s="39">
        <f ca="1">SUMPRODUCT(OFFSET(tShpPRVBC,0,13,1,21),N(OFFSET(tpSurvPRV,0,60-OFFSET(_i,0,0,1,21),1,1)))</f>
        <v>226.39256310256198</v>
      </c>
      <c r="BZ52" s="39">
        <f ca="1">SUMPRODUCT(OFFSET(tShpPRVBC,0,14,1,20),N(OFFSET(tpSurvPRV,0,60-OFFSET(_i,0,0,1,20),1,1)))</f>
        <v>204.26309075233837</v>
      </c>
      <c r="CA52" s="39">
        <f ca="1">SUMPRODUCT(OFFSET(tShpPRVBC,0,15,1,19),N(OFFSET(tpSurvPRV,0,60-OFFSET(_i,0,0,1,19),1,1)))</f>
        <v>183.39158622892006</v>
      </c>
      <c r="CB52" s="39">
        <f ca="1">SUMPRODUCT(OFFSET(tShpPRVBC,0,16,1,18),N(OFFSET(tpSurvPRV,0,60-OFFSET(_i,0,0,1,18),1,1)))</f>
        <v>163.77783411528253</v>
      </c>
      <c r="CC52" s="39">
        <f ca="1">SUMPRODUCT(OFFSET(tShpPRVBC,0,17,1,17),N(OFFSET(tpSurvPRV,0,60-OFFSET(_i,0,0,1,17),1,1)))</f>
        <v>145.30554083800988</v>
      </c>
      <c r="CD52" s="39">
        <f ca="1">SUMPRODUCT(OFFSET(tShpPRVBC,0,18,1,16),N(OFFSET(tpSurvPRV,0,60-OFFSET(_i,0,0,1,16),1,1)))</f>
        <v>127.97835237454726</v>
      </c>
      <c r="CE52" s="39">
        <f ca="1">SUMPRODUCT(OFFSET(tShpPRVBC,0,19,1,15),N(OFFSET(tpSurvPRV,0,60-OFFSET(_i,0,0,1,15),1,1)))</f>
        <v>111.97518004418362</v>
      </c>
      <c r="CF52" s="39">
        <f ca="1">SUMPRODUCT(OFFSET(tShpPRVBC,0,20,1,14),N(OFFSET(tpSurvPRV,0,60-OFFSET(_i,0,0,1,14),1,1)))</f>
        <v>96.938824263933256</v>
      </c>
      <c r="CG52" s="39">
        <f ca="1">SUMPRODUCT(OFFSET(tShpPRVBC,0,21,1,13),N(OFFSET(tpSurvPRV,0,60-OFFSET(_i,0,0,1,13),1,1)))</f>
        <v>82.938110974479144</v>
      </c>
      <c r="CH52" s="39">
        <f ca="1">SUMPRODUCT(OFFSET(tShpPRVBC,0,22,1,12),N(OFFSET(tpSurvPRV,0,60-OFFSET(_i,0,0,1,12),1,1)))</f>
        <v>70.062268541618593</v>
      </c>
      <c r="CI52" s="39">
        <f ca="1">SUMPRODUCT(OFFSET(tShpPRVBC,0,23,1,11),N(OFFSET(tpSurvPRV,0,60-OFFSET(_i,0,0,1,11),1,1)))</f>
        <v>58.264483046985802</v>
      </c>
      <c r="CJ52" s="39">
        <f ca="1">SUMPRODUCT(OFFSET(tShpPRVBC,0,24,1,10),N(OFFSET(tpSurvPRV,0,60-OFFSET(_i,0,0,1,10),1,1)))</f>
        <v>47.628932404357045</v>
      </c>
      <c r="CK52" s="39">
        <f ca="1">SUMPRODUCT(OFFSET(tShpPRVBC,0,25,1,9),N(OFFSET(tpSurvPRV,0,60-OFFSET(_i,0,0,1,9),1,1)))</f>
        <v>38.100964757638117</v>
      </c>
      <c r="CL52" s="39">
        <f ca="1">SUMPRODUCT(OFFSET(tShpPRVBC,0,26,1,8),N(OFFSET(tpSurvPRV,0,60-OFFSET(_i,0,0,1,8),1,1)))</f>
        <v>29.536183197111566</v>
      </c>
      <c r="CM52" s="39">
        <f ca="1">SUMPRODUCT(OFFSET(tShpPRVBC,0,27,1,7),N(OFFSET(tpSurvPRV,0,60-OFFSET(_i,0,0,1,7),1,1)))</f>
        <v>21.948641232295977</v>
      </c>
      <c r="CN52" s="39">
        <f ca="1">SUMPRODUCT(OFFSET(tShpPRVBC,0,28,1,6),N(OFFSET(tpSurvPRV,0,60-OFFSET(_i,0,0,1,6),1,1)))</f>
        <v>15.591062760278893</v>
      </c>
      <c r="CO52" s="39">
        <f ca="1">SUMPRODUCT(OFFSET(tShpPRVBC,0,29,1,5),N(OFFSET(tpSurvPRV,0,60-OFFSET(_i,0,0,1,5),1,1)))</f>
        <v>10.389164469072821</v>
      </c>
      <c r="CP52" s="39">
        <f ca="1">SUMPRODUCT(OFFSET(tShpPRVBC,0,30,1,4),N(OFFSET(tpSurvPRV,0,60-OFFSET(_i,0,0,1,4),1,1)))</f>
        <v>6.228576554349889</v>
      </c>
      <c r="CQ52" s="39">
        <f ca="1">SUMPRODUCT(OFFSET(tShpPRVBC,0,31,1,3),N(OFFSET(tpSurvPRV,0,60-OFFSET(_i,0,0,1,3),1,1)))</f>
        <v>3.1237229225311598</v>
      </c>
      <c r="CR52" s="39">
        <f ca="1">SUMPRODUCT(OFFSET(tShpPRVBC,0,32,1,2),N(OFFSET(tpSurvPRV,0,60-OFFSET(_i,0,0,1,2),1,1)))</f>
        <v>1.0493535691869706</v>
      </c>
      <c r="CS52" s="40">
        <f ca="1">SUMPRODUCT(N(OFFSET(tShpPRVBC,0,33,1,1)),N(OFFSET(tpSurvPRV,0,60-OFFSET(_i,0,0,1,1),1,1)))</f>
        <v>0</v>
      </c>
      <c r="CT52" s="10"/>
    </row>
    <row r="53" spans="2:98" ht="15">
      <c r="B53" s="10"/>
      <c r="C53" s="41" t="str">
        <f>"Standards Case [TSL " &amp; sTSL &amp; "]"</f>
        <v>Standards Case [TSL 5]</v>
      </c>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3"/>
      <c r="CT53" s="10"/>
    </row>
    <row r="54" spans="2:98" ht="15">
      <c r="B54" s="10"/>
      <c r="C54" s="48" t="s">
        <v>65</v>
      </c>
      <c r="D54" s="12" t="str">
        <f>shpUnit</f>
        <v>th units</v>
      </c>
      <c r="E54" s="39">
        <f t="array" aca="1" ref="E54:CS54" ca="1">tStkAxHStd+tStkPanStd+tStkCnHStd+tStkCnUStd+tStkInMxStd+tStkRadStd+tStkPRVStd</f>
        <v>498.12296407797447</v>
      </c>
      <c r="F54" s="39">
        <f ca="1"/>
        <v>997.2030890165081</v>
      </c>
      <c r="G54" s="39">
        <f ca="1"/>
        <v>1495.9660098577788</v>
      </c>
      <c r="H54" s="39">
        <f ca="1"/>
        <v>1993.4350101699442</v>
      </c>
      <c r="I54" s="39">
        <f ca="1"/>
        <v>2488.6333053546155</v>
      </c>
      <c r="J54" s="39">
        <f ca="1"/>
        <v>2961.1701622736518</v>
      </c>
      <c r="K54" s="39">
        <f ca="1"/>
        <v>3427.1530909279318</v>
      </c>
      <c r="L54" s="39">
        <f ca="1"/>
        <v>3884.0396145578202</v>
      </c>
      <c r="M54" s="39">
        <f ca="1"/>
        <v>4329.096129024676</v>
      </c>
      <c r="N54" s="39">
        <f ca="1"/>
        <v>4760.7048327150551</v>
      </c>
      <c r="O54" s="39">
        <f ca="1"/>
        <v>5177.5185382654408</v>
      </c>
      <c r="P54" s="39">
        <f ca="1"/>
        <v>5577.692206071908</v>
      </c>
      <c r="Q54" s="39">
        <f ca="1"/>
        <v>5960.358517036193</v>
      </c>
      <c r="R54" s="39">
        <f ca="1"/>
        <v>6342.6053237816541</v>
      </c>
      <c r="S54" s="39">
        <f ca="1"/>
        <v>6723.9979959033535</v>
      </c>
      <c r="T54" s="39">
        <f ca="1"/>
        <v>7086.0403157198598</v>
      </c>
      <c r="U54" s="39">
        <f ca="1"/>
        <v>7447.4022237113186</v>
      </c>
      <c r="V54" s="39">
        <f ca="1"/>
        <v>7807.5095101543184</v>
      </c>
      <c r="W54" s="39">
        <f ca="1"/>
        <v>8148.2162891877006</v>
      </c>
      <c r="X54" s="39">
        <f ca="1"/>
        <v>8470.1794819651641</v>
      </c>
      <c r="Y54" s="39">
        <f ca="1"/>
        <v>8773.6194166830446</v>
      </c>
      <c r="Z54" s="39">
        <f ca="1"/>
        <v>9058.835991610671</v>
      </c>
      <c r="AA54" s="39">
        <f ca="1"/>
        <v>9327.078761146533</v>
      </c>
      <c r="AB54" s="39">
        <f ca="1"/>
        <v>9580.2356478629863</v>
      </c>
      <c r="AC54" s="39">
        <f ca="1"/>
        <v>9818.6157673792113</v>
      </c>
      <c r="AD54" s="39">
        <f ca="1"/>
        <v>10042.128762432241</v>
      </c>
      <c r="AE54" s="39">
        <f ca="1"/>
        <v>10251.653189656068</v>
      </c>
      <c r="AF54" s="39">
        <f ca="1"/>
        <v>10447.782214298333</v>
      </c>
      <c r="AG54" s="39">
        <f ca="1"/>
        <v>10631.272951423953</v>
      </c>
      <c r="AH54" s="39">
        <f ca="1"/>
        <v>10802.612156402134</v>
      </c>
      <c r="AI54" s="39">
        <f ca="1"/>
        <v>10967.319486204897</v>
      </c>
      <c r="AJ54" s="39">
        <f ca="1"/>
        <v>11126.087328281457</v>
      </c>
      <c r="AK54" s="39">
        <f ca="1"/>
        <v>11278.666780856011</v>
      </c>
      <c r="AL54" s="39">
        <f ca="1"/>
        <v>11425.504571111884</v>
      </c>
      <c r="AM54" s="39">
        <f ca="1"/>
        <v>10991.715948487854</v>
      </c>
      <c r="AN54" s="39">
        <f ca="1"/>
        <v>10549.678338999334</v>
      </c>
      <c r="AO54" s="39">
        <f ca="1"/>
        <v>10100.047884166648</v>
      </c>
      <c r="AP54" s="39">
        <f ca="1"/>
        <v>9644.0806783663538</v>
      </c>
      <c r="AQ54" s="39">
        <f ca="1"/>
        <v>9183.4308956651621</v>
      </c>
      <c r="AR54" s="39">
        <f ca="1"/>
        <v>8720.6422912481121</v>
      </c>
      <c r="AS54" s="39">
        <f ca="1"/>
        <v>8258.6340103718649</v>
      </c>
      <c r="AT54" s="39">
        <f ca="1"/>
        <v>7800.1650883028105</v>
      </c>
      <c r="AU54" s="39">
        <f ca="1"/>
        <v>7348.4354452993402</v>
      </c>
      <c r="AV54" s="39">
        <f ca="1"/>
        <v>6905.2349032359507</v>
      </c>
      <c r="AW54" s="39">
        <f ca="1"/>
        <v>6472.6142317463537</v>
      </c>
      <c r="AX54" s="39">
        <f ca="1"/>
        <v>6053.5543550604943</v>
      </c>
      <c r="AY54" s="39">
        <f ca="1"/>
        <v>5649.3793422492618</v>
      </c>
      <c r="AZ54" s="39">
        <f ca="1"/>
        <v>5261.2897929933624</v>
      </c>
      <c r="BA54" s="39">
        <f ca="1"/>
        <v>4890.6101881861268</v>
      </c>
      <c r="BB54" s="39">
        <f ca="1"/>
        <v>4537.9751977869346</v>
      </c>
      <c r="BC54" s="39">
        <f ca="1"/>
        <v>4203.0429084456046</v>
      </c>
      <c r="BD54" s="39">
        <f ca="1"/>
        <v>3886.9787697339866</v>
      </c>
      <c r="BE54" s="39">
        <f ca="1"/>
        <v>3589.3398610354807</v>
      </c>
      <c r="BF54" s="39">
        <f ca="1"/>
        <v>3309.3182969991376</v>
      </c>
      <c r="BG54" s="39">
        <f ca="1"/>
        <v>3046.57575582756</v>
      </c>
      <c r="BH54" s="39">
        <f ca="1"/>
        <v>2800.8027716888764</v>
      </c>
      <c r="BI54" s="39">
        <f ca="1"/>
        <v>2572.4022392673296</v>
      </c>
      <c r="BJ54" s="39">
        <f ca="1"/>
        <v>2360.1860137377862</v>
      </c>
      <c r="BK54" s="39">
        <f ca="1"/>
        <v>2163.4834200886594</v>
      </c>
      <c r="BL54" s="39">
        <f ca="1"/>
        <v>1982.2224147644833</v>
      </c>
      <c r="BM54" s="39">
        <f ca="1"/>
        <v>1817.4362452645796</v>
      </c>
      <c r="BN54" s="39">
        <f ca="1"/>
        <v>1668.2731024013242</v>
      </c>
      <c r="BO54" s="39">
        <f ca="1"/>
        <v>1533.6764766862379</v>
      </c>
      <c r="BP54" s="39">
        <f ca="1"/>
        <v>1412.9986711350821</v>
      </c>
      <c r="BQ54" s="39">
        <f ca="1"/>
        <v>1299.801840868703</v>
      </c>
      <c r="BR54" s="39">
        <f ca="1"/>
        <v>1193.0975220448063</v>
      </c>
      <c r="BS54" s="39">
        <f ca="1"/>
        <v>1093.1200553799645</v>
      </c>
      <c r="BT54" s="39">
        <f ca="1"/>
        <v>999.29191946373783</v>
      </c>
      <c r="BU54" s="39">
        <f ca="1"/>
        <v>910.90096994830378</v>
      </c>
      <c r="BV54" s="39">
        <f ca="1"/>
        <v>828.3558394006709</v>
      </c>
      <c r="BW54" s="39">
        <f ca="1"/>
        <v>750.91472099949783</v>
      </c>
      <c r="BX54" s="39">
        <f ca="1"/>
        <v>678.16435360653975</v>
      </c>
      <c r="BY54" s="39">
        <f ca="1"/>
        <v>610.15325780202556</v>
      </c>
      <c r="BZ54" s="39">
        <f ca="1"/>
        <v>546.62563906526327</v>
      </c>
      <c r="CA54" s="39">
        <f ca="1"/>
        <v>487.28216642972808</v>
      </c>
      <c r="CB54" s="39">
        <f ca="1"/>
        <v>431.95175753389242</v>
      </c>
      <c r="CC54" s="39">
        <f ca="1"/>
        <v>380.53736493946633</v>
      </c>
      <c r="CD54" s="39">
        <f ca="1"/>
        <v>332.9679703526391</v>
      </c>
      <c r="CE54" s="39">
        <f ca="1"/>
        <v>289.06628820857259</v>
      </c>
      <c r="CF54" s="39">
        <f ca="1"/>
        <v>248.50821075150623</v>
      </c>
      <c r="CG54" s="39">
        <f ca="1"/>
        <v>211.25956435482706</v>
      </c>
      <c r="CH54" s="39">
        <f ca="1"/>
        <v>177.32947788801488</v>
      </c>
      <c r="CI54" s="39">
        <f ca="1"/>
        <v>146.53108446947846</v>
      </c>
      <c r="CJ54" s="39">
        <f ca="1"/>
        <v>118.76959228746964</v>
      </c>
      <c r="CK54" s="39">
        <f ca="1"/>
        <v>94.217525530495834</v>
      </c>
      <c r="CL54" s="39">
        <f ca="1"/>
        <v>72.459159471168988</v>
      </c>
      <c r="CM54" s="39">
        <f ca="1"/>
        <v>53.719756636038085</v>
      </c>
      <c r="CN54" s="39">
        <f ca="1"/>
        <v>37.994331297299809</v>
      </c>
      <c r="CO54" s="39">
        <f ca="1"/>
        <v>25.189889610800755</v>
      </c>
      <c r="CP54" s="39">
        <f ca="1"/>
        <v>15.158686841620407</v>
      </c>
      <c r="CQ54" s="39">
        <f ca="1"/>
        <v>7.5763303089777141</v>
      </c>
      <c r="CR54" s="39">
        <f ca="1"/>
        <v>2.5064880006176162</v>
      </c>
      <c r="CS54" s="40">
        <f ca="1"/>
        <v>0</v>
      </c>
      <c r="CT54" s="10"/>
    </row>
    <row r="55" spans="2:98" ht="15">
      <c r="B55" s="10"/>
      <c r="C55" s="48" t="s">
        <v>66</v>
      </c>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5"/>
      <c r="CT55" s="10"/>
    </row>
    <row r="56" spans="2:98" ht="15">
      <c r="B56" s="10"/>
      <c r="C56" s="28" t="str">
        <f>INDEX(_pcName,1)</f>
        <v>Axial Cylindrical Housed</v>
      </c>
      <c r="D56" s="12" t="str">
        <f t="shared" ref="D56:D62" si="6">shpUnit</f>
        <v>th units</v>
      </c>
      <c r="E56" s="39">
        <f ca="1">SUMPRODUCT(N(OFFSET(tShpAxHStd,0,0,1,1)),N(OFFSET(tpSurvAxH,0,1-OFFSET(_i,0,0,1,1),1,1)))</f>
        <v>43.660697705118004</v>
      </c>
      <c r="F56" s="39">
        <f ca="1">SUMPRODUCT(OFFSET(tShpAxHStd,0,0,1,2),N(OFFSET(tpSurvAxH,0,2-OFFSET(_i,0,0,1,2),1,1)))</f>
        <v>87.405290982216712</v>
      </c>
      <c r="G56" s="39">
        <f ca="1">SUMPRODUCT(OFFSET(tShpAxHStd,0,0,1,3),N(OFFSET(tpSurvAxH,0,3-OFFSET(_i,0,0,1,3),1,1)))</f>
        <v>131.12524686796129</v>
      </c>
      <c r="H56" s="39">
        <f ca="1">SUMPRODUCT(OFFSET(tShpAxHStd,0,0,1,4),N(OFFSET(tpSurvAxH,0,4-OFFSET(_i,0,0,1,4),1,1)))</f>
        <v>174.79370547395897</v>
      </c>
      <c r="I56" s="39">
        <f ca="1">SUMPRODUCT(OFFSET(tShpAxHStd,0,0,1,5),N(OFFSET(tpSurvAxH,0,5-OFFSET(_i,0,0,1,5),1,1)))</f>
        <v>218.43645974651992</v>
      </c>
      <c r="J56" s="39">
        <f ca="1">SUMPRODUCT(OFFSET(tShpAxHStd,0,0,1,6),N(OFFSET(tpSurvAxH,0,6-OFFSET(_i,0,0,1,6),1,1)))</f>
        <v>260.32626410005309</v>
      </c>
      <c r="K56" s="39">
        <f ca="1">SUMPRODUCT(OFFSET(tShpAxHStd,0,0,1,7),N(OFFSET(tpSurvAxH,0,7-OFFSET(_i,0,0,1,7),1,1)))</f>
        <v>301.84070226949541</v>
      </c>
      <c r="L56" s="39">
        <f ca="1">SUMPRODUCT(OFFSET(tShpAxHStd,0,0,1,8),N(OFFSET(tpSurvAxH,0,8-OFFSET(_i,0,0,1,8),1,1)))</f>
        <v>342.84135483095207</v>
      </c>
      <c r="M56" s="39">
        <f ca="1">SUMPRODUCT(OFFSET(tShpAxHStd,0,0,1,9),N(OFFSET(tpSurvAxH,0,9-OFFSET(_i,0,0,1,9),1,1)))</f>
        <v>383.05337447564244</v>
      </c>
      <c r="N56" s="39">
        <f ca="1">SUMPRODUCT(OFFSET(tShpAxHStd,0,0,1,10),N(OFFSET(tpSurvAxH,0,10-OFFSET(_i,0,0,1,10),1,1)))</f>
        <v>422.32871852261638</v>
      </c>
      <c r="O56" s="39">
        <f ca="1">SUMPRODUCT(OFFSET(tShpAxHStd,0,0,1,11),N(OFFSET(tpSurvAxH,0,11-OFFSET(_i,0,0,1,11),1,1)))</f>
        <v>460.57126949646988</v>
      </c>
      <c r="P56" s="39">
        <f ca="1">SUMPRODUCT(OFFSET(tShpAxHStd,0,0,1,12),N(OFFSET(tpSurvAxH,0,12-OFFSET(_i,0,0,1,12),1,1)))</f>
        <v>497.64738585532359</v>
      </c>
      <c r="Q56" s="39">
        <f ca="1">SUMPRODUCT(OFFSET(tShpAxHStd,0,0,1,13),N(OFFSET(tpSurvAxH,0,13-OFFSET(_i,0,0,1,13),1,1)))</f>
        <v>533.34930396915843</v>
      </c>
      <c r="R56" s="39">
        <f ca="1">SUMPRODUCT(OFFSET(tShpAxHStd,0,0,1,14),N(OFFSET(tpSurvAxH,0,14-OFFSET(_i,0,0,1,14),1,1)))</f>
        <v>569.18537427275703</v>
      </c>
      <c r="S56" s="39">
        <f ca="1">SUMPRODUCT(OFFSET(tShpAxHStd,0,0,1,15),N(OFFSET(tpSurvAxH,0,15-OFFSET(_i,0,0,1,15),1,1)))</f>
        <v>605.38140065014068</v>
      </c>
      <c r="T56" s="39">
        <f ca="1">SUMPRODUCT(OFFSET(tShpAxHStd,0,0,1,16),N(OFFSET(tpSurvAxH,0,16-OFFSET(_i,0,0,1,16),1,1)))</f>
        <v>640.16674523713743</v>
      </c>
      <c r="U56" s="39">
        <f ca="1">SUMPRODUCT(OFFSET(tShpAxHStd,0,0,1,17),N(OFFSET(tpSurvAxH,0,17-OFFSET(_i,0,0,1,17),1,1)))</f>
        <v>675.01194649778949</v>
      </c>
      <c r="V56" s="39">
        <f ca="1">SUMPRODUCT(OFFSET(tShpAxHStd,0,0,1,18),N(OFFSET(tpSurvAxH,0,18-OFFSET(_i,0,0,1,18),1,1)))</f>
        <v>710.01637948440327</v>
      </c>
      <c r="W56" s="39">
        <f ca="1">SUMPRODUCT(OFFSET(tShpAxHStd,0,0,1,19),N(OFFSET(tpSurvAxH,0,19-OFFSET(_i,0,0,1,19),1,1)))</f>
        <v>743.47056392786556</v>
      </c>
      <c r="X56" s="39">
        <f ca="1">SUMPRODUCT(OFFSET(tShpAxHStd,0,0,1,20),N(OFFSET(tpSurvAxH,0,20-OFFSET(_i,0,0,1,20),1,1)))</f>
        <v>775.72525297514937</v>
      </c>
      <c r="Y56" s="39">
        <f ca="1">SUMPRODUCT(OFFSET(tShpAxHStd,0,0,1,21),N(OFFSET(tpSurvAxH,0,21-OFFSET(_i,0,0,1,21),1,1)))</f>
        <v>806.49083841994604</v>
      </c>
      <c r="Z56" s="39">
        <f ca="1">SUMPRODUCT(OFFSET(tShpAxHStd,0,0,1,22),N(OFFSET(tpSurvAxH,0,22-OFFSET(_i,0,0,1,22),1,1)))</f>
        <v>836.11609941998131</v>
      </c>
      <c r="AA56" s="39">
        <f ca="1">SUMPRODUCT(OFFSET(tShpAxHStd,0,0,1,23),N(OFFSET(tpSurvAxH,0,23-OFFSET(_i,0,0,1,23),1,1)))</f>
        <v>864.34998361959629</v>
      </c>
      <c r="AB56" s="39">
        <f ca="1">SUMPRODUCT(OFFSET(tShpAxHStd,0,0,1,24),N(OFFSET(tpSurvAxH,0,24-OFFSET(_i,0,0,1,24),1,1)))</f>
        <v>891.44088662879301</v>
      </c>
      <c r="AC56" s="39">
        <f ca="1">SUMPRODUCT(OFFSET(tShpAxHStd,0,0,1,25),N(OFFSET(tpSurvAxH,0,25-OFFSET(_i,0,0,1,25),1,1)))</f>
        <v>917.47628740552182</v>
      </c>
      <c r="AD56" s="39">
        <f ca="1">SUMPRODUCT(OFFSET(tShpAxHStd,0,0,1,26),N(OFFSET(tpSurvAxH,0,26-OFFSET(_i,0,0,1,26),1,1)))</f>
        <v>942.41444488434945</v>
      </c>
      <c r="AE56" s="39">
        <f ca="1">SUMPRODUCT(OFFSET(tShpAxHStd,0,0,1,27),N(OFFSET(tpSurvAxH,0,27-OFFSET(_i,0,0,1,27),1,1)))</f>
        <v>966.16064049453155</v>
      </c>
      <c r="AF56" s="39">
        <f ca="1">SUMPRODUCT(OFFSET(tShpAxHStd,0,0,1,28),N(OFFSET(tpSurvAxH,0,28-OFFSET(_i,0,0,1,28),1,1)))</f>
        <v>988.90597824011991</v>
      </c>
      <c r="AG56" s="39">
        <f ca="1">SUMPRODUCT(OFFSET(tShpAxHStd,0,0,1,29),N(OFFSET(tpSurvAxH,0,29-OFFSET(_i,0,0,1,29),1,1)))</f>
        <v>1010.8223875907702</v>
      </c>
      <c r="AH56" s="39">
        <f ca="1">SUMPRODUCT(OFFSET(tShpAxHStd,0,0,1,30),N(OFFSET(tpSurvAxH,0,30-OFFSET(_i,0,0,1,30),1,1)))</f>
        <v>1031.7611775722792</v>
      </c>
      <c r="AI56" s="39">
        <f ca="1">SUMPRODUCT(OFFSET(tShpAxHStd,0,0,1,31),N(OFFSET(tpSurvAxH,0,31-OFFSET(_i,0,0,1,31),1,1)))</f>
        <v>1051.7772537701708</v>
      </c>
      <c r="AJ56" s="39">
        <f ca="1">SUMPRODUCT(OFFSET(tShpAxHStd,0,0,1,32),N(OFFSET(tpSurvAxH,0,32-OFFSET(_i,0,0,1,32),1,1)))</f>
        <v>1071.1985646583919</v>
      </c>
      <c r="AK56" s="39">
        <f ca="1">SUMPRODUCT(OFFSET(tShpAxHStd,0,0,1,33),N(OFFSET(tpSurvAxH,0,33-OFFSET(_i,0,0,1,33),1,1)))</f>
        <v>1089.7166873772994</v>
      </c>
      <c r="AL56" s="39">
        <f ca="1">SUMPRODUCT(OFFSET(tShpAxHStd,0,0,1,34),N(OFFSET(tpSurvAxH,0,34-OFFSET(_i,0,0,1,34),1,1)))</f>
        <v>1107.4996671716838</v>
      </c>
      <c r="AM56" s="39">
        <f ca="1">SUMPRODUCT(OFFSET(tShpAxHStd,0,0,1,34),N(OFFSET(tpSurvAxH,0,35-OFFSET(_i,0,0,1,34),1,1)))</f>
        <v>1074.3022298271494</v>
      </c>
      <c r="AN56" s="39">
        <f ca="1">SUMPRODUCT(OFFSET(tShpAxHStd,0,0,1,34),N(OFFSET(tpSurvAxH,0,36-OFFSET(_i,0,0,1,34),1,1)))</f>
        <v>1040.2370906018707</v>
      </c>
      <c r="AO56" s="39">
        <f ca="1">SUMPRODUCT(OFFSET(tShpAxHStd,0,0,1,34),N(OFFSET(tpSurvAxH,0,37-OFFSET(_i,0,0,1,34),1,1)))</f>
        <v>1005.3292787764387</v>
      </c>
      <c r="AP56" s="39">
        <f ca="1">SUMPRODUCT(OFFSET(tShpAxHStd,0,0,1,34),N(OFFSET(tpSurvAxH,0,38-OFFSET(_i,0,0,1,34),1,1)))</f>
        <v>969.75839714772303</v>
      </c>
      <c r="AQ56" s="39">
        <f ca="1">SUMPRODUCT(OFFSET(tShpAxHStd,0,0,1,34),N(OFFSET(tpSurvAxH,0,39-OFFSET(_i,0,0,1,34),1,1)))</f>
        <v>933.40783202664352</v>
      </c>
      <c r="AR56" s="39">
        <f ca="1">SUMPRODUCT(OFFSET(tShpAxHStd,0,0,1,34),N(OFFSET(tpSurvAxH,0,40-OFFSET(_i,0,0,1,34),1,1)))</f>
        <v>896.41379901659946</v>
      </c>
      <c r="AS56" s="39">
        <f ca="1">SUMPRODUCT(OFFSET(tShpAxHStd,0,0,1,34),N(OFFSET(tpSurvAxH,0,41-OFFSET(_i,0,0,1,34),1,1)))</f>
        <v>859.07600381279076</v>
      </c>
      <c r="AT56" s="39">
        <f ca="1">SUMPRODUCT(OFFSET(tShpAxHStd,0,0,1,34),N(OFFSET(tpSurvAxH,0,42-OFFSET(_i,0,0,1,34),1,1)))</f>
        <v>821.61849846394875</v>
      </c>
      <c r="AU56" s="39">
        <f ca="1">SUMPRODUCT(OFFSET(tShpAxHStd,0,0,1,34),N(OFFSET(tpSurvAxH,0,43-OFFSET(_i,0,0,1,34),1,1)))</f>
        <v>784.32405332237568</v>
      </c>
      <c r="AV56" s="39">
        <f ca="1">SUMPRODUCT(OFFSET(tShpAxHStd,0,0,1,34),N(OFFSET(tpSurvAxH,0,44-OFFSET(_i,0,0,1,34),1,1)))</f>
        <v>747.2910459588079</v>
      </c>
      <c r="AW56" s="39">
        <f ca="1">SUMPRODUCT(OFFSET(tShpAxHStd,0,0,1,34),N(OFFSET(tpSurvAxH,0,45-OFFSET(_i,0,0,1,34),1,1)))</f>
        <v>710.68898542062107</v>
      </c>
      <c r="AX56" s="39">
        <f ca="1">SUMPRODUCT(OFFSET(tShpAxHStd,0,0,1,34),N(OFFSET(tpSurvAxH,0,46-OFFSET(_i,0,0,1,34),1,1)))</f>
        <v>674.75923935013884</v>
      </c>
      <c r="AY56" s="39">
        <f ca="1">SUMPRODUCT(OFFSET(tShpAxHStd,0,0,1,34),N(OFFSET(tpSurvAxH,0,47-OFFSET(_i,0,0,1,34),1,1)))</f>
        <v>639.62336099987851</v>
      </c>
      <c r="AZ56" s="39">
        <f ca="1">SUMPRODUCT(OFFSET(tShpAxHStd,0,0,1,34),N(OFFSET(tpSurvAxH,0,48-OFFSET(_i,0,0,1,34),1,1)))</f>
        <v>605.56707179413377</v>
      </c>
      <c r="BA56" s="39">
        <f ca="1">SUMPRODUCT(OFFSET(tShpAxHStd,0,0,1,34),N(OFFSET(tpSurvAxH,0,49-OFFSET(_i,0,0,1,34),1,1)))</f>
        <v>572.29344711169506</v>
      </c>
      <c r="BB56" s="39">
        <f ca="1">SUMPRODUCT(OFFSET(tShpAxHStd,0,0,1,34),N(OFFSET(tpSurvAxH,0,50-OFFSET(_i,0,0,1,34),1,1)))</f>
        <v>540.12889673968436</v>
      </c>
      <c r="BC56" s="39">
        <f ca="1">SUMPRODUCT(OFFSET(tShpAxHStd,0,0,1,34),N(OFFSET(tpSurvAxH,0,51-OFFSET(_i,0,0,1,34),1,1)))</f>
        <v>509.25208503848637</v>
      </c>
      <c r="BD56" s="39">
        <f ca="1">SUMPRODUCT(OFFSET(tShpAxHStd,0,0,1,34),N(OFFSET(tpSurvAxH,0,52-OFFSET(_i,0,0,1,34),1,1)))</f>
        <v>479.53383768065714</v>
      </c>
      <c r="BE56" s="39">
        <f ca="1">SUMPRODUCT(OFFSET(tShpAxHStd,0,0,1,34),N(OFFSET(tpSurvAxH,0,53-OFFSET(_i,0,0,1,34),1,1)))</f>
        <v>451.04409671438503</v>
      </c>
      <c r="BF56" s="39">
        <f ca="1">SUMPRODUCT(OFFSET(tShpAxHStd,0,0,1,34),N(OFFSET(tpSurvAxH,0,54-OFFSET(_i,0,0,1,34),1,1)))</f>
        <v>423.30505383120442</v>
      </c>
      <c r="BG56" s="39">
        <f ca="1">SUMPRODUCT(OFFSET(tShpAxHStd,0,0,1,34),N(OFFSET(tpSurvAxH,0,55-OFFSET(_i,0,0,1,34),1,1)))</f>
        <v>396.76848229587137</v>
      </c>
      <c r="BH56" s="39">
        <f ca="1">SUMPRODUCT(OFFSET(tShpAxHStd,0,0,1,34),N(OFFSET(tpSurvAxH,0,56-OFFSET(_i,0,0,1,34),1,1)))</f>
        <v>371.01591139818515</v>
      </c>
      <c r="BI56" s="39">
        <f ca="1">SUMPRODUCT(OFFSET(tShpAxHStd,0,0,1,34),N(OFFSET(tpSurvAxH,0,57-OFFSET(_i,0,0,1,34),1,1)))</f>
        <v>346.58294229211538</v>
      </c>
      <c r="BJ56" s="39">
        <f ca="1">SUMPRODUCT(OFFSET(tShpAxHStd,0,0,1,34),N(OFFSET(tpSurvAxH,0,58-OFFSET(_i,0,0,1,34),1,1)))</f>
        <v>323.19469994597807</v>
      </c>
      <c r="BK56" s="39">
        <f ca="1">SUMPRODUCT(OFFSET(tShpAxHStd,0,0,1,34),N(OFFSET(tpSurvAxH,0,59-OFFSET(_i,0,0,1,34),1,1)))</f>
        <v>300.86011140910341</v>
      </c>
      <c r="BL56" s="39">
        <f ca="1">SUMPRODUCT(OFFSET(tShpAxHStd,0,0,1,34),N(OFFSET(tpSurvAxH,0,60-OFFSET(_i,0,0,1,34),1,1)))</f>
        <v>279.48185845436251</v>
      </c>
      <c r="BM56" s="39">
        <f ca="1">SUMPRODUCT(OFFSET(tShpAxHStd,0,1,1,33),N(OFFSET(tpSurvAxH,0,60-OFFSET(_i,0,0,1,33),1,1)))</f>
        <v>259.49550712026439</v>
      </c>
      <c r="BN56" s="39">
        <f ca="1">SUMPRODUCT(OFFSET(tShpAxHStd,0,2,1,32),N(OFFSET(tpSurvAxH,0,60-OFFSET(_i,0,0,1,32),1,1)))</f>
        <v>240.69474417768384</v>
      </c>
      <c r="BO56" s="39">
        <f ca="1">SUMPRODUCT(OFFSET(tShpAxHStd,0,3,1,31),N(OFFSET(tpSurvAxH,0,60-OFFSET(_i,0,0,1,31),1,1)))</f>
        <v>222.86146646869429</v>
      </c>
      <c r="BP56" s="39">
        <f ca="1">SUMPRODUCT(OFFSET(tShpAxHStd,0,4,1,30),N(OFFSET(tpSurvAxH,0,60-OFFSET(_i,0,0,1,30),1,1)))</f>
        <v>206.13997421071255</v>
      </c>
      <c r="BQ56" s="39">
        <f ca="1">SUMPRODUCT(OFFSET(tShpAxHStd,0,5,1,29),N(OFFSET(tpSurvAxH,0,60-OFFSET(_i,0,0,1,29),1,1)))</f>
        <v>190.47827350540865</v>
      </c>
      <c r="BR56" s="39">
        <f ca="1">SUMPRODUCT(OFFSET(tShpAxHStd,0,6,1,28),N(OFFSET(tpSurvAxH,0,60-OFFSET(_i,0,0,1,28),1,1)))</f>
        <v>175.48506801384727</v>
      </c>
      <c r="BS56" s="39">
        <f ca="1">SUMPRODUCT(OFFSET(tShpAxHStd,0,7,1,27),N(OFFSET(tpSurvAxH,0,60-OFFSET(_i,0,0,1,27),1,1)))</f>
        <v>161.5042657253511</v>
      </c>
      <c r="BT56" s="39">
        <f ca="1">SUMPRODUCT(OFFSET(tShpAxHStd,0,8,1,26),N(OFFSET(tpSurvAxH,0,60-OFFSET(_i,0,0,1,26),1,1)))</f>
        <v>148.33107496821123</v>
      </c>
      <c r="BU56" s="39">
        <f ca="1">SUMPRODUCT(OFFSET(tShpAxHStd,0,9,1,25),N(OFFSET(tpSurvAxH,0,60-OFFSET(_i,0,0,1,25),1,1)))</f>
        <v>135.74531571079251</v>
      </c>
      <c r="BV56" s="39">
        <f ca="1">SUMPRODUCT(OFFSET(tShpAxHStd,0,10,1,24),N(OFFSET(tpSurvAxH,0,60-OFFSET(_i,0,0,1,24),1,1)))</f>
        <v>123.87291017990951</v>
      </c>
      <c r="BW56" s="39">
        <f ca="1">SUMPRODUCT(OFFSET(tShpAxHStd,0,11,1,23),N(OFFSET(tpSurvAxH,0,60-OFFSET(_i,0,0,1,23),1,1)))</f>
        <v>112.66220177888313</v>
      </c>
      <c r="BX56" s="39">
        <f ca="1">SUMPRODUCT(OFFSET(tShpAxHStd,0,12,1,22),N(OFFSET(tpSurvAxH,0,60-OFFSET(_i,0,0,1,22),1,1)))</f>
        <v>101.94309541736568</v>
      </c>
      <c r="BY56" s="39">
        <f ca="1">SUMPRODUCT(OFFSET(tShpAxHStd,0,13,1,21),N(OFFSET(tpSurvAxH,0,60-OFFSET(_i,0,0,1,21),1,1)))</f>
        <v>91.871556863616547</v>
      </c>
      <c r="BZ56" s="39">
        <f ca="1">SUMPRODUCT(OFFSET(tShpAxHStd,0,14,1,20),N(OFFSET(tpSurvAxH,0,60-OFFSET(_i,0,0,1,20),1,1)))</f>
        <v>82.422312156222915</v>
      </c>
      <c r="CA56" s="39">
        <f ca="1">SUMPRODUCT(OFFSET(tShpAxHStd,0,15,1,19),N(OFFSET(tpSurvAxH,0,60-OFFSET(_i,0,0,1,19),1,1)))</f>
        <v>73.580328023120984</v>
      </c>
      <c r="CB56" s="39">
        <f ca="1">SUMPRODUCT(OFFSET(tShpAxHStd,0,16,1,18),N(OFFSET(tpSurvAxH,0,60-OFFSET(_i,0,0,1,18),1,1)))</f>
        <v>65.250505625355331</v>
      </c>
      <c r="CC56" s="39">
        <f ca="1">SUMPRODUCT(OFFSET(tShpAxHStd,0,17,1,17),N(OFFSET(tpSurvAxH,0,60-OFFSET(_i,0,0,1,17),1,1)))</f>
        <v>57.451333395597423</v>
      </c>
      <c r="CD56" s="39">
        <f ca="1">SUMPRODUCT(OFFSET(tShpAxHStd,0,18,1,16),N(OFFSET(tpSurvAxH,0,60-OFFSET(_i,0,0,1,16),1,1)))</f>
        <v>50.231377257354694</v>
      </c>
      <c r="CE56" s="39">
        <f ca="1">SUMPRODUCT(OFFSET(tShpAxHStd,0,19,1,15),N(OFFSET(tpSurvAxH,0,60-OFFSET(_i,0,0,1,15),1,1)))</f>
        <v>43.556027455636574</v>
      </c>
      <c r="CF56" s="39">
        <f ca="1">SUMPRODUCT(OFFSET(tShpAxHStd,0,20,1,14),N(OFFSET(tpSurvAxH,0,60-OFFSET(_i,0,0,1,14),1,1)))</f>
        <v>37.380441129983033</v>
      </c>
      <c r="CG56" s="39">
        <f ca="1">SUMPRODUCT(OFFSET(tShpAxHStd,0,21,1,13),N(OFFSET(tpSurvAxH,0,60-OFFSET(_i,0,0,1,13),1,1)))</f>
        <v>31.831273241909919</v>
      </c>
      <c r="CH56" s="39">
        <f ca="1">SUMPRODUCT(OFFSET(tShpAxHStd,0,22,1,12),N(OFFSET(tpSurvAxH,0,60-OFFSET(_i,0,0,1,12),1,1)))</f>
        <v>26.692759907093858</v>
      </c>
      <c r="CI56" s="39">
        <f ca="1">SUMPRODUCT(OFFSET(tShpAxHStd,0,23,1,11),N(OFFSET(tpSurvAxH,0,60-OFFSET(_i,0,0,1,11),1,1)))</f>
        <v>22.076873004562259</v>
      </c>
      <c r="CJ56" s="39">
        <f ca="1">SUMPRODUCT(OFFSET(tShpAxHStd,0,24,1,10),N(OFFSET(tpSurvAxH,0,60-OFFSET(_i,0,0,1,10),1,1)))</f>
        <v>17.849669642693794</v>
      </c>
      <c r="CK56" s="39">
        <f ca="1">SUMPRODUCT(OFFSET(tShpAxHStd,0,25,1,9),N(OFFSET(tpSurvAxH,0,60-OFFSET(_i,0,0,1,9),1,1)))</f>
        <v>14.022903935579365</v>
      </c>
      <c r="CL56" s="39">
        <f ca="1">SUMPRODUCT(OFFSET(tShpAxHStd,0,26,1,8),N(OFFSET(tpSurvAxH,0,60-OFFSET(_i,0,0,1,8),1,1)))</f>
        <v>10.648723257317705</v>
      </c>
      <c r="CM56" s="39">
        <f ca="1">SUMPRODUCT(OFFSET(tShpAxHStd,0,27,1,7),N(OFFSET(tpSurvAxH,0,60-OFFSET(_i,0,0,1,7),1,1)))</f>
        <v>7.7694169020051467</v>
      </c>
      <c r="CN56" s="39">
        <f ca="1">SUMPRODUCT(OFFSET(tShpAxHStd,0,28,1,6),N(OFFSET(tpSurvAxH,0,60-OFFSET(_i,0,0,1,6),1,1)))</f>
        <v>5.4627614652438554</v>
      </c>
      <c r="CO56" s="39">
        <f ca="1">SUMPRODUCT(OFFSET(tShpAxHStd,0,29,1,5),N(OFFSET(tpSurvAxH,0,60-OFFSET(_i,0,0,1,5),1,1)))</f>
        <v>3.5899885566756771</v>
      </c>
      <c r="CP56" s="39">
        <f ca="1">SUMPRODUCT(OFFSET(tShpAxHStd,0,30,1,4),N(OFFSET(tpSurvAxH,0,60-OFFSET(_i,0,0,1,4),1,1)))</f>
        <v>2.1731318682863843</v>
      </c>
      <c r="CQ56" s="39">
        <f ca="1">SUMPRODUCT(OFFSET(tShpAxHStd,0,31,1,3),N(OFFSET(tpSurvAxH,0,60-OFFSET(_i,0,0,1,3),1,1)))</f>
        <v>1.0779729754294638</v>
      </c>
      <c r="CR56" s="39">
        <f ca="1">SUMPRODUCT(OFFSET(tShpAxHStd,0,32,1,2),N(OFFSET(tpSurvAxH,0,60-OFFSET(_i,0,0,1,2),1,1)))</f>
        <v>0.40678290105152654</v>
      </c>
      <c r="CS56" s="40">
        <f ca="1">SUMPRODUCT(N(OFFSET(tShpAxHStd,0,33,1,1)),N(OFFSET(tpSurvAxH,0,60-OFFSET(_i,0,0,1,1),1,1)))</f>
        <v>0</v>
      </c>
      <c r="CT56" s="10"/>
    </row>
    <row r="57" spans="2:98" ht="15">
      <c r="B57" s="10"/>
      <c r="C57" s="28" t="str">
        <f>INDEX(_pcName,2)</f>
        <v>Panel</v>
      </c>
      <c r="D57" s="12" t="str">
        <f t="shared" si="6"/>
        <v>th units</v>
      </c>
      <c r="E57" s="39">
        <f ca="1">SUMPRODUCT(N(OFFSET(tShpPanStd,0,0,1,1)),N(OFFSET(tpSurvPan,0,1-OFFSET(_i,0,0,1,1),1,1)))</f>
        <v>39.313615843577466</v>
      </c>
      <c r="F57" s="39">
        <f ca="1">SUMPRODUCT(OFFSET(tShpPanStd,0,0,1,2),N(OFFSET(tpSurvPan,0,2-OFFSET(_i,0,0,1,2),1,1)))</f>
        <v>78.702774187874979</v>
      </c>
      <c r="G57" s="39">
        <f ca="1">SUMPRODUCT(OFFSET(tShpPanStd,0,0,1,3),N(OFFSET(tpSurvPan,0,3-OFFSET(_i,0,0,1,3),1,1)))</f>
        <v>118.06974816522478</v>
      </c>
      <c r="H57" s="39">
        <f ca="1">SUMPRODUCT(OFFSET(tShpPanStd,0,0,1,4),N(OFFSET(tpSurvPan,0,4-OFFSET(_i,0,0,1,4),1,1)))</f>
        <v>157.39821491795561</v>
      </c>
      <c r="I57" s="39">
        <f ca="1">SUMPRODUCT(OFFSET(tShpPanStd,0,0,1,5),N(OFFSET(tpSurvPan,0,5-OFFSET(_i,0,0,1,5),1,1)))</f>
        <v>196.66423808451097</v>
      </c>
      <c r="J57" s="39">
        <f ca="1">SUMPRODUCT(OFFSET(tShpPanStd,0,0,1,6),N(OFFSET(tpSurvPan,0,6-OFFSET(_i,0,0,1,6),1,1)))</f>
        <v>234.33996990705197</v>
      </c>
      <c r="K57" s="39">
        <f ca="1">SUMPRODUCT(OFFSET(tShpPanStd,0,0,1,7),N(OFFSET(tpSurvPan,0,7-OFFSET(_i,0,0,1,7),1,1)))</f>
        <v>271.70915163110891</v>
      </c>
      <c r="L57" s="39">
        <f ca="1">SUMPRODUCT(OFFSET(tShpPanStd,0,0,1,8),N(OFFSET(tpSurvPan,0,8-OFFSET(_i,0,0,1,8),1,1)))</f>
        <v>308.60008389223941</v>
      </c>
      <c r="M57" s="39">
        <f ca="1">SUMPRODUCT(OFFSET(tShpPanStd,0,0,1,9),N(OFFSET(tpSurvPan,0,9-OFFSET(_i,0,0,1,9),1,1)))</f>
        <v>344.96141565835751</v>
      </c>
      <c r="N57" s="39">
        <f ca="1">SUMPRODUCT(OFFSET(tShpPanStd,0,0,1,10),N(OFFSET(tpSurvPan,0,10-OFFSET(_i,0,0,1,10),1,1)))</f>
        <v>380.63835865274706</v>
      </c>
      <c r="O57" s="39">
        <f ca="1">SUMPRODUCT(OFFSET(tShpPanStd,0,0,1,11),N(OFFSET(tpSurvPan,0,11-OFFSET(_i,0,0,1,11),1,1)))</f>
        <v>415.56290208029134</v>
      </c>
      <c r="P57" s="39">
        <f ca="1">SUMPRODUCT(OFFSET(tShpPanStd,0,0,1,12),N(OFFSET(tpSurvPan,0,12-OFFSET(_i,0,0,1,12),1,1)))</f>
        <v>449.38104068490304</v>
      </c>
      <c r="Q57" s="39">
        <f ca="1">SUMPRODUCT(OFFSET(tShpPanStd,0,0,1,13),N(OFFSET(tpSurvPan,0,13-OFFSET(_i,0,0,1,13),1,1)))</f>
        <v>482.00924741529724</v>
      </c>
      <c r="R57" s="39">
        <f ca="1">SUMPRODUCT(OFFSET(tShpPanStd,0,0,1,14),N(OFFSET(tpSurvPan,0,14-OFFSET(_i,0,0,1,14),1,1)))</f>
        <v>514.79877876225282</v>
      </c>
      <c r="S57" s="39">
        <f ca="1">SUMPRODUCT(OFFSET(tShpPanStd,0,0,1,15),N(OFFSET(tpSurvPan,0,15-OFFSET(_i,0,0,1,15),1,1)))</f>
        <v>547.7141834397537</v>
      </c>
      <c r="T57" s="39">
        <f ca="1">SUMPRODUCT(OFFSET(tShpPanStd,0,0,1,16),N(OFFSET(tpSurvPan,0,16-OFFSET(_i,0,0,1,16),1,1)))</f>
        <v>579.39944978790675</v>
      </c>
      <c r="U57" s="39">
        <f ca="1">SUMPRODUCT(OFFSET(tShpPanStd,0,0,1,17),N(OFFSET(tpSurvPan,0,17-OFFSET(_i,0,0,1,17),1,1)))</f>
        <v>611.07397602164338</v>
      </c>
      <c r="V57" s="39">
        <f ca="1">SUMPRODUCT(OFFSET(tShpPanStd,0,0,1,18),N(OFFSET(tpSurvPan,0,18-OFFSET(_i,0,0,1,18),1,1)))</f>
        <v>642.56614006170435</v>
      </c>
      <c r="W57" s="39">
        <f ca="1">SUMPRODUCT(OFFSET(tShpPanStd,0,0,1,19),N(OFFSET(tpSurvPan,0,19-OFFSET(_i,0,0,1,19),1,1)))</f>
        <v>672.34291329888185</v>
      </c>
      <c r="X57" s="39">
        <f ca="1">SUMPRODUCT(OFFSET(tShpPanStd,0,0,1,20),N(OFFSET(tpSurvPan,0,20-OFFSET(_i,0,0,1,20),1,1)))</f>
        <v>700.46078992686307</v>
      </c>
      <c r="Y57" s="39">
        <f ca="1">SUMPRODUCT(OFFSET(tShpPanStd,0,0,1,21),N(OFFSET(tpSurvPan,0,21-OFFSET(_i,0,0,1,21),1,1)))</f>
        <v>726.77032983353433</v>
      </c>
      <c r="Z57" s="39">
        <f ca="1">SUMPRODUCT(OFFSET(tShpPanStd,0,0,1,22),N(OFFSET(tpSurvPan,0,22-OFFSET(_i,0,0,1,22),1,1)))</f>
        <v>751.42582902871459</v>
      </c>
      <c r="AA57" s="39">
        <f ca="1">SUMPRODUCT(OFFSET(tShpPanStd,0,0,1,23),N(OFFSET(tpSurvPan,0,23-OFFSET(_i,0,0,1,23),1,1)))</f>
        <v>774.54966712057239</v>
      </c>
      <c r="AB57" s="39">
        <f ca="1">SUMPRODUCT(OFFSET(tShpPanStd,0,0,1,24),N(OFFSET(tpSurvPan,0,24-OFFSET(_i,0,0,1,24),1,1)))</f>
        <v>796.14959604449439</v>
      </c>
      <c r="AC57" s="39">
        <f ca="1">SUMPRODUCT(OFFSET(tShpPanStd,0,0,1,25),N(OFFSET(tpSurvPan,0,25-OFFSET(_i,0,0,1,25),1,1)))</f>
        <v>816.10380164396327</v>
      </c>
      <c r="AD57" s="39">
        <f ca="1">SUMPRODUCT(OFFSET(tShpPanStd,0,0,1,26),N(OFFSET(tpSurvPan,0,26-OFFSET(_i,0,0,1,26),1,1)))</f>
        <v>834.47366183808424</v>
      </c>
      <c r="AE57" s="39">
        <f ca="1">SUMPRODUCT(OFFSET(tShpPanStd,0,0,1,27),N(OFFSET(tpSurvPan,0,27-OFFSET(_i,0,0,1,27),1,1)))</f>
        <v>851.36190569865607</v>
      </c>
      <c r="AF57" s="39">
        <f ca="1">SUMPRODUCT(OFFSET(tShpPanStd,0,0,1,28),N(OFFSET(tpSurvPan,0,28-OFFSET(_i,0,0,1,28),1,1)))</f>
        <v>866.9171042126477</v>
      </c>
      <c r="AG57" s="39">
        <f ca="1">SUMPRODUCT(OFFSET(tShpPanStd,0,0,1,29),N(OFFSET(tpSurvPan,0,29-OFFSET(_i,0,0,1,29),1,1)))</f>
        <v>881.04607288243437</v>
      </c>
      <c r="AH57" s="39">
        <f ca="1">SUMPRODUCT(OFFSET(tShpPanStd,0,0,1,30),N(OFFSET(tpSurvPan,0,30-OFFSET(_i,0,0,1,30),1,1)))</f>
        <v>893.83155639237839</v>
      </c>
      <c r="AI57" s="39">
        <f ca="1">SUMPRODUCT(OFFSET(tShpPanStd,0,0,1,31),N(OFFSET(tpSurvPan,0,31-OFFSET(_i,0,0,1,31),1,1)))</f>
        <v>906.1597825543289</v>
      </c>
      <c r="AJ57" s="39">
        <f ca="1">SUMPRODUCT(OFFSET(tShpPanStd,0,0,1,32),N(OFFSET(tpSurvPan,0,32-OFFSET(_i,0,0,1,32),1,1)))</f>
        <v>918.00308319142323</v>
      </c>
      <c r="AK57" s="39">
        <f ca="1">SUMPRODUCT(OFFSET(tShpPanStd,0,0,1,33),N(OFFSET(tpSurvPan,0,33-OFFSET(_i,0,0,1,33),1,1)))</f>
        <v>929.36592423752018</v>
      </c>
      <c r="AL57" s="39">
        <f ca="1">SUMPRODUCT(OFFSET(tShpPanStd,0,0,1,34),N(OFFSET(tpSurvPan,0,34-OFFSET(_i,0,0,1,34),1,1)))</f>
        <v>940.21767890449246</v>
      </c>
      <c r="AM57" s="39">
        <f ca="1">SUMPRODUCT(OFFSET(tShpPanStd,0,0,1,34),N(OFFSET(tpSurvPan,0,35-OFFSET(_i,0,0,1,34),1,1)))</f>
        <v>905.26656913766203</v>
      </c>
      <c r="AN57" s="39">
        <f ca="1">SUMPRODUCT(OFFSET(tShpPanStd,0,0,1,34),N(OFFSET(tpSurvPan,0,36-OFFSET(_i,0,0,1,34),1,1)))</f>
        <v>869.69452839723465</v>
      </c>
      <c r="AO57" s="39">
        <f ca="1">SUMPRODUCT(OFFSET(tShpPanStd,0,0,1,34),N(OFFSET(tpSurvPan,0,37-OFFSET(_i,0,0,1,34),1,1)))</f>
        <v>833.5148414706822</v>
      </c>
      <c r="AP57" s="39">
        <f ca="1">SUMPRODUCT(OFFSET(tShpPanStd,0,0,1,34),N(OFFSET(tpSurvPan,0,38-OFFSET(_i,0,0,1,34),1,1)))</f>
        <v>796.80897133268206</v>
      </c>
      <c r="AQ57" s="39">
        <f ca="1">SUMPRODUCT(OFFSET(tShpPanStd,0,0,1,34),N(OFFSET(tpSurvPan,0,39-OFFSET(_i,0,0,1,34),1,1)))</f>
        <v>759.6205656778908</v>
      </c>
      <c r="AR57" s="39">
        <f ca="1">SUMPRODUCT(OFFSET(tShpPanStd,0,0,1,34),N(OFFSET(tpSurvPan,0,40-OFFSET(_i,0,0,1,34),1,1)))</f>
        <v>722.06172286949743</v>
      </c>
      <c r="AS57" s="39">
        <f ca="1">SUMPRODUCT(OFFSET(tShpPanStd,0,0,1,34),N(OFFSET(tpSurvPan,0,41-OFFSET(_i,0,0,1,34),1,1)))</f>
        <v>684.31371788846104</v>
      </c>
      <c r="AT57" s="39">
        <f ca="1">SUMPRODUCT(OFFSET(tShpPanStd,0,0,1,34),N(OFFSET(tpSurvPan,0,42-OFFSET(_i,0,0,1,34),1,1)))</f>
        <v>646.50347177988226</v>
      </c>
      <c r="AU57" s="39">
        <f ca="1">SUMPRODUCT(OFFSET(tShpPanStd,0,0,1,34),N(OFFSET(tpSurvPan,0,43-OFFSET(_i,0,0,1,34),1,1)))</f>
        <v>608.77096237939429</v>
      </c>
      <c r="AV57" s="39">
        <f ca="1">SUMPRODUCT(OFFSET(tShpPanStd,0,0,1,34),N(OFFSET(tpSurvPan,0,44-OFFSET(_i,0,0,1,34),1,1)))</f>
        <v>571.31289654467537</v>
      </c>
      <c r="AW57" s="39">
        <f ca="1">SUMPRODUCT(OFFSET(tShpPanStd,0,0,1,34),N(OFFSET(tpSurvPan,0,45-OFFSET(_i,0,0,1,34),1,1)))</f>
        <v>534.22347646804224</v>
      </c>
      <c r="AX57" s="39">
        <f ca="1">SUMPRODUCT(OFFSET(tShpPanStd,0,0,1,34),N(OFFSET(tpSurvPan,0,46-OFFSET(_i,0,0,1,34),1,1)))</f>
        <v>497.93872592254297</v>
      </c>
      <c r="AY57" s="39">
        <f ca="1">SUMPRODUCT(OFFSET(tShpPanStd,0,0,1,34),N(OFFSET(tpSurvPan,0,47-OFFSET(_i,0,0,1,34),1,1)))</f>
        <v>462.64341989357928</v>
      </c>
      <c r="AZ57" s="39">
        <f ca="1">SUMPRODUCT(OFFSET(tShpPanStd,0,0,1,34),N(OFFSET(tpSurvPan,0,48-OFFSET(_i,0,0,1,34),1,1)))</f>
        <v>428.434991148248</v>
      </c>
      <c r="BA57" s="39">
        <f ca="1">SUMPRODUCT(OFFSET(tShpPanStd,0,0,1,34),N(OFFSET(tpSurvPan,0,49-OFFSET(_i,0,0,1,34),1,1)))</f>
        <v>395.40566364839822</v>
      </c>
      <c r="BB57" s="39">
        <f ca="1">SUMPRODUCT(OFFSET(tShpPanStd,0,0,1,34),N(OFFSET(tpSurvPan,0,50-OFFSET(_i,0,0,1,34),1,1)))</f>
        <v>363.51235852073518</v>
      </c>
      <c r="BC57" s="39">
        <f ca="1">SUMPRODUCT(OFFSET(tShpPanStd,0,0,1,34),N(OFFSET(tpSurvPan,0,51-OFFSET(_i,0,0,1,34),1,1)))</f>
        <v>332.98861275672749</v>
      </c>
      <c r="BD57" s="39">
        <f ca="1">SUMPRODUCT(OFFSET(tShpPanStd,0,0,1,34),N(OFFSET(tpSurvPan,0,52-OFFSET(_i,0,0,1,34),1,1)))</f>
        <v>304.06752513562776</v>
      </c>
      <c r="BE57" s="39">
        <f ca="1">SUMPRODUCT(OFFSET(tShpPanStd,0,0,1,34),N(OFFSET(tpSurvPan,0,53-OFFSET(_i,0,0,1,34),1,1)))</f>
        <v>276.8481904357746</v>
      </c>
      <c r="BF57" s="39">
        <f ca="1">SUMPRODUCT(OFFSET(tShpPanStd,0,0,1,34),N(OFFSET(tpSurvPan,0,54-OFFSET(_i,0,0,1,34),1,1)))</f>
        <v>251.29259417257245</v>
      </c>
      <c r="BG57" s="39">
        <f ca="1">SUMPRODUCT(OFFSET(tShpPanStd,0,0,1,34),N(OFFSET(tpSurvPan,0,55-OFFSET(_i,0,0,1,34),1,1)))</f>
        <v>227.56762044116567</v>
      </c>
      <c r="BH57" s="39">
        <f ca="1">SUMPRODUCT(OFFSET(tShpPanStd,0,0,1,34),N(OFFSET(tpSurvPan,0,56-OFFSET(_i,0,0,1,34),1,1)))</f>
        <v>205.3894291480907</v>
      </c>
      <c r="BI57" s="39">
        <f ca="1">SUMPRODUCT(OFFSET(tShpPanStd,0,0,1,34),N(OFFSET(tpSurvPan,0,57-OFFSET(_i,0,0,1,34),1,1)))</f>
        <v>184.90036958523766</v>
      </c>
      <c r="BJ57" s="39">
        <f ca="1">SUMPRODUCT(OFFSET(tShpPanStd,0,0,1,34),N(OFFSET(tpSurvPan,0,58-OFFSET(_i,0,0,1,34),1,1)))</f>
        <v>166.18959700407083</v>
      </c>
      <c r="BK57" s="39">
        <f ca="1">SUMPRODUCT(OFFSET(tShpPanStd,0,0,1,34),N(OFFSET(tpSurvPan,0,59-OFFSET(_i,0,0,1,34),1,1)))</f>
        <v>149.29872750801755</v>
      </c>
      <c r="BL57" s="39">
        <f ca="1">SUMPRODUCT(OFFSET(tShpPanStd,0,0,1,34),N(OFFSET(tpSurvPan,0,60-OFFSET(_i,0,0,1,34),1,1)))</f>
        <v>134.18848081823973</v>
      </c>
      <c r="BM57" s="39">
        <f ca="1">SUMPRODUCT(OFFSET(tShpPanStd,0,1,1,33),N(OFFSET(tpSurvPan,0,60-OFFSET(_i,0,0,1,33),1,1)))</f>
        <v>120.87780574067887</v>
      </c>
      <c r="BN57" s="39">
        <f ca="1">SUMPRODUCT(OFFSET(tShpPanStd,0,2,1,32),N(OFFSET(tpSurvPan,0,60-OFFSET(_i,0,0,1,32),1,1)))</f>
        <v>109.17217031884564</v>
      </c>
      <c r="BO57" s="39">
        <f ca="1">SUMPRODUCT(OFFSET(tShpPanStd,0,3,1,31),N(OFFSET(tpSurvPan,0,60-OFFSET(_i,0,0,1,31),1,1)))</f>
        <v>99.170507075039296</v>
      </c>
      <c r="BP57" s="39">
        <f ca="1">SUMPRODUCT(OFFSET(tShpPanStd,0,4,1,30),N(OFFSET(tpSurvPan,0,60-OFFSET(_i,0,0,1,30),1,1)))</f>
        <v>90.778577796260436</v>
      </c>
      <c r="BQ57" s="39">
        <f ca="1">SUMPRODUCT(OFFSET(tShpPanStd,0,5,1,29),N(OFFSET(tpSurvPan,0,60-OFFSET(_i,0,0,1,29),1,1)))</f>
        <v>82.950512667362503</v>
      </c>
      <c r="BR57" s="39">
        <f ca="1">SUMPRODUCT(OFFSET(tShpPanStd,0,6,1,28),N(OFFSET(tpSurvPan,0,60-OFFSET(_i,0,0,1,28),1,1)))</f>
        <v>75.702906078462576</v>
      </c>
      <c r="BS57" s="39">
        <f ca="1">SUMPRODUCT(OFFSET(tShpPanStd,0,7,1,27),N(OFFSET(tpSurvPan,0,60-OFFSET(_i,0,0,1,27),1,1)))</f>
        <v>69.014756407417352</v>
      </c>
      <c r="BT57" s="39">
        <f ca="1">SUMPRODUCT(OFFSET(tShpPanStd,0,8,1,26),N(OFFSET(tpSurvPan,0,60-OFFSET(_i,0,0,1,26),1,1)))</f>
        <v>62.900920926929011</v>
      </c>
      <c r="BU57" s="39">
        <f ca="1">SUMPRODUCT(OFFSET(tShpPanStd,0,9,1,25),N(OFFSET(tpSurvPan,0,60-OFFSET(_i,0,0,1,25),1,1)))</f>
        <v>57.195948946347585</v>
      </c>
      <c r="BV57" s="39">
        <f ca="1">SUMPRODUCT(OFFSET(tShpPanStd,0,10,1,24),N(OFFSET(tpSurvPan,0,60-OFFSET(_i,0,0,1,24),1,1)))</f>
        <v>51.906456750722313</v>
      </c>
      <c r="BW57" s="39">
        <f ca="1">SUMPRODUCT(OFFSET(tShpPanStd,0,11,1,23),N(OFFSET(tpSurvPan,0,60-OFFSET(_i,0,0,1,23),1,1)))</f>
        <v>47.012776148186717</v>
      </c>
      <c r="BX57" s="39">
        <f ca="1">SUMPRODUCT(OFFSET(tShpPanStd,0,12,1,22),N(OFFSET(tpSurvPan,0,60-OFFSET(_i,0,0,1,22),1,1)))</f>
        <v>42.400136763178352</v>
      </c>
      <c r="BY57" s="39">
        <f ca="1">SUMPRODUCT(OFFSET(tShpPanStd,0,13,1,21),N(OFFSET(tpSurvPan,0,60-OFFSET(_i,0,0,1,21),1,1)))</f>
        <v>38.104342155792466</v>
      </c>
      <c r="BZ57" s="39">
        <f ca="1">SUMPRODUCT(OFFSET(tShpPanStd,0,14,1,20),N(OFFSET(tpSurvPan,0,60-OFFSET(_i,0,0,1,20),1,1)))</f>
        <v>34.097144151508942</v>
      </c>
      <c r="CA57" s="39">
        <f ca="1">SUMPRODUCT(OFFSET(tShpPanStd,0,15,1,19),N(OFFSET(tpSurvPan,0,60-OFFSET(_i,0,0,1,19),1,1)))</f>
        <v>30.38164846970367</v>
      </c>
      <c r="CB57" s="39">
        <f ca="1">SUMPRODUCT(OFFSET(tShpPanStd,0,16,1,18),N(OFFSET(tpSurvPan,0,60-OFFSET(_i,0,0,1,18),1,1)))</f>
        <v>27.002300877120685</v>
      </c>
      <c r="CC57" s="39">
        <f ca="1">SUMPRODUCT(OFFSET(tShpPanStd,0,17,1,17),N(OFFSET(tpSurvPan,0,60-OFFSET(_i,0,0,1,17),1,1)))</f>
        <v>23.852942007423128</v>
      </c>
      <c r="CD57" s="39">
        <f ca="1">SUMPRODUCT(OFFSET(tShpPanStd,0,18,1,16),N(OFFSET(tpSurvPan,0,60-OFFSET(_i,0,0,1,16),1,1)))</f>
        <v>20.920553319712461</v>
      </c>
      <c r="CE57" s="39">
        <f ca="1">SUMPRODUCT(OFFSET(tShpPanStd,0,19,1,15),N(OFFSET(tpSurvPan,0,60-OFFSET(_i,0,0,1,15),1,1)))</f>
        <v>18.223326110538913</v>
      </c>
      <c r="CF57" s="39">
        <f ca="1">SUMPRODUCT(OFFSET(tShpPanStd,0,20,1,14),N(OFFSET(tpSurvPan,0,60-OFFSET(_i,0,0,1,14),1,1)))</f>
        <v>15.770755880363986</v>
      </c>
      <c r="CG57" s="39">
        <f ca="1">SUMPRODUCT(OFFSET(tShpPanStd,0,21,1,13),N(OFFSET(tpSurvPan,0,60-OFFSET(_i,0,0,1,13),1,1)))</f>
        <v>13.504048205780901</v>
      </c>
      <c r="CH57" s="39">
        <f ca="1">SUMPRODUCT(OFFSET(tShpPanStd,0,22,1,12),N(OFFSET(tpSurvPan,0,60-OFFSET(_i,0,0,1,12),1,1)))</f>
        <v>11.418639205270857</v>
      </c>
      <c r="CI57" s="39">
        <f ca="1">SUMPRODUCT(OFFSET(tShpPanStd,0,23,1,11),N(OFFSET(tpSurvPan,0,60-OFFSET(_i,0,0,1,11),1,1)))</f>
        <v>9.5150062343666733</v>
      </c>
      <c r="CJ57" s="39">
        <f ca="1">SUMPRODUCT(OFFSET(tShpPanStd,0,24,1,10),N(OFFSET(tpSurvPan,0,60-OFFSET(_i,0,0,1,10),1,1)))</f>
        <v>7.7485166598315249</v>
      </c>
      <c r="CK57" s="39">
        <f ca="1">SUMPRODUCT(OFFSET(tShpPanStd,0,25,1,9),N(OFFSET(tpSurvPan,0,60-OFFSET(_i,0,0,1,9),1,1)))</f>
        <v>6.1833431631363283</v>
      </c>
      <c r="CL57" s="39">
        <f ca="1">SUMPRODUCT(OFFSET(tShpPanStd,0,26,1,8),N(OFFSET(tpSurvPan,0,60-OFFSET(_i,0,0,1,8),1,1)))</f>
        <v>4.7976386138812162</v>
      </c>
      <c r="CM57" s="39">
        <f ca="1">SUMPRODUCT(OFFSET(tShpPanStd,0,27,1,7),N(OFFSET(tpSurvPan,0,60-OFFSET(_i,0,0,1,7),1,1)))</f>
        <v>3.5921689904185659</v>
      </c>
      <c r="CN57" s="39">
        <f ca="1">SUMPRODUCT(OFFSET(tShpPanStd,0,28,1,6),N(OFFSET(tpSurvPan,0,60-OFFSET(_i,0,0,1,6),1,1)))</f>
        <v>2.5404558629591141</v>
      </c>
      <c r="CO57" s="39">
        <f ca="1">SUMPRODUCT(OFFSET(tShpPanStd,0,29,1,5),N(OFFSET(tpSurvPan,0,60-OFFSET(_i,0,0,1,5),1,1)))</f>
        <v>1.6340701577425443</v>
      </c>
      <c r="CP57" s="39">
        <f ca="1">SUMPRODUCT(OFFSET(tShpPanStd,0,30,1,4),N(OFFSET(tpSurvPan,0,60-OFFSET(_i,0,0,1,4),1,1)))</f>
        <v>1.0189620547733278</v>
      </c>
      <c r="CQ57" s="39">
        <f ca="1">SUMPRODUCT(OFFSET(tShpPanStd,0,31,1,3),N(OFFSET(tpSurvPan,0,60-OFFSET(_i,0,0,1,3),1,1)))</f>
        <v>0.53289119363284998</v>
      </c>
      <c r="CR57" s="39">
        <f ca="1">SUMPRODUCT(OFFSET(tShpPanStd,0,32,1,2),N(OFFSET(tpSurvPan,0,60-OFFSET(_i,0,0,1,2),1,1)))</f>
        <v>0.16279178650363738</v>
      </c>
      <c r="CS57" s="40">
        <f ca="1">SUMPRODUCT(N(OFFSET(tShpPanStd,0,33,1,1)),N(OFFSET(tpSurvPan,0,60-OFFSET(_i,0,0,1,1),1,1)))</f>
        <v>0</v>
      </c>
      <c r="CT57" s="10"/>
    </row>
    <row r="58" spans="2:98" ht="15">
      <c r="B58" s="10"/>
      <c r="C58" s="28" t="str">
        <f>INDEX(_pcName,3)</f>
        <v>Centrif Housed</v>
      </c>
      <c r="D58" s="12" t="str">
        <f t="shared" si="6"/>
        <v>th units</v>
      </c>
      <c r="E58" s="39">
        <f ca="1">SUMPRODUCT(N(OFFSET(tShpCnHStd,0,0,1,1)),N(OFFSET(tpSurvCnH,0,1-OFFSET(_i,0,0,1,1),1,1)))</f>
        <v>111.77900085105475</v>
      </c>
      <c r="F58" s="39">
        <f ca="1">SUMPRODUCT(OFFSET(tShpCnHStd,0,0,1,2),N(OFFSET(tpSurvCnH,0,2-OFFSET(_i,0,0,1,2),1,1)))</f>
        <v>223.77278899834482</v>
      </c>
      <c r="G58" s="39">
        <f ca="1">SUMPRODUCT(OFFSET(tShpCnHStd,0,0,1,3),N(OFFSET(tpSurvCnH,0,3-OFFSET(_i,0,0,1,3),1,1)))</f>
        <v>335.68114532666766</v>
      </c>
      <c r="H58" s="39">
        <f ca="1">SUMPRODUCT(OFFSET(tShpCnHStd,0,0,1,4),N(OFFSET(tpSurvCnH,0,4-OFFSET(_i,0,0,1,4),1,1)))</f>
        <v>447.17816917777179</v>
      </c>
      <c r="I58" s="39">
        <f ca="1">SUMPRODUCT(OFFSET(tShpCnHStd,0,0,1,5),N(OFFSET(tpSurvCnH,0,5-OFFSET(_i,0,0,1,5),1,1)))</f>
        <v>557.90465339386697</v>
      </c>
      <c r="J58" s="39">
        <f ca="1">SUMPRODUCT(OFFSET(tShpCnHStd,0,0,1,6),N(OFFSET(tpSurvCnH,0,6-OFFSET(_i,0,0,1,6),1,1)))</f>
        <v>663.05785020979806</v>
      </c>
      <c r="K58" s="39">
        <f ca="1">SUMPRODUCT(OFFSET(tShpCnHStd,0,0,1,7),N(OFFSET(tpSurvCnH,0,7-OFFSET(_i,0,0,1,7),1,1)))</f>
        <v>766.24261828190572</v>
      </c>
      <c r="L58" s="39">
        <f ca="1">SUMPRODUCT(OFFSET(tShpCnHStd,0,0,1,8),N(OFFSET(tpSurvCnH,0,8-OFFSET(_i,0,0,1,8),1,1)))</f>
        <v>866.78199656269737</v>
      </c>
      <c r="M58" s="39">
        <f ca="1">SUMPRODUCT(OFFSET(tShpCnHStd,0,0,1,9),N(OFFSET(tpSurvCnH,0,9-OFFSET(_i,0,0,1,9),1,1)))</f>
        <v>964.03735069765128</v>
      </c>
      <c r="N58" s="39">
        <f ca="1">SUMPRODUCT(OFFSET(tShpCnHStd,0,0,1,10),N(OFFSET(tpSurvCnH,0,10-OFFSET(_i,0,0,1,10),1,1)))</f>
        <v>1057.5337476359314</v>
      </c>
      <c r="O58" s="39">
        <f ca="1">SUMPRODUCT(OFFSET(tShpCnHStd,0,0,1,11),N(OFFSET(tpSurvCnH,0,11-OFFSET(_i,0,0,1,11),1,1)))</f>
        <v>1146.8493979875279</v>
      </c>
      <c r="P58" s="39">
        <f ca="1">SUMPRODUCT(OFFSET(tShpCnHStd,0,0,1,12),N(OFFSET(tpSurvCnH,0,12-OFFSET(_i,0,0,1,12),1,1)))</f>
        <v>1231.5835905294412</v>
      </c>
      <c r="Q58" s="39">
        <f ca="1">SUMPRODUCT(OFFSET(tShpCnHStd,0,0,1,13),N(OFFSET(tpSurvCnH,0,13-OFFSET(_i,0,0,1,13),1,1)))</f>
        <v>1311.7206475154162</v>
      </c>
      <c r="R58" s="39">
        <f ca="1">SUMPRODUCT(OFFSET(tShpCnHStd,0,0,1,14),N(OFFSET(tpSurvCnH,0,14-OFFSET(_i,0,0,1,14),1,1)))</f>
        <v>1390.9776439870038</v>
      </c>
      <c r="S58" s="39">
        <f ca="1">SUMPRODUCT(OFFSET(tShpCnHStd,0,0,1,15),N(OFFSET(tpSurvCnH,0,15-OFFSET(_i,0,0,1,15),1,1)))</f>
        <v>1469.4463802438725</v>
      </c>
      <c r="T58" s="39">
        <f ca="1">SUMPRODUCT(OFFSET(tShpCnHStd,0,0,1,16),N(OFFSET(tpSurvCnH,0,16-OFFSET(_i,0,0,1,16),1,1)))</f>
        <v>1542.5890223292399</v>
      </c>
      <c r="U58" s="39">
        <f ca="1">SUMPRODUCT(OFFSET(tShpCnHStd,0,0,1,17),N(OFFSET(tpSurvCnH,0,17-OFFSET(_i,0,0,1,17),1,1)))</f>
        <v>1614.9023965743359</v>
      </c>
      <c r="V58" s="39">
        <f ca="1">SUMPRODUCT(OFFSET(tShpCnHStd,0,0,1,18),N(OFFSET(tpSurvCnH,0,18-OFFSET(_i,0,0,1,18),1,1)))</f>
        <v>1686.2885944994705</v>
      </c>
      <c r="W58" s="39">
        <f ca="1">SUMPRODUCT(OFFSET(tShpCnHStd,0,0,1,19),N(OFFSET(tpSurvCnH,0,19-OFFSET(_i,0,0,1,19),1,1)))</f>
        <v>1752.7047760631219</v>
      </c>
      <c r="X58" s="39">
        <f ca="1">SUMPRODUCT(OFFSET(tShpCnHStd,0,0,1,20),N(OFFSET(tpSurvCnH,0,20-OFFSET(_i,0,0,1,20),1,1)))</f>
        <v>1814.1754446320115</v>
      </c>
      <c r="Y58" s="39">
        <f ca="1">SUMPRODUCT(OFFSET(tShpCnHStd,0,0,1,21),N(OFFSET(tpSurvCnH,0,21-OFFSET(_i,0,0,1,21),1,1)))</f>
        <v>1871.054558901076</v>
      </c>
      <c r="Z58" s="39">
        <f ca="1">SUMPRODUCT(OFFSET(tShpCnHStd,0,0,1,22),N(OFFSET(tpSurvCnH,0,22-OFFSET(_i,0,0,1,22),1,1)))</f>
        <v>1923.3221007690411</v>
      </c>
      <c r="AA58" s="39">
        <f ca="1">SUMPRODUCT(OFFSET(tShpCnHStd,0,0,1,23),N(OFFSET(tpSurvCnH,0,23-OFFSET(_i,0,0,1,23),1,1)))</f>
        <v>1971.2165269651375</v>
      </c>
      <c r="AB58" s="39">
        <f ca="1">SUMPRODUCT(OFFSET(tShpCnHStd,0,0,1,24),N(OFFSET(tpSurvCnH,0,24-OFFSET(_i,0,0,1,24),1,1)))</f>
        <v>2015.2984553881709</v>
      </c>
      <c r="AC58" s="39">
        <f ca="1">SUMPRODUCT(OFFSET(tShpCnHStd,0,0,1,25),N(OFFSET(tpSurvCnH,0,25-OFFSET(_i,0,0,1,25),1,1)))</f>
        <v>2055.7842844259335</v>
      </c>
      <c r="AD58" s="39">
        <f ca="1">SUMPRODUCT(OFFSET(tShpCnHStd,0,0,1,26),N(OFFSET(tpSurvCnH,0,26-OFFSET(_i,0,0,1,26),1,1)))</f>
        <v>2092.6381351310783</v>
      </c>
      <c r="AE58" s="39">
        <f ca="1">SUMPRODUCT(OFFSET(tShpCnHStd,0,0,1,27),N(OFFSET(tpSurvCnH,0,27-OFFSET(_i,0,0,1,27),1,1)))</f>
        <v>2126.0737710401836</v>
      </c>
      <c r="AF58" s="39">
        <f ca="1">SUMPRODUCT(OFFSET(tShpCnHStd,0,0,1,28),N(OFFSET(tpSurvCnH,0,28-OFFSET(_i,0,0,1,28),1,1)))</f>
        <v>2156.1659134923343</v>
      </c>
      <c r="AG58" s="39">
        <f ca="1">SUMPRODUCT(OFFSET(tShpCnHStd,0,0,1,29),N(OFFSET(tpSurvCnH,0,29-OFFSET(_i,0,0,1,29),1,1)))</f>
        <v>2183.360119975182</v>
      </c>
      <c r="AH58" s="39">
        <f ca="1">SUMPRODUCT(OFFSET(tShpCnHStd,0,0,1,30),N(OFFSET(tpSurvCnH,0,30-OFFSET(_i,0,0,1,30),1,1)))</f>
        <v>2207.6556999632617</v>
      </c>
      <c r="AI58" s="39">
        <f ca="1">SUMPRODUCT(OFFSET(tShpCnHStd,0,0,1,31),N(OFFSET(tpSurvCnH,0,31-OFFSET(_i,0,0,1,31),1,1)))</f>
        <v>2231.0985752596835</v>
      </c>
      <c r="AJ58" s="39">
        <f ca="1">SUMPRODUCT(OFFSET(tShpCnHStd,0,0,1,32),N(OFFSET(tpSurvCnH,0,32-OFFSET(_i,0,0,1,32),1,1)))</f>
        <v>2253.6870191061166</v>
      </c>
      <c r="AK58" s="39">
        <f ca="1">SUMPRODUCT(OFFSET(tShpCnHStd,0,0,1,33),N(OFFSET(tpSurvCnH,0,33-OFFSET(_i,0,0,1,33),1,1)))</f>
        <v>2275.5577477195466</v>
      </c>
      <c r="AL58" s="39">
        <f ca="1">SUMPRODUCT(OFFSET(tShpCnHStd,0,0,1,34),N(OFFSET(tpSurvCnH,0,34-OFFSET(_i,0,0,1,34),1,1)))</f>
        <v>2296.5975426131968</v>
      </c>
      <c r="AM58" s="39">
        <f ca="1">SUMPRODUCT(OFFSET(tShpCnHStd,0,0,1,34),N(OFFSET(tpSurvCnH,0,35-OFFSET(_i,0,0,1,34),1,1)))</f>
        <v>2187.725562591359</v>
      </c>
      <c r="AN58" s="39">
        <f ca="1">SUMPRODUCT(OFFSET(tShpCnHStd,0,0,1,34),N(OFFSET(tpSurvCnH,0,36-OFFSET(_i,0,0,1,34),1,1)))</f>
        <v>2077.4428932384262</v>
      </c>
      <c r="AO58" s="39">
        <f ca="1">SUMPRODUCT(OFFSET(tShpCnHStd,0,0,1,34),N(OFFSET(tpSurvCnH,0,37-OFFSET(_i,0,0,1,34),1,1)))</f>
        <v>1965.8902623837573</v>
      </c>
      <c r="AP58" s="39">
        <f ca="1">SUMPRODUCT(OFFSET(tShpCnHStd,0,0,1,34),N(OFFSET(tpSurvCnH,0,38-OFFSET(_i,0,0,1,34),1,1)))</f>
        <v>1853.4193247511294</v>
      </c>
      <c r="AQ58" s="39">
        <f ca="1">SUMPRODUCT(OFFSET(tShpCnHStd,0,0,1,34),N(OFFSET(tpSurvCnH,0,39-OFFSET(_i,0,0,1,34),1,1)))</f>
        <v>1740.6288977564134</v>
      </c>
      <c r="AR58" s="39">
        <f ca="1">SUMPRODUCT(OFFSET(tShpCnHStd,0,0,1,34),N(OFFSET(tpSurvCnH,0,40-OFFSET(_i,0,0,1,34),1,1)))</f>
        <v>1628.2547166589975</v>
      </c>
      <c r="AS58" s="39">
        <f ca="1">SUMPRODUCT(OFFSET(tShpCnHStd,0,0,1,34),N(OFFSET(tpSurvCnH,0,41-OFFSET(_i,0,0,1,34),1,1)))</f>
        <v>1516.9816856679256</v>
      </c>
      <c r="AT58" s="39">
        <f ca="1">SUMPRODUCT(OFFSET(tShpCnHStd,0,0,1,34),N(OFFSET(tpSurvCnH,0,42-OFFSET(_i,0,0,1,34),1,1)))</f>
        <v>1407.5425066615371</v>
      </c>
      <c r="AU58" s="39">
        <f ca="1">SUMPRODUCT(OFFSET(tShpCnHStd,0,0,1,34),N(OFFSET(tpSurvCnH,0,43-OFFSET(_i,0,0,1,34),1,1)))</f>
        <v>1300.6733890081712</v>
      </c>
      <c r="AV58" s="39">
        <f ca="1">SUMPRODUCT(OFFSET(tShpCnHStd,0,0,1,34),N(OFFSET(tpSurvCnH,0,44-OFFSET(_i,0,0,1,34),1,1)))</f>
        <v>1196.9917212954817</v>
      </c>
      <c r="AW58" s="39">
        <f ca="1">SUMPRODUCT(OFFSET(tShpCnHStd,0,0,1,34),N(OFFSET(tpSurvCnH,0,45-OFFSET(_i,0,0,1,34),1,1)))</f>
        <v>1097.1511633180676</v>
      </c>
      <c r="AX58" s="39">
        <f ca="1">SUMPRODUCT(OFFSET(tShpCnHStd,0,0,1,34),N(OFFSET(tpSurvCnH,0,46-OFFSET(_i,0,0,1,34),1,1)))</f>
        <v>1001.7402877954356</v>
      </c>
      <c r="AY58" s="39">
        <f ca="1">SUMPRODUCT(OFFSET(tShpCnHStd,0,0,1,34),N(OFFSET(tpSurvCnH,0,47-OFFSET(_i,0,0,1,34),1,1)))</f>
        <v>910.85363202574763</v>
      </c>
      <c r="AZ58" s="39">
        <f ca="1">SUMPRODUCT(OFFSET(tShpCnHStd,0,0,1,34),N(OFFSET(tpSurvCnH,0,48-OFFSET(_i,0,0,1,34),1,1)))</f>
        <v>824.87090881430481</v>
      </c>
      <c r="BA58" s="39">
        <f ca="1">SUMPRODUCT(OFFSET(tShpCnHStd,0,0,1,34),N(OFFSET(tpSurvCnH,0,49-OFFSET(_i,0,0,1,34),1,1)))</f>
        <v>743.96362969587801</v>
      </c>
      <c r="BB58" s="39">
        <f ca="1">SUMPRODUCT(OFFSET(tShpCnHStd,0,0,1,34),N(OFFSET(tpSurvCnH,0,50-OFFSET(_i,0,0,1,34),1,1)))</f>
        <v>668.72109429625027</v>
      </c>
      <c r="BC58" s="39">
        <f ca="1">SUMPRODUCT(OFFSET(tShpCnHStd,0,0,1,34),N(OFFSET(tpSurvCnH,0,51-OFFSET(_i,0,0,1,34),1,1)))</f>
        <v>598.71822953570313</v>
      </c>
      <c r="BD58" s="39">
        <f ca="1">SUMPRODUCT(OFFSET(tShpCnHStd,0,0,1,34),N(OFFSET(tpSurvCnH,0,52-OFFSET(_i,0,0,1,34),1,1)))</f>
        <v>534.09734965778318</v>
      </c>
      <c r="BE58" s="39">
        <f ca="1">SUMPRODUCT(OFFSET(tShpCnHStd,0,0,1,34),N(OFFSET(tpSurvCnH,0,53-OFFSET(_i,0,0,1,34),1,1)))</f>
        <v>474.76512958974962</v>
      </c>
      <c r="BF58" s="39">
        <f ca="1">SUMPRODUCT(OFFSET(tShpCnHStd,0,0,1,34),N(OFFSET(tpSurvCnH,0,54-OFFSET(_i,0,0,1,34),1,1)))</f>
        <v>420.70899973090775</v>
      </c>
      <c r="BG58" s="39">
        <f ca="1">SUMPRODUCT(OFFSET(tShpCnHStd,0,0,1,34),N(OFFSET(tpSurvCnH,0,55-OFFSET(_i,0,0,1,34),1,1)))</f>
        <v>371.47904442185467</v>
      </c>
      <c r="BH58" s="39">
        <f ca="1">SUMPRODUCT(OFFSET(tShpCnHStd,0,0,1,34),N(OFFSET(tpSurvCnH,0,56-OFFSET(_i,0,0,1,34),1,1)))</f>
        <v>327.0771004302789</v>
      </c>
      <c r="BI58" s="39">
        <f ca="1">SUMPRODUCT(OFFSET(tShpCnHStd,0,0,1,34),N(OFFSET(tpSurvCnH,0,57-OFFSET(_i,0,0,1,34),1,1)))</f>
        <v>287.53139598601496</v>
      </c>
      <c r="BJ58" s="39">
        <f ca="1">SUMPRODUCT(OFFSET(tShpCnHStd,0,0,1,34),N(OFFSET(tpSurvCnH,0,58-OFFSET(_i,0,0,1,34),1,1)))</f>
        <v>252.40540713358851</v>
      </c>
      <c r="BK58" s="39">
        <f ca="1">SUMPRODUCT(OFFSET(tShpCnHStd,0,0,1,34),N(OFFSET(tpSurvCnH,0,59-OFFSET(_i,0,0,1,34),1,1)))</f>
        <v>221.391158671944</v>
      </c>
      <c r="BL58" s="39">
        <f ca="1">SUMPRODUCT(OFFSET(tShpCnHStd,0,0,1,34),N(OFFSET(tpSurvCnH,0,60-OFFSET(_i,0,0,1,34),1,1)))</f>
        <v>194.52447036608388</v>
      </c>
      <c r="BM58" s="39">
        <f ca="1">SUMPRODUCT(OFFSET(tShpCnHStd,0,1,1,33),N(OFFSET(tpSurvCnH,0,60-OFFSET(_i,0,0,1,33),1,1)))</f>
        <v>171.637386539483</v>
      </c>
      <c r="BN58" s="39">
        <f ca="1">SUMPRODUCT(OFFSET(tShpCnHStd,0,2,1,32),N(OFFSET(tpSurvCnH,0,60-OFFSET(_i,0,0,1,32),1,1)))</f>
        <v>152.60800190445545</v>
      </c>
      <c r="BO58" s="39">
        <f ca="1">SUMPRODUCT(OFFSET(tShpCnHStd,0,3,1,31),N(OFFSET(tpSurvCnH,0,60-OFFSET(_i,0,0,1,31),1,1)))</f>
        <v>136.87353997229025</v>
      </c>
      <c r="BP58" s="39">
        <f ca="1">SUMPRODUCT(OFFSET(tShpCnHStd,0,4,1,30),N(OFFSET(tpSurvCnH,0,60-OFFSET(_i,0,0,1,30),1,1)))</f>
        <v>124.40444770750132</v>
      </c>
      <c r="BQ58" s="39">
        <f ca="1">SUMPRODUCT(OFFSET(tShpCnHStd,0,5,1,29),N(OFFSET(tpSurvCnH,0,60-OFFSET(_i,0,0,1,29),1,1)))</f>
        <v>112.8376917389127</v>
      </c>
      <c r="BR58" s="39">
        <f ca="1">SUMPRODUCT(OFFSET(tShpCnHStd,0,6,1,28),N(OFFSET(tpSurvCnH,0,60-OFFSET(_i,0,0,1,28),1,1)))</f>
        <v>102.13799004700259</v>
      </c>
      <c r="BS58" s="39">
        <f ca="1">SUMPRODUCT(OFFSET(tShpCnHStd,0,7,1,27),N(OFFSET(tpSurvCnH,0,60-OFFSET(_i,0,0,1,27),1,1)))</f>
        <v>92.128953168390325</v>
      </c>
      <c r="BT58" s="39">
        <f ca="1">SUMPRODUCT(OFFSET(tShpCnHStd,0,8,1,26),N(OFFSET(tpSurvCnH,0,60-OFFSET(_i,0,0,1,26),1,1)))</f>
        <v>82.930007391121038</v>
      </c>
      <c r="BU58" s="39">
        <f ca="1">SUMPRODUCT(OFFSET(tShpCnHStd,0,9,1,25),N(OFFSET(tpSurvCnH,0,60-OFFSET(_i,0,0,1,25),1,1)))</f>
        <v>74.479676943962744</v>
      </c>
      <c r="BV58" s="39">
        <f ca="1">SUMPRODUCT(OFFSET(tShpCnHStd,0,10,1,24),N(OFFSET(tpSurvCnH,0,60-OFFSET(_i,0,0,1,24),1,1)))</f>
        <v>66.755597200586706</v>
      </c>
      <c r="BW58" s="39">
        <f ca="1">SUMPRODUCT(OFFSET(tShpCnHStd,0,11,1,23),N(OFFSET(tpSurvCnH,0,60-OFFSET(_i,0,0,1,23),1,1)))</f>
        <v>59.630270123009154</v>
      </c>
      <c r="BX58" s="39">
        <f ca="1">SUMPRODUCT(OFFSET(tShpCnHStd,0,12,1,22),N(OFFSET(tpSurvCnH,0,60-OFFSET(_i,0,0,1,22),1,1)))</f>
        <v>53.080109181347126</v>
      </c>
      <c r="BY58" s="39">
        <f ca="1">SUMPRODUCT(OFFSET(tShpCnHStd,0,13,1,21),N(OFFSET(tpSurvCnH,0,60-OFFSET(_i,0,0,1,21),1,1)))</f>
        <v>47.044268923622383</v>
      </c>
      <c r="BZ58" s="39">
        <f ca="1">SUMPRODUCT(OFFSET(tShpCnHStd,0,14,1,20),N(OFFSET(tpSurvCnH,0,60-OFFSET(_i,0,0,1,20),1,1)))</f>
        <v>41.566931933698264</v>
      </c>
      <c r="CA58" s="39">
        <f ca="1">SUMPRODUCT(OFFSET(tShpCnHStd,0,15,1,19),N(OFFSET(tpSurvCnH,0,60-OFFSET(_i,0,0,1,19),1,1)))</f>
        <v>36.550171922625829</v>
      </c>
      <c r="CB58" s="39">
        <f ca="1">SUMPRODUCT(OFFSET(tShpCnHStd,0,16,1,18),N(OFFSET(tpSurvCnH,0,60-OFFSET(_i,0,0,1,18),1,1)))</f>
        <v>31.984587641480694</v>
      </c>
      <c r="CC58" s="39">
        <f ca="1">SUMPRODUCT(OFFSET(tShpCnHStd,0,17,1,17),N(OFFSET(tpSurvCnH,0,60-OFFSET(_i,0,0,1,17),1,1)))</f>
        <v>27.864536843226482</v>
      </c>
      <c r="CD58" s="39">
        <f ca="1">SUMPRODUCT(OFFSET(tShpCnHStd,0,18,1,16),N(OFFSET(tpSurvCnH,0,60-OFFSET(_i,0,0,1,16),1,1)))</f>
        <v>24.091967139190885</v>
      </c>
      <c r="CE58" s="39">
        <f ca="1">SUMPRODUCT(OFFSET(tShpCnHStd,0,19,1,15),N(OFFSET(tpSurvCnH,0,60-OFFSET(_i,0,0,1,15),1,1)))</f>
        <v>20.615880633993783</v>
      </c>
      <c r="CF58" s="39">
        <f ca="1">SUMPRODUCT(OFFSET(tShpCnHStd,0,20,1,14),N(OFFSET(tpSurvCnH,0,60-OFFSET(_i,0,0,1,14),1,1)))</f>
        <v>17.449516759776802</v>
      </c>
      <c r="CG58" s="39">
        <f ca="1">SUMPRODUCT(OFFSET(tShpCnHStd,0,21,1,13),N(OFFSET(tpSurvCnH,0,60-OFFSET(_i,0,0,1,13),1,1)))</f>
        <v>14.619106142311331</v>
      </c>
      <c r="CH58" s="39">
        <f ca="1">SUMPRODUCT(OFFSET(tShpCnHStd,0,22,1,12),N(OFFSET(tpSurvCnH,0,60-OFFSET(_i,0,0,1,12),1,1)))</f>
        <v>12.177046613342066</v>
      </c>
      <c r="CI58" s="39">
        <f ca="1">SUMPRODUCT(OFFSET(tShpCnHStd,0,23,1,11),N(OFFSET(tpSurvCnH,0,60-OFFSET(_i,0,0,1,11),1,1)))</f>
        <v>9.9827312715972223</v>
      </c>
      <c r="CJ58" s="39">
        <f ca="1">SUMPRODUCT(OFFSET(tShpCnHStd,0,24,1,10),N(OFFSET(tpSurvCnH,0,60-OFFSET(_i,0,0,1,10),1,1)))</f>
        <v>8.0243148443136665</v>
      </c>
      <c r="CK58" s="39">
        <f ca="1">SUMPRODUCT(OFFSET(tShpCnHStd,0,25,1,9),N(OFFSET(tpSurvCnH,0,60-OFFSET(_i,0,0,1,9),1,1)))</f>
        <v>6.3157275058265547</v>
      </c>
      <c r="CL58" s="39">
        <f ca="1">SUMPRODUCT(OFFSET(tShpCnHStd,0,26,1,8),N(OFFSET(tpSurvCnH,0,60-OFFSET(_i,0,0,1,8),1,1)))</f>
        <v>4.8451306497008062</v>
      </c>
      <c r="CM58" s="39">
        <f ca="1">SUMPRODUCT(OFFSET(tShpCnHStd,0,27,1,7),N(OFFSET(tpSurvCnH,0,60-OFFSET(_i,0,0,1,7),1,1)))</f>
        <v>3.6135454049355111</v>
      </c>
      <c r="CN58" s="39">
        <f ca="1">SUMPRODUCT(OFFSET(tShpCnHStd,0,28,1,6),N(OFFSET(tpSurvCnH,0,60-OFFSET(_i,0,0,1,6),1,1)))</f>
        <v>2.5574287136764702</v>
      </c>
      <c r="CO58" s="39">
        <f ca="1">SUMPRODUCT(OFFSET(tShpCnHStd,0,29,1,5),N(OFFSET(tpSurvCnH,0,60-OFFSET(_i,0,0,1,5),1,1)))</f>
        <v>1.6904400465203495</v>
      </c>
      <c r="CP58" s="39">
        <f ca="1">SUMPRODUCT(OFFSET(tShpCnHStd,0,30,1,4),N(OFFSET(tpSurvCnH,0,60-OFFSET(_i,0,0,1,4),1,1)))</f>
        <v>0.97464928975475706</v>
      </c>
      <c r="CQ58" s="39">
        <f ca="1">SUMPRODUCT(OFFSET(tShpCnHStd,0,31,1,3),N(OFFSET(tpSurvCnH,0,60-OFFSET(_i,0,0,1,3),1,1)))</f>
        <v>0.44944675198031186</v>
      </c>
      <c r="CR58" s="39">
        <f ca="1">SUMPRODUCT(OFFSET(tShpCnHStd,0,32,1,2),N(OFFSET(tpSurvCnH,0,60-OFFSET(_i,0,0,1,2),1,1)))</f>
        <v>0.12857224350956389</v>
      </c>
      <c r="CS58" s="40">
        <f ca="1">SUMPRODUCT(N(OFFSET(tShpCnHStd,0,33,1,1)),N(OFFSET(tpSurvCnH,0,60-OFFSET(_i,0,0,1,1),1,1)))</f>
        <v>0</v>
      </c>
      <c r="CT58" s="10"/>
    </row>
    <row r="59" spans="2:98" ht="15">
      <c r="B59" s="10"/>
      <c r="C59" s="28" t="str">
        <f>INDEX(_pcName,4)</f>
        <v>Centrif Unhous</v>
      </c>
      <c r="D59" s="12" t="str">
        <f t="shared" si="6"/>
        <v>th units</v>
      </c>
      <c r="E59" s="39">
        <f ca="1">SUMPRODUCT(N(OFFSET(tShpCnUStd,0,0,1,1)),N(OFFSET(tpSurvCnU,0,1-OFFSET(_i,0,0,1,1),1,1)))</f>
        <v>137.61391625731923</v>
      </c>
      <c r="F59" s="39">
        <f ca="1">SUMPRODUCT(OFFSET(tShpCnUStd,0,0,1,2),N(OFFSET(tpSurvCnU,0,2-OFFSET(_i,0,0,1,2),1,1)))</f>
        <v>275.49226251286905</v>
      </c>
      <c r="G59" s="39">
        <f ca="1">SUMPRODUCT(OFFSET(tShpCnUStd,0,0,1,3),N(OFFSET(tpSurvCnU,0,3-OFFSET(_i,0,0,1,3),1,1)))</f>
        <v>413.27919291663079</v>
      </c>
      <c r="H59" s="39">
        <f ca="1">SUMPRODUCT(OFFSET(tShpCnUStd,0,0,1,4),N(OFFSET(tpSurvCnU,0,4-OFFSET(_i,0,0,1,4),1,1)))</f>
        <v>550.43589556543293</v>
      </c>
      <c r="I59" s="39">
        <f ca="1">SUMPRODUCT(OFFSET(tShpCnUStd,0,0,1,5),N(OFFSET(tpSurvCnU,0,5-OFFSET(_i,0,0,1,5),1,1)))</f>
        <v>686.16207318924046</v>
      </c>
      <c r="J59" s="39">
        <f ca="1">SUMPRODUCT(OFFSET(tShpCnUStd,0,0,1,6),N(OFFSET(tpSurvCnU,0,6-OFFSET(_i,0,0,1,6),1,1)))</f>
        <v>814.72321795906203</v>
      </c>
      <c r="K59" s="39">
        <f ca="1">SUMPRODUCT(OFFSET(tShpCnUStd,0,0,1,7),N(OFFSET(tpSurvCnU,0,7-OFFSET(_i,0,0,1,7),1,1)))</f>
        <v>940.35162240329919</v>
      </c>
      <c r="L59" s="39">
        <f ca="1">SUMPRODUCT(OFFSET(tShpCnUStd,0,0,1,8),N(OFFSET(tpSurvCnU,0,8-OFFSET(_i,0,0,1,8),1,1)))</f>
        <v>1062.0067724296082</v>
      </c>
      <c r="M59" s="39">
        <f ca="1">SUMPRODUCT(OFFSET(tShpCnUStd,0,0,1,9),N(OFFSET(tpSurvCnU,0,9-OFFSET(_i,0,0,1,9),1,1)))</f>
        <v>1178.7005826948516</v>
      </c>
      <c r="N59" s="39">
        <f ca="1">SUMPRODUCT(OFFSET(tShpCnUStd,0,0,1,10),N(OFFSET(tpSurvCnU,0,10-OFFSET(_i,0,0,1,10),1,1)))</f>
        <v>1289.9715721374982</v>
      </c>
      <c r="O59" s="39">
        <f ca="1">SUMPRODUCT(OFFSET(tShpCnUStd,0,0,1,11),N(OFFSET(tpSurvCnU,0,11-OFFSET(_i,0,0,1,11),1,1)))</f>
        <v>1395.5284336673817</v>
      </c>
      <c r="P59" s="39">
        <f ca="1">SUMPRODUCT(OFFSET(tShpCnUStd,0,0,1,12),N(OFFSET(tpSurvCnU,0,12-OFFSET(_i,0,0,1,12),1,1)))</f>
        <v>1494.8450539281371</v>
      </c>
      <c r="Q59" s="39">
        <f ca="1">SUMPRODUCT(OFFSET(tShpCnUStd,0,0,1,13),N(OFFSET(tpSurvCnU,0,13-OFFSET(_i,0,0,1,13),1,1)))</f>
        <v>1587.5245514259441</v>
      </c>
      <c r="R59" s="39">
        <f ca="1">SUMPRODUCT(OFFSET(tShpCnUStd,0,0,1,14),N(OFFSET(tpSurvCnU,0,14-OFFSET(_i,0,0,1,14),1,1)))</f>
        <v>1678.6460812446578</v>
      </c>
      <c r="S59" s="39">
        <f ca="1">SUMPRODUCT(OFFSET(tShpCnUStd,0,0,1,15),N(OFFSET(tpSurvCnU,0,15-OFFSET(_i,0,0,1,15),1,1)))</f>
        <v>1767.9215807968262</v>
      </c>
      <c r="T59" s="39">
        <f ca="1">SUMPRODUCT(OFFSET(tShpCnUStd,0,0,1,16),N(OFFSET(tpSurvCnU,0,16-OFFSET(_i,0,0,1,16),1,1)))</f>
        <v>1850.6234921099549</v>
      </c>
      <c r="U59" s="39">
        <f ca="1">SUMPRODUCT(OFFSET(tShpCnUStd,0,0,1,17),N(OFFSET(tpSurvCnU,0,17-OFFSET(_i,0,0,1,17),1,1)))</f>
        <v>1931.9436430436749</v>
      </c>
      <c r="V59" s="39">
        <f ca="1">SUMPRODUCT(OFFSET(tShpCnUStd,0,0,1,18),N(OFFSET(tpSurvCnU,0,18-OFFSET(_i,0,0,1,18),1,1)))</f>
        <v>2011.7857837192505</v>
      </c>
      <c r="W59" s="39">
        <f ca="1">SUMPRODUCT(OFFSET(tShpCnUStd,0,0,1,19),N(OFFSET(tpSurvCnU,0,19-OFFSET(_i,0,0,1,19),1,1)))</f>
        <v>2085.5611874705201</v>
      </c>
      <c r="X59" s="39">
        <f ca="1">SUMPRODUCT(OFFSET(tShpCnUStd,0,0,1,20),N(OFFSET(tpSurvCnU,0,20-OFFSET(_i,0,0,1,20),1,1)))</f>
        <v>2153.4899881674696</v>
      </c>
      <c r="Y59" s="39">
        <f ca="1">SUMPRODUCT(OFFSET(tShpCnUStd,0,0,1,21),N(OFFSET(tpSurvCnU,0,21-OFFSET(_i,0,0,1,21),1,1)))</f>
        <v>2215.5030547366073</v>
      </c>
      <c r="Z59" s="39">
        <f ca="1">SUMPRODUCT(OFFSET(tShpCnUStd,0,0,1,22),N(OFFSET(tpSurvCnU,0,22-OFFSET(_i,0,0,1,22),1,1)))</f>
        <v>2271.6903213384576</v>
      </c>
      <c r="AA59" s="39">
        <f ca="1">SUMPRODUCT(OFFSET(tShpCnUStd,0,0,1,23),N(OFFSET(tpSurvCnU,0,23-OFFSET(_i,0,0,1,23),1,1)))</f>
        <v>2322.6153656132815</v>
      </c>
      <c r="AB59" s="39">
        <f ca="1">SUMPRODUCT(OFFSET(tShpCnUStd,0,0,1,24),N(OFFSET(tpSurvCnU,0,24-OFFSET(_i,0,0,1,24),1,1)))</f>
        <v>2369.0476160607059</v>
      </c>
      <c r="AC59" s="39">
        <f ca="1">SUMPRODUCT(OFFSET(tShpCnUStd,0,0,1,25),N(OFFSET(tpSurvCnU,0,25-OFFSET(_i,0,0,1,25),1,1)))</f>
        <v>2411.3209020191707</v>
      </c>
      <c r="AD59" s="39">
        <f ca="1">SUMPRODUCT(OFFSET(tShpCnUStd,0,0,1,26),N(OFFSET(tpSurvCnU,0,26-OFFSET(_i,0,0,1,26),1,1)))</f>
        <v>2449.3322141388126</v>
      </c>
      <c r="AE59" s="39">
        <f ca="1">SUMPRODUCT(OFFSET(tShpCnUStd,0,0,1,27),N(OFFSET(tpSurvCnU,0,27-OFFSET(_i,0,0,1,27),1,1)))</f>
        <v>2483.6845474546699</v>
      </c>
      <c r="AF59" s="39">
        <f ca="1">SUMPRODUCT(OFFSET(tShpCnUStd,0,0,1,28),N(OFFSET(tpSurvCnU,0,28-OFFSET(_i,0,0,1,28),1,1)))</f>
        <v>2514.4961576197629</v>
      </c>
      <c r="AG59" s="39">
        <f ca="1">SUMPRODUCT(OFFSET(tShpCnUStd,0,0,1,29),N(OFFSET(tpSurvCnU,0,29-OFFSET(_i,0,0,1,29),1,1)))</f>
        <v>2541.8554800727388</v>
      </c>
      <c r="AH59" s="39">
        <f ca="1">SUMPRODUCT(OFFSET(tShpCnUStd,0,0,1,30),N(OFFSET(tpSurvCnU,0,30-OFFSET(_i,0,0,1,30),1,1)))</f>
        <v>2566.0799062117444</v>
      </c>
      <c r="AI59" s="39">
        <f ca="1">SUMPRODUCT(OFFSET(tShpCnUStd,0,0,1,31),N(OFFSET(tpSurvCnU,0,31-OFFSET(_i,0,0,1,31),1,1)))</f>
        <v>2589.3756010349416</v>
      </c>
      <c r="AJ59" s="39">
        <f ca="1">SUMPRODUCT(OFFSET(tShpCnUStd,0,0,1,32),N(OFFSET(tpSurvCnU,0,32-OFFSET(_i,0,0,1,32),1,1)))</f>
        <v>2611.8930361234311</v>
      </c>
      <c r="AK59" s="39">
        <f ca="1">SUMPRODUCT(OFFSET(tShpCnUStd,0,0,1,33),N(OFFSET(tpSurvCnU,0,33-OFFSET(_i,0,0,1,33),1,1)))</f>
        <v>2633.6845967160007</v>
      </c>
      <c r="AL59" s="39">
        <f ca="1">SUMPRODUCT(OFFSET(tShpCnUStd,0,0,1,34),N(OFFSET(tpSurvCnU,0,34-OFFSET(_i,0,0,1,34),1,1)))</f>
        <v>2654.7127039240195</v>
      </c>
      <c r="AM59" s="39">
        <f ca="1">SUMPRODUCT(OFFSET(tShpCnUStd,0,0,1,34),N(OFFSET(tpSurvCnU,0,35-OFFSET(_i,0,0,1,34),1,1)))</f>
        <v>2516.078434558372</v>
      </c>
      <c r="AN59" s="39">
        <f ca="1">SUMPRODUCT(OFFSET(tShpCnUStd,0,0,1,34),N(OFFSET(tpSurvCnU,0,36-OFFSET(_i,0,0,1,34),1,1)))</f>
        <v>2376.0941751299233</v>
      </c>
      <c r="AO59" s="39">
        <f ca="1">SUMPRODUCT(OFFSET(tShpCnUStd,0,0,1,34),N(OFFSET(tpSurvCnU,0,37-OFFSET(_i,0,0,1,34),1,1)))</f>
        <v>2234.7875172896556</v>
      </c>
      <c r="AP59" s="39">
        <f ca="1">SUMPRODUCT(OFFSET(tShpCnUStd,0,0,1,34),N(OFFSET(tpSurvCnU,0,38-OFFSET(_i,0,0,1,34),1,1)))</f>
        <v>2092.7342979984974</v>
      </c>
      <c r="AQ59" s="39">
        <f ca="1">SUMPRODUCT(OFFSET(tShpCnUStd,0,0,1,34),N(OFFSET(tpSurvCnU,0,39-OFFSET(_i,0,0,1,34),1,1)))</f>
        <v>1951.02677147591</v>
      </c>
      <c r="AR59" s="39">
        <f ca="1">SUMPRODUCT(OFFSET(tShpCnUStd,0,0,1,34),N(OFFSET(tpSurvCnU,0,40-OFFSET(_i,0,0,1,34),1,1)))</f>
        <v>1810.4692302863041</v>
      </c>
      <c r="AS59" s="39">
        <f ca="1">SUMPRODUCT(OFFSET(tShpCnUStd,0,0,1,34),N(OFFSET(tpSurvCnU,0,41-OFFSET(_i,0,0,1,34),1,1)))</f>
        <v>1672.0650888828611</v>
      </c>
      <c r="AT59" s="39">
        <f ca="1">SUMPRODUCT(OFFSET(tShpCnUStd,0,0,1,34),N(OFFSET(tpSurvCnU,0,42-OFFSET(_i,0,0,1,34),1,1)))</f>
        <v>1536.9480903493511</v>
      </c>
      <c r="AU59" s="39">
        <f ca="1">SUMPRODUCT(OFFSET(tShpCnUStd,0,0,1,34),N(OFFSET(tpSurvCnU,0,43-OFFSET(_i,0,0,1,34),1,1)))</f>
        <v>1406.2433942834732</v>
      </c>
      <c r="AV59" s="39">
        <f ca="1">SUMPRODUCT(OFFSET(tShpCnUStd,0,0,1,34),N(OFFSET(tpSurvCnU,0,44-OFFSET(_i,0,0,1,34),1,1)))</f>
        <v>1280.5346181906275</v>
      </c>
      <c r="AW59" s="39">
        <f ca="1">SUMPRODUCT(OFFSET(tShpCnUStd,0,0,1,34),N(OFFSET(tpSurvCnU,0,45-OFFSET(_i,0,0,1,34),1,1)))</f>
        <v>1160.3216466211752</v>
      </c>
      <c r="AX59" s="39">
        <f ca="1">SUMPRODUCT(OFFSET(tShpCnUStd,0,0,1,34),N(OFFSET(tpSurvCnU,0,46-OFFSET(_i,0,0,1,34),1,1)))</f>
        <v>1046.4059318356365</v>
      </c>
      <c r="AY59" s="39">
        <f ca="1">SUMPRODUCT(OFFSET(tShpCnUStd,0,0,1,34),N(OFFSET(tpSurvCnU,0,47-OFFSET(_i,0,0,1,34),1,1)))</f>
        <v>939.44862772615102</v>
      </c>
      <c r="AZ59" s="39">
        <f ca="1">SUMPRODUCT(OFFSET(tShpCnUStd,0,0,1,34),N(OFFSET(tpSurvCnU,0,48-OFFSET(_i,0,0,1,34),1,1)))</f>
        <v>839.26920722446789</v>
      </c>
      <c r="BA59" s="39">
        <f ca="1">SUMPRODUCT(OFFSET(tShpCnUStd,0,0,1,34),N(OFFSET(tpSurvCnU,0,49-OFFSET(_i,0,0,1,34),1,1)))</f>
        <v>746.49529044141377</v>
      </c>
      <c r="BB59" s="39">
        <f ca="1">SUMPRODUCT(OFFSET(tShpCnUStd,0,0,1,34),N(OFFSET(tpSurvCnU,0,50-OFFSET(_i,0,0,1,34),1,1)))</f>
        <v>660.85573869585539</v>
      </c>
      <c r="BC59" s="39">
        <f ca="1">SUMPRODUCT(OFFSET(tShpCnUStd,0,0,1,34),N(OFFSET(tpSurvCnU,0,51-OFFSET(_i,0,0,1,34),1,1)))</f>
        <v>582.18508700497364</v>
      </c>
      <c r="BD59" s="39">
        <f ca="1">SUMPRODUCT(OFFSET(tShpCnUStd,0,0,1,34),N(OFFSET(tpSurvCnU,0,52-OFFSET(_i,0,0,1,34),1,1)))</f>
        <v>510.73793380630042</v>
      </c>
      <c r="BE59" s="39">
        <f ca="1">SUMPRODUCT(OFFSET(tShpCnUStd,0,0,1,34),N(OFFSET(tpSurvCnU,0,53-OFFSET(_i,0,0,1,34),1,1)))</f>
        <v>445.87287290252868</v>
      </c>
      <c r="BF59" s="39">
        <f ca="1">SUMPRODUCT(OFFSET(tShpCnUStd,0,0,1,34),N(OFFSET(tpSurvCnU,0,54-OFFSET(_i,0,0,1,34),1,1)))</f>
        <v>387.33803960595048</v>
      </c>
      <c r="BG59" s="39">
        <f ca="1">SUMPRODUCT(OFFSET(tShpCnUStd,0,0,1,34),N(OFFSET(tpSurvCnU,0,55-OFFSET(_i,0,0,1,34),1,1)))</f>
        <v>335.09562166892204</v>
      </c>
      <c r="BH59" s="39">
        <f ca="1">SUMPRODUCT(OFFSET(tShpCnUStd,0,0,1,34),N(OFFSET(tpSurvCnU,0,56-OFFSET(_i,0,0,1,34),1,1)))</f>
        <v>288.96716018964548</v>
      </c>
      <c r="BI59" s="39">
        <f ca="1">SUMPRODUCT(OFFSET(tShpCnUStd,0,0,1,34),N(OFFSET(tpSurvCnU,0,57-OFFSET(_i,0,0,1,34),1,1)))</f>
        <v>248.73252696580673</v>
      </c>
      <c r="BJ59" s="39">
        <f ca="1">SUMPRODUCT(OFFSET(tShpCnUStd,0,0,1,34),N(OFFSET(tpSurvCnU,0,58-OFFSET(_i,0,0,1,34),1,1)))</f>
        <v>213.78126491159048</v>
      </c>
      <c r="BK59" s="39">
        <f ca="1">SUMPRODUCT(OFFSET(tShpCnUStd,0,0,1,34),N(OFFSET(tpSurvCnU,0,59-OFFSET(_i,0,0,1,34),1,1)))</f>
        <v>183.59859635405999</v>
      </c>
      <c r="BL59" s="39">
        <f ca="1">SUMPRODUCT(OFFSET(tShpCnUStd,0,0,1,34),N(OFFSET(tpSurvCnU,0,60-OFFSET(_i,0,0,1,34),1,1)))</f>
        <v>158.26464651772329</v>
      </c>
      <c r="BM59" s="39">
        <f ca="1">SUMPRODUCT(OFFSET(tShpCnUStd,0,1,1,33),N(OFFSET(tpSurvCnU,0,60-OFFSET(_i,0,0,1,33),1,1)))</f>
        <v>137.12101198725563</v>
      </c>
      <c r="BN59" s="39">
        <f ca="1">SUMPRODUCT(OFFSET(tShpCnUStd,0,2,1,32),N(OFFSET(tpSurvCnU,0,60-OFFSET(_i,0,0,1,32),1,1)))</f>
        <v>119.97691111931636</v>
      </c>
      <c r="BO59" s="39">
        <f ca="1">SUMPRODUCT(OFFSET(tShpCnUStd,0,3,1,31),N(OFFSET(tpSurvCnU,0,60-OFFSET(_i,0,0,1,31),1,1)))</f>
        <v>106.66322756132492</v>
      </c>
      <c r="BP59" s="39">
        <f ca="1">SUMPRODUCT(OFFSET(tShpCnUStd,0,4,1,30),N(OFFSET(tpSurvCnU,0,60-OFFSET(_i,0,0,1,30),1,1)))</f>
        <v>96.794453336436661</v>
      </c>
      <c r="BQ59" s="39">
        <f ca="1">SUMPRODUCT(OFFSET(tShpCnUStd,0,5,1,29),N(OFFSET(tpSurvCnU,0,60-OFFSET(_i,0,0,1,29),1,1)))</f>
        <v>87.807849705517782</v>
      </c>
      <c r="BR59" s="39">
        <f ca="1">SUMPRODUCT(OFFSET(tShpCnUStd,0,6,1,28),N(OFFSET(tpSurvCnU,0,60-OFFSET(_i,0,0,1,28),1,1)))</f>
        <v>79.503108874736341</v>
      </c>
      <c r="BS59" s="39">
        <f ca="1">SUMPRODUCT(OFFSET(tShpCnUStd,0,7,1,27),N(OFFSET(tpSurvCnU,0,60-OFFSET(_i,0,0,1,27),1,1)))</f>
        <v>71.832073421421896</v>
      </c>
      <c r="BT59" s="39">
        <f ca="1">SUMPRODUCT(OFFSET(tShpCnUStd,0,8,1,26),N(OFFSET(tpSurvCnU,0,60-OFFSET(_i,0,0,1,26),1,1)))</f>
        <v>64.816206237896751</v>
      </c>
      <c r="BU59" s="39">
        <f ca="1">SUMPRODUCT(OFFSET(tShpCnUStd,0,9,1,25),N(OFFSET(tpSurvCnU,0,60-OFFSET(_i,0,0,1,25),1,1)))</f>
        <v>58.348550192676164</v>
      </c>
      <c r="BV59" s="39">
        <f ca="1">SUMPRODUCT(OFFSET(tShpCnUStd,0,10,1,24),N(OFFSET(tpSurvCnU,0,60-OFFSET(_i,0,0,1,24),1,1)))</f>
        <v>52.319272933482537</v>
      </c>
      <c r="BW59" s="39">
        <f ca="1">SUMPRODUCT(OFFSET(tShpCnUStd,0,11,1,23),N(OFFSET(tpSurvCnU,0,60-OFFSET(_i,0,0,1,23),1,1)))</f>
        <v>46.716529220096952</v>
      </c>
      <c r="BX59" s="39">
        <f ca="1">SUMPRODUCT(OFFSET(tShpCnUStd,0,12,1,22),N(OFFSET(tpSurvCnU,0,60-OFFSET(_i,0,0,1,22),1,1)))</f>
        <v>41.52520830423915</v>
      </c>
      <c r="BY59" s="39">
        <f ca="1">SUMPRODUCT(OFFSET(tShpCnUStd,0,13,1,21),N(OFFSET(tpSurvCnU,0,60-OFFSET(_i,0,0,1,21),1,1)))</f>
        <v>36.747386945877182</v>
      </c>
      <c r="BZ59" s="39">
        <f ca="1">SUMPRODUCT(OFFSET(tShpCnUStd,0,14,1,20),N(OFFSET(tpSurvCnU,0,60-OFFSET(_i,0,0,1,20),1,1)))</f>
        <v>32.342215338269391</v>
      </c>
      <c r="CA59" s="39">
        <f ca="1">SUMPRODUCT(OFFSET(tShpCnUStd,0,15,1,19),N(OFFSET(tpSurvCnU,0,60-OFFSET(_i,0,0,1,19),1,1)))</f>
        <v>28.297089380466378</v>
      </c>
      <c r="CB59" s="39">
        <f ca="1">SUMPRODUCT(OFFSET(tShpCnUStd,0,16,1,18),N(OFFSET(tpSurvCnU,0,60-OFFSET(_i,0,0,1,18),1,1)))</f>
        <v>24.597349272102775</v>
      </c>
      <c r="CC59" s="39">
        <f ca="1">SUMPRODUCT(OFFSET(tShpCnUStd,0,17,1,17),N(OFFSET(tpSurvCnU,0,60-OFFSET(_i,0,0,1,17),1,1)))</f>
        <v>21.263705163279383</v>
      </c>
      <c r="CD59" s="39">
        <f ca="1">SUMPRODUCT(OFFSET(tShpCnUStd,0,18,1,16),N(OFFSET(tpSurvCnU,0,60-OFFSET(_i,0,0,1,16),1,1)))</f>
        <v>18.251850308067912</v>
      </c>
      <c r="CE59" s="39">
        <f ca="1">SUMPRODUCT(OFFSET(tShpCnUStd,0,19,1,15),N(OFFSET(tpSurvCnU,0,60-OFFSET(_i,0,0,1,15),1,1)))</f>
        <v>15.514827302828843</v>
      </c>
      <c r="CF59" s="39">
        <f ca="1">SUMPRODUCT(OFFSET(tShpCnUStd,0,20,1,14),N(OFFSET(tpSurvCnU,0,60-OFFSET(_i,0,0,1,14),1,1)))</f>
        <v>13.037403912375305</v>
      </c>
      <c r="CG59" s="39">
        <f ca="1">SUMPRODUCT(OFFSET(tShpCnUStd,0,21,1,13),N(OFFSET(tpSurvCnU,0,60-OFFSET(_i,0,0,1,13),1,1)))</f>
        <v>10.740673544378648</v>
      </c>
      <c r="CH59" s="39">
        <f ca="1">SUMPRODUCT(OFFSET(tShpCnUStd,0,22,1,12),N(OFFSET(tpSurvCnU,0,60-OFFSET(_i,0,0,1,12),1,1)))</f>
        <v>8.7839397602823048</v>
      </c>
      <c r="CI59" s="39">
        <f ca="1">SUMPRODUCT(OFFSET(tShpCnUStd,0,23,1,11),N(OFFSET(tpSurvCnU,0,60-OFFSET(_i,0,0,1,11),1,1)))</f>
        <v>7.0572394005266723</v>
      </c>
      <c r="CJ59" s="39">
        <f ca="1">SUMPRODUCT(OFFSET(tShpCnUStd,0,24,1,10),N(OFFSET(tpSurvCnU,0,60-OFFSET(_i,0,0,1,10),1,1)))</f>
        <v>5.5456651917588236</v>
      </c>
      <c r="CK59" s="39">
        <f ca="1">SUMPRODUCT(OFFSET(tShpCnUStd,0,25,1,9),N(OFFSET(tpSurvCnU,0,60-OFFSET(_i,0,0,1,9),1,1)))</f>
        <v>4.3137333611566611</v>
      </c>
      <c r="CL59" s="39">
        <f ca="1">SUMPRODUCT(OFFSET(tShpCnUStd,0,26,1,8),N(OFFSET(tpSurvCnU,0,60-OFFSET(_i,0,0,1,8),1,1)))</f>
        <v>3.2195695964356981</v>
      </c>
      <c r="CM59" s="39">
        <f ca="1">SUMPRODUCT(OFFSET(tShpCnUStd,0,27,1,7),N(OFFSET(tpSurvCnU,0,60-OFFSET(_i,0,0,1,7),1,1)))</f>
        <v>2.3273525394897336</v>
      </c>
      <c r="CN59" s="39">
        <f ca="1">SUMPRODUCT(OFFSET(tShpCnUStd,0,28,1,6),N(OFFSET(tpSurvCnU,0,60-OFFSET(_i,0,0,1,6),1,1)))</f>
        <v>1.5902571764929141</v>
      </c>
      <c r="CO59" s="39">
        <f ca="1">SUMPRODUCT(OFFSET(tShpCnUStd,0,29,1,5),N(OFFSET(tpSurvCnU,0,60-OFFSET(_i,0,0,1,5),1,1)))</f>
        <v>1.0089481523377997</v>
      </c>
      <c r="CP59" s="39">
        <f ca="1">SUMPRODUCT(OFFSET(tShpCnUStd,0,30,1,4),N(OFFSET(tpSurvCnU,0,60-OFFSET(_i,0,0,1,4),1,1)))</f>
        <v>0.58409444547746425</v>
      </c>
      <c r="CQ59" s="39">
        <f ca="1">SUMPRODUCT(OFFSET(tShpCnUStd,0,31,1,3),N(OFFSET(tpSurvCnU,0,60-OFFSET(_i,0,0,1,3),1,1)))</f>
        <v>0.28457697868068094</v>
      </c>
      <c r="CR59" s="39">
        <f ca="1">SUMPRODUCT(OFFSET(tShpCnUStd,0,32,1,2),N(OFFSET(tpSurvCnU,0,60-OFFSET(_i,0,0,1,2),1,1)))</f>
        <v>7.9144248099502615E-2</v>
      </c>
      <c r="CS59" s="40">
        <f ca="1">SUMPRODUCT(N(OFFSET(tShpCnUStd,0,33,1,1)),N(OFFSET(tpSurvCnU,0,60-OFFSET(_i,0,0,1,1),1,1)))</f>
        <v>0</v>
      </c>
      <c r="CT59" s="10"/>
    </row>
    <row r="60" spans="2:98" ht="15">
      <c r="B60" s="10"/>
      <c r="C60" s="28" t="str">
        <f>INDEX(_pcName,5)</f>
        <v>Inline-Mixed</v>
      </c>
      <c r="D60" s="12" t="str">
        <f t="shared" si="6"/>
        <v>th units</v>
      </c>
      <c r="E60" s="39">
        <f ca="1">SUMPRODUCT(N(OFFSET(tShpInMxStd,0,0,1,1)),N(OFFSET(tpSurvInMx,0,1-OFFSET(_i,0,0,1,1),1,1)))</f>
        <v>33.788668735799874</v>
      </c>
      <c r="F60" s="39">
        <f ca="1">SUMPRODUCT(OFFSET(tShpInMxStd,0,0,1,2),N(OFFSET(tpSurvInMx,0,2-OFFSET(_i,0,0,1,2),1,1)))</f>
        <v>67.642263591406675</v>
      </c>
      <c r="G60" s="39">
        <f ca="1">SUMPRODUCT(OFFSET(tShpInMxStd,0,0,1,3),N(OFFSET(tpSurvInMx,0,3-OFFSET(_i,0,0,1,3),1,1)))</f>
        <v>101.47679176464845</v>
      </c>
      <c r="H60" s="39">
        <f ca="1">SUMPRODUCT(OFFSET(tShpInMxStd,0,0,1,4),N(OFFSET(tpSurvInMx,0,4-OFFSET(_i,0,0,1,4),1,1)))</f>
        <v>135.27822433402207</v>
      </c>
      <c r="I60" s="39">
        <f ca="1">SUMPRODUCT(OFFSET(tShpInMxStd,0,0,1,5),N(OFFSET(tpSurvInMx,0,5-OFFSET(_i,0,0,1,5),1,1)))</f>
        <v>169.08342957632809</v>
      </c>
      <c r="J60" s="39">
        <f ca="1">SUMPRODUCT(OFFSET(tShpInMxStd,0,0,1,6),N(OFFSET(tpSurvInMx,0,6-OFFSET(_i,0,0,1,6),1,1)))</f>
        <v>201.57600764089852</v>
      </c>
      <c r="K60" s="39">
        <f ca="1">SUMPRODUCT(OFFSET(tShpInMxStd,0,0,1,7),N(OFFSET(tpSurvInMx,0,7-OFFSET(_i,0,0,1,7),1,1)))</f>
        <v>233.91331189666238</v>
      </c>
      <c r="L60" s="39">
        <f ca="1">SUMPRODUCT(OFFSET(tShpInMxStd,0,0,1,8),N(OFFSET(tpSurvInMx,0,8-OFFSET(_i,0,0,1,8),1,1)))</f>
        <v>265.9782321125536</v>
      </c>
      <c r="M60" s="39">
        <f ca="1">SUMPRODUCT(OFFSET(tShpInMxStd,0,0,1,9),N(OFFSET(tpSurvInMx,0,9-OFFSET(_i,0,0,1,9),1,1)))</f>
        <v>297.57800139185025</v>
      </c>
      <c r="N60" s="39">
        <f ca="1">SUMPRODUCT(OFFSET(tShpInMxStd,0,0,1,10),N(OFFSET(tpSurvInMx,0,10-OFFSET(_i,0,0,1,10),1,1)))</f>
        <v>328.57035417656641</v>
      </c>
      <c r="O60" s="39">
        <f ca="1">SUMPRODUCT(OFFSET(tShpInMxStd,0,0,1,11),N(OFFSET(tpSurvInMx,0,11-OFFSET(_i,0,0,1,11),1,1)))</f>
        <v>358.88348851718979</v>
      </c>
      <c r="P60" s="39">
        <f ca="1">SUMPRODUCT(OFFSET(tShpInMxStd,0,0,1,12),N(OFFSET(tpSurvInMx,0,12-OFFSET(_i,0,0,1,12),1,1)))</f>
        <v>388.40046343334677</v>
      </c>
      <c r="Q60" s="39">
        <f ca="1">SUMPRODUCT(OFFSET(tShpInMxStd,0,0,1,13),N(OFFSET(tpSurvInMx,0,13-OFFSET(_i,0,0,1,13),1,1)))</f>
        <v>417.09597748949795</v>
      </c>
      <c r="R60" s="39">
        <f ca="1">SUMPRODUCT(OFFSET(tShpInMxStd,0,0,1,14),N(OFFSET(tpSurvInMx,0,14-OFFSET(_i,0,0,1,14),1,1)))</f>
        <v>446.1232056430909</v>
      </c>
      <c r="S60" s="39">
        <f ca="1">SUMPRODUCT(OFFSET(tShpInMxStd,0,0,1,15),N(OFFSET(tpSurvInMx,0,15-OFFSET(_i,0,0,1,15),1,1)))</f>
        <v>475.28258645185667</v>
      </c>
      <c r="T60" s="39">
        <f ca="1">SUMPRODUCT(OFFSET(tShpInMxStd,0,0,1,16),N(OFFSET(tpSurvInMx,0,16-OFFSET(_i,0,0,1,16),1,1)))</f>
        <v>503.32764904292389</v>
      </c>
      <c r="U60" s="39">
        <f ca="1">SUMPRODUCT(OFFSET(tShpInMxStd,0,0,1,17),N(OFFSET(tpSurvInMx,0,17-OFFSET(_i,0,0,1,17),1,1)))</f>
        <v>531.58654022963378</v>
      </c>
      <c r="V60" s="39">
        <f ca="1">SUMPRODUCT(OFFSET(tShpInMxStd,0,0,1,18),N(OFFSET(tpSurvInMx,0,18-OFFSET(_i,0,0,1,18),1,1)))</f>
        <v>559.95008964671513</v>
      </c>
      <c r="W60" s="39">
        <f ca="1">SUMPRODUCT(OFFSET(tShpInMxStd,0,0,1,19),N(OFFSET(tpSurvInMx,0,19-OFFSET(_i,0,0,1,19),1,1)))</f>
        <v>587.13359116728816</v>
      </c>
      <c r="X60" s="39">
        <f ca="1">SUMPRODUCT(OFFSET(tShpInMxStd,0,0,1,20),N(OFFSET(tpSurvInMx,0,20-OFFSET(_i,0,0,1,20),1,1)))</f>
        <v>613.15268172320032</v>
      </c>
      <c r="Y60" s="39">
        <f ca="1">SUMPRODUCT(OFFSET(tShpInMxStd,0,0,1,21),N(OFFSET(tpSurvInMx,0,21-OFFSET(_i,0,0,1,21),1,1)))</f>
        <v>638.10968998931924</v>
      </c>
      <c r="Z60" s="39">
        <f ca="1">SUMPRODUCT(OFFSET(tShpInMxStd,0,0,1,22),N(OFFSET(tpSurvInMx,0,22-OFFSET(_i,0,0,1,22),1,1)))</f>
        <v>661.99286168579306</v>
      </c>
      <c r="AA60" s="39">
        <f ca="1">SUMPRODUCT(OFFSET(tShpInMxStd,0,0,1,23),N(OFFSET(tpSurvInMx,0,23-OFFSET(_i,0,0,1,23),1,1)))</f>
        <v>684.77007091446558</v>
      </c>
      <c r="AB60" s="39">
        <f ca="1">SUMPRODUCT(OFFSET(tShpInMxStd,0,0,1,24),N(OFFSET(tpSurvInMx,0,24-OFFSET(_i,0,0,1,24),1,1)))</f>
        <v>706.60426796992613</v>
      </c>
      <c r="AC60" s="39">
        <f ca="1">SUMPRODUCT(OFFSET(tShpInMxStd,0,0,1,25),N(OFFSET(tpSurvInMx,0,25-OFFSET(_i,0,0,1,25),1,1)))</f>
        <v>727.38450461591401</v>
      </c>
      <c r="AD60" s="39">
        <f ca="1">SUMPRODUCT(OFFSET(tShpInMxStd,0,0,1,26),N(OFFSET(tpSurvInMx,0,26-OFFSET(_i,0,0,1,26),1,1)))</f>
        <v>747.20505657845422</v>
      </c>
      <c r="AE60" s="39">
        <f ca="1">SUMPRODUCT(OFFSET(tShpInMxStd,0,0,1,27),N(OFFSET(tpSurvInMx,0,27-OFFSET(_i,0,0,1,27),1,1)))</f>
        <v>766.08483391073082</v>
      </c>
      <c r="AF60" s="39">
        <f ca="1">SUMPRODUCT(OFFSET(tShpInMxStd,0,0,1,28),N(OFFSET(tpSurvInMx,0,28-OFFSET(_i,0,0,1,28),1,1)))</f>
        <v>783.99727254715992</v>
      </c>
      <c r="AG60" s="39">
        <f ca="1">SUMPRODUCT(OFFSET(tShpInMxStd,0,0,1,29),N(OFFSET(tpSurvInMx,0,29-OFFSET(_i,0,0,1,29),1,1)))</f>
        <v>800.93374951061048</v>
      </c>
      <c r="AH60" s="39">
        <f ca="1">SUMPRODUCT(OFFSET(tShpInMxStd,0,0,1,30),N(OFFSET(tpSurvInMx,0,30-OFFSET(_i,0,0,1,30),1,1)))</f>
        <v>816.98495520466167</v>
      </c>
      <c r="AI60" s="39">
        <f ca="1">SUMPRODUCT(OFFSET(tShpInMxStd,0,0,1,31),N(OFFSET(tpSurvInMx,0,31-OFFSET(_i,0,0,1,31),1,1)))</f>
        <v>832.20974208682071</v>
      </c>
      <c r="AJ60" s="39">
        <f ca="1">SUMPRODUCT(OFFSET(tShpInMxStd,0,0,1,32),N(OFFSET(tpSurvInMx,0,32-OFFSET(_i,0,0,1,32),1,1)))</f>
        <v>846.62255334518761</v>
      </c>
      <c r="AK60" s="39">
        <f ca="1">SUMPRODUCT(OFFSET(tShpInMxStd,0,0,1,33),N(OFFSET(tpSurvInMx,0,33-OFFSET(_i,0,0,1,33),1,1)))</f>
        <v>860.35857235638866</v>
      </c>
      <c r="AL60" s="39">
        <f ca="1">SUMPRODUCT(OFFSET(tShpInMxStd,0,0,1,34),N(OFFSET(tpSurvInMx,0,34-OFFSET(_i,0,0,1,34),1,1)))</f>
        <v>873.4114130898414</v>
      </c>
      <c r="AM60" s="39">
        <f ca="1">SUMPRODUCT(OFFSET(tShpInMxStd,0,0,1,34),N(OFFSET(tpSurvInMx,0,35-OFFSET(_i,0,0,1,34),1,1)))</f>
        <v>846.76940340336193</v>
      </c>
      <c r="AN60" s="39">
        <f ca="1">SUMPRODUCT(OFFSET(tShpInMxStd,0,0,1,34),N(OFFSET(tpSurvInMx,0,36-OFFSET(_i,0,0,1,34),1,1)))</f>
        <v>819.29851675555756</v>
      </c>
      <c r="AO60" s="39">
        <f ca="1">SUMPRODUCT(OFFSET(tShpInMxStd,0,0,1,34),N(OFFSET(tpSurvInMx,0,37-OFFSET(_i,0,0,1,34),1,1)))</f>
        <v>791.07070941181769</v>
      </c>
      <c r="AP60" s="39">
        <f ca="1">SUMPRODUCT(OFFSET(tShpInMxStd,0,0,1,34),N(OFFSET(tpSurvInMx,0,38-OFFSET(_i,0,0,1,34),1,1)))</f>
        <v>762.13378644478848</v>
      </c>
      <c r="AQ60" s="39">
        <f ca="1">SUMPRODUCT(OFFSET(tShpInMxStd,0,0,1,34),N(OFFSET(tpSurvInMx,0,39-OFFSET(_i,0,0,1,34),1,1)))</f>
        <v>732.45812125498969</v>
      </c>
      <c r="AR60" s="39">
        <f ca="1">SUMPRODUCT(OFFSET(tShpInMxStd,0,0,1,34),N(OFFSET(tpSurvInMx,0,40-OFFSET(_i,0,0,1,34),1,1)))</f>
        <v>702.20004801856282</v>
      </c>
      <c r="AS60" s="39">
        <f ca="1">SUMPRODUCT(OFFSET(tShpInMxStd,0,0,1,34),N(OFFSET(tpSurvInMx,0,41-OFFSET(_i,0,0,1,34),1,1)))</f>
        <v>671.51584654901319</v>
      </c>
      <c r="AT60" s="39">
        <f ca="1">SUMPRODUCT(OFFSET(tShpInMxStd,0,0,1,34),N(OFFSET(tpSurvInMx,0,42-OFFSET(_i,0,0,1,34),1,1)))</f>
        <v>640.52122609870162</v>
      </c>
      <c r="AU60" s="39">
        <f ca="1">SUMPRODUCT(OFFSET(tShpInMxStd,0,0,1,34),N(OFFSET(tpSurvInMx,0,43-OFFSET(_i,0,0,1,34),1,1)))</f>
        <v>609.44913059504393</v>
      </c>
      <c r="AV60" s="39">
        <f ca="1">SUMPRODUCT(OFFSET(tShpInMxStd,0,0,1,34),N(OFFSET(tpSurvInMx,0,44-OFFSET(_i,0,0,1,34),1,1)))</f>
        <v>578.4014056571549</v>
      </c>
      <c r="AW60" s="39">
        <f ca="1">SUMPRODUCT(OFFSET(tShpInMxStd,0,0,1,34),N(OFFSET(tpSurvInMx,0,45-OFFSET(_i,0,0,1,34),1,1)))</f>
        <v>547.57588642897792</v>
      </c>
      <c r="AX60" s="39">
        <f ca="1">SUMPRODUCT(OFFSET(tShpInMxStd,0,0,1,34),N(OFFSET(tpSurvInMx,0,46-OFFSET(_i,0,0,1,34),1,1)))</f>
        <v>517.15812015825736</v>
      </c>
      <c r="AY60" s="39">
        <f ca="1">SUMPRODUCT(OFFSET(tShpInMxStd,0,0,1,34),N(OFFSET(tpSurvInMx,0,47-OFFSET(_i,0,0,1,34),1,1)))</f>
        <v>487.24447913798997</v>
      </c>
      <c r="AZ60" s="39">
        <f ca="1">SUMPRODUCT(OFFSET(tShpInMxStd,0,0,1,34),N(OFFSET(tpSurvInMx,0,48-OFFSET(_i,0,0,1,34),1,1)))</f>
        <v>457.87311873639925</v>
      </c>
      <c r="BA60" s="39">
        <f ca="1">SUMPRODUCT(OFFSET(tShpInMxStd,0,0,1,34),N(OFFSET(tpSurvInMx,0,49-OFFSET(_i,0,0,1,34),1,1)))</f>
        <v>429.36483557929995</v>
      </c>
      <c r="BB60" s="39">
        <f ca="1">SUMPRODUCT(OFFSET(tShpInMxStd,0,0,1,34),N(OFFSET(tpSurvInMx,0,50-OFFSET(_i,0,0,1,34),1,1)))</f>
        <v>401.74955974043417</v>
      </c>
      <c r="BC60" s="39">
        <f ca="1">SUMPRODUCT(OFFSET(tShpInMxStd,0,0,1,34),N(OFFSET(tpSurvInMx,0,51-OFFSET(_i,0,0,1,34),1,1)))</f>
        <v>374.94218788730012</v>
      </c>
      <c r="BD60" s="39">
        <f ca="1">SUMPRODUCT(OFFSET(tShpInMxStd,0,0,1,34),N(OFFSET(tpSurvInMx,0,52-OFFSET(_i,0,0,1,34),1,1)))</f>
        <v>349.09648041530988</v>
      </c>
      <c r="BE60" s="39">
        <f ca="1">SUMPRODUCT(OFFSET(tShpInMxStd,0,0,1,34),N(OFFSET(tpSurvInMx,0,53-OFFSET(_i,0,0,1,34),1,1)))</f>
        <v>324.32730914057441</v>
      </c>
      <c r="BF60" s="39">
        <f ca="1">SUMPRODUCT(OFFSET(tShpInMxStd,0,0,1,34),N(OFFSET(tpSurvInMx,0,54-OFFSET(_i,0,0,1,34),1,1)))</f>
        <v>300.63873155024157</v>
      </c>
      <c r="BG60" s="39">
        <f ca="1">SUMPRODUCT(OFFSET(tShpInMxStd,0,0,1,34),N(OFFSET(tpSurvInMx,0,55-OFFSET(_i,0,0,1,34),1,1)))</f>
        <v>277.8974636842575</v>
      </c>
      <c r="BH60" s="39">
        <f ca="1">SUMPRODUCT(OFFSET(tShpInMxStd,0,0,1,34),N(OFFSET(tpSurvInMx,0,56-OFFSET(_i,0,0,1,34),1,1)))</f>
        <v>256.14607547809828</v>
      </c>
      <c r="BI60" s="39">
        <f ca="1">SUMPRODUCT(OFFSET(tShpInMxStd,0,0,1,34),N(OFFSET(tpSurvInMx,0,57-OFFSET(_i,0,0,1,34),1,1)))</f>
        <v>235.57187490403871</v>
      </c>
      <c r="BJ60" s="39">
        <f ca="1">SUMPRODUCT(OFFSET(tShpInMxStd,0,0,1,34),N(OFFSET(tpSurvInMx,0,58-OFFSET(_i,0,0,1,34),1,1)))</f>
        <v>216.05997879180379</v>
      </c>
      <c r="BK60" s="39">
        <f ca="1">SUMPRODUCT(OFFSET(tShpInMxStd,0,0,1,34),N(OFFSET(tpSurvInMx,0,59-OFFSET(_i,0,0,1,34),1,1)))</f>
        <v>197.70317285589203</v>
      </c>
      <c r="BL60" s="39">
        <f ca="1">SUMPRODUCT(OFFSET(tShpInMxStd,0,0,1,34),N(OFFSET(tpSurvInMx,0,60-OFFSET(_i,0,0,1,34),1,1)))</f>
        <v>180.38068412392769</v>
      </c>
      <c r="BM60" s="39">
        <f ca="1">SUMPRODUCT(OFFSET(tShpInMxStd,0,1,1,33),N(OFFSET(tpSurvInMx,0,60-OFFSET(_i,0,0,1,33),1,1)))</f>
        <v>164.18453260238547</v>
      </c>
      <c r="BN60" s="39">
        <f ca="1">SUMPRODUCT(OFFSET(tShpInMxStd,0,2,1,32),N(OFFSET(tpSurvInMx,0,60-OFFSET(_i,0,0,1,32),1,1)))</f>
        <v>149.13629531923601</v>
      </c>
      <c r="BO60" s="39">
        <f ca="1">SUMPRODUCT(OFFSET(tShpInMxStd,0,3,1,31),N(OFFSET(tpSurvInMx,0,60-OFFSET(_i,0,0,1,31),1,1)))</f>
        <v>135.23111682408339</v>
      </c>
      <c r="BP60" s="39">
        <f ca="1">SUMPRODUCT(OFFSET(tShpInMxStd,0,4,1,30),N(OFFSET(tpSurvInMx,0,60-OFFSET(_i,0,0,1,30),1,1)))</f>
        <v>122.37203121756579</v>
      </c>
      <c r="BQ60" s="39">
        <f ca="1">SUMPRODUCT(OFFSET(tShpInMxStd,0,5,1,29),N(OFFSET(tpSurvInMx,0,60-OFFSET(_i,0,0,1,29),1,1)))</f>
        <v>110.47615641534524</v>
      </c>
      <c r="BR60" s="39">
        <f ca="1">SUMPRODUCT(OFFSET(tShpInMxStd,0,6,1,28),N(OFFSET(tpSurvInMx,0,60-OFFSET(_i,0,0,1,28),1,1)))</f>
        <v>99.510383708598027</v>
      </c>
      <c r="BS60" s="39">
        <f ca="1">SUMPRODUCT(OFFSET(tShpInMxStd,0,7,1,27),N(OFFSET(tpSurvInMx,0,60-OFFSET(_i,0,0,1,27),1,1)))</f>
        <v>89.323440237530477</v>
      </c>
      <c r="BT60" s="39">
        <f ca="1">SUMPRODUCT(OFFSET(tShpInMxStd,0,8,1,26),N(OFFSET(tpSurvInMx,0,60-OFFSET(_i,0,0,1,26),1,1)))</f>
        <v>79.925422479144189</v>
      </c>
      <c r="BU60" s="39">
        <f ca="1">SUMPRODUCT(OFFSET(tShpInMxStd,0,9,1,25),N(OFFSET(tpSurvInMx,0,60-OFFSET(_i,0,0,1,25),1,1)))</f>
        <v>71.286631470929962</v>
      </c>
      <c r="BV60" s="39">
        <f ca="1">SUMPRODUCT(OFFSET(tShpInMxStd,0,10,1,24),N(OFFSET(tpSurvInMx,0,60-OFFSET(_i,0,0,1,24),1,1)))</f>
        <v>63.398259352192028</v>
      </c>
      <c r="BW60" s="39">
        <f ca="1">SUMPRODUCT(OFFSET(tShpInMxStd,0,11,1,23),N(OFFSET(tpSurvInMx,0,60-OFFSET(_i,0,0,1,23),1,1)))</f>
        <v>56.177315322357558</v>
      </c>
      <c r="BX60" s="39">
        <f ca="1">SUMPRODUCT(OFFSET(tShpInMxStd,0,12,1,22),N(OFFSET(tpSurvInMx,0,60-OFFSET(_i,0,0,1,22),1,1)))</f>
        <v>49.562588454378322</v>
      </c>
      <c r="BY60" s="39">
        <f ca="1">SUMPRODUCT(OFFSET(tShpInMxStd,0,13,1,21),N(OFFSET(tpSurvInMx,0,60-OFFSET(_i,0,0,1,21),1,1)))</f>
        <v>43.580697709617823</v>
      </c>
      <c r="BZ60" s="39">
        <f ca="1">SUMPRODUCT(OFFSET(tShpInMxStd,0,14,1,20),N(OFFSET(tpSurvInMx,0,60-OFFSET(_i,0,0,1,20),1,1)))</f>
        <v>38.145190781019743</v>
      </c>
      <c r="CA60" s="39">
        <f ca="1">SUMPRODUCT(OFFSET(tShpInMxStd,0,15,1,19),N(OFFSET(tpSurvInMx,0,60-OFFSET(_i,0,0,1,19),1,1)))</f>
        <v>33.186587966434018</v>
      </c>
      <c r="CB60" s="39">
        <f ca="1">SUMPRODUCT(OFFSET(tShpInMxStd,0,16,1,18),N(OFFSET(tpSurvInMx,0,60-OFFSET(_i,0,0,1,18),1,1)))</f>
        <v>28.693773674686639</v>
      </c>
      <c r="CC60" s="39">
        <f ca="1">SUMPRODUCT(OFFSET(tShpInMxStd,0,17,1,17),N(OFFSET(tpSurvInMx,0,60-OFFSET(_i,0,0,1,17),1,1)))</f>
        <v>24.649094855255793</v>
      </c>
      <c r="CD60" s="39">
        <f ca="1">SUMPRODUCT(OFFSET(tShpInMxStd,0,18,1,16),N(OFFSET(tpSurvInMx,0,60-OFFSET(_i,0,0,1,16),1,1)))</f>
        <v>21.093203278894453</v>
      </c>
      <c r="CE60" s="39">
        <f ca="1">SUMPRODUCT(OFFSET(tShpInMxStd,0,19,1,15),N(OFFSET(tpSurvInMx,0,60-OFFSET(_i,0,0,1,15),1,1)))</f>
        <v>17.894885387790545</v>
      </c>
      <c r="CF60" s="39">
        <f ca="1">SUMPRODUCT(OFFSET(tShpInMxStd,0,20,1,14),N(OFFSET(tpSurvInMx,0,60-OFFSET(_i,0,0,1,14),1,1)))</f>
        <v>15.03951582344115</v>
      </c>
      <c r="CG60" s="39">
        <f ca="1">SUMPRODUCT(OFFSET(tShpInMxStd,0,21,1,13),N(OFFSET(tpSurvInMx,0,60-OFFSET(_i,0,0,1,13),1,1)))</f>
        <v>12.461579301036098</v>
      </c>
      <c r="CH60" s="39">
        <f ca="1">SUMPRODUCT(OFFSET(tShpInMxStd,0,22,1,12),N(OFFSET(tpSurvInMx,0,60-OFFSET(_i,0,0,1,12),1,1)))</f>
        <v>10.200669336239049</v>
      </c>
      <c r="CI60" s="39">
        <f ca="1">SUMPRODUCT(OFFSET(tShpInMxStd,0,23,1,11),N(OFFSET(tpSurvInMx,0,60-OFFSET(_i,0,0,1,11),1,1)))</f>
        <v>8.2110573175135979</v>
      </c>
      <c r="CJ60" s="39">
        <f ca="1">SUMPRODUCT(OFFSET(tShpInMxStd,0,24,1,10),N(OFFSET(tpSurvInMx,0,60-OFFSET(_i,0,0,1,10),1,1)))</f>
        <v>6.4900088341091857</v>
      </c>
      <c r="CK60" s="39">
        <f ca="1">SUMPRODUCT(OFFSET(tShpInMxStd,0,25,1,9),N(OFFSET(tpSurvInMx,0,60-OFFSET(_i,0,0,1,9),1,1)))</f>
        <v>5.0386819881799552</v>
      </c>
      <c r="CL60" s="39">
        <f ca="1">SUMPRODUCT(OFFSET(tShpInMxStd,0,26,1,8),N(OFFSET(tpSurvInMx,0,60-OFFSET(_i,0,0,1,8),1,1)))</f>
        <v>3.8387207288780578</v>
      </c>
      <c r="CM60" s="39">
        <f ca="1">SUMPRODUCT(OFFSET(tShpInMxStd,0,27,1,7),N(OFFSET(tpSurvInMx,0,60-OFFSET(_i,0,0,1,7),1,1)))</f>
        <v>2.8209469419794728</v>
      </c>
      <c r="CN60" s="39">
        <f ca="1">SUMPRODUCT(OFFSET(tShpInMxStd,0,28,1,6),N(OFFSET(tpSurvInMx,0,60-OFFSET(_i,0,0,1,6),1,1)))</f>
        <v>1.9744320795605501</v>
      </c>
      <c r="CO60" s="39">
        <f ca="1">SUMPRODUCT(OFFSET(tShpInMxStd,0,29,1,5),N(OFFSET(tpSurvInMx,0,60-OFFSET(_i,0,0,1,5),1,1)))</f>
        <v>1.3155228081291099</v>
      </c>
      <c r="CP60" s="39">
        <f ca="1">SUMPRODUCT(OFFSET(tShpInMxStd,0,30,1,4),N(OFFSET(tpSurvInMx,0,60-OFFSET(_i,0,0,1,4),1,1)))</f>
        <v>0.80989323936012014</v>
      </c>
      <c r="CQ60" s="39">
        <f ca="1">SUMPRODUCT(OFFSET(tShpInMxStd,0,31,1,3),N(OFFSET(tpSurvInMx,0,60-OFFSET(_i,0,0,1,3),1,1)))</f>
        <v>0.41526658801891442</v>
      </c>
      <c r="CR60" s="39">
        <f ca="1">SUMPRODUCT(OFFSET(tShpInMxStd,0,32,1,2),N(OFFSET(tpSurvInMx,0,60-OFFSET(_i,0,0,1,2),1,1)))</f>
        <v>0.13602731452423697</v>
      </c>
      <c r="CS60" s="40">
        <f ca="1">SUMPRODUCT(N(OFFSET(tShpInMxStd,0,33,1,1)),N(OFFSET(tpSurvInMx,0,60-OFFSET(_i,0,0,1,1),1,1)))</f>
        <v>0</v>
      </c>
      <c r="CT60" s="10"/>
    </row>
    <row r="61" spans="2:98" ht="15">
      <c r="B61" s="10"/>
      <c r="C61" s="28" t="str">
        <f>INDEX(_pcName,6)</f>
        <v>Radial</v>
      </c>
      <c r="D61" s="12" t="str">
        <f t="shared" si="6"/>
        <v>th units</v>
      </c>
      <c r="E61" s="39">
        <f ca="1">SUMPRODUCT(N(OFFSET(tShpRadStd,0,0,1,1)),N(OFFSET(tpSurvRad,0,1-OFFSET(_i,0,0,1,1),1,1)))</f>
        <v>45.901587716558311</v>
      </c>
      <c r="F61" s="39">
        <f ca="1">SUMPRODUCT(OFFSET(tShpRadStd,0,0,1,2),N(OFFSET(tpSurvRad,0,2-OFFSET(_i,0,0,1,2),1,1)))</f>
        <v>91.891376954363764</v>
      </c>
      <c r="G61" s="39">
        <f ca="1">SUMPRODUCT(OFFSET(tShpRadStd,0,0,1,3),N(OFFSET(tpSurvRad,0,3-OFFSET(_i,0,0,1,3),1,1)))</f>
        <v>137.85526428405069</v>
      </c>
      <c r="H61" s="39">
        <f ca="1">SUMPRODUCT(OFFSET(tShpRadStd,0,0,1,4),N(OFFSET(tpSurvRad,0,4-OFFSET(_i,0,0,1,4),1,1)))</f>
        <v>183.77419154810539</v>
      </c>
      <c r="I61" s="39">
        <f ca="1">SUMPRODUCT(OFFSET(tShpRadStd,0,0,1,5),N(OFFSET(tpSurvRad,0,5-OFFSET(_i,0,0,1,5),1,1)))</f>
        <v>229.69824395274753</v>
      </c>
      <c r="J61" s="39">
        <f ca="1">SUMPRODUCT(OFFSET(tShpRadStd,0,0,1,6),N(OFFSET(tpSurvRad,0,6-OFFSET(_i,0,0,1,6),1,1)))</f>
        <v>273.72435075041977</v>
      </c>
      <c r="K61" s="39">
        <f ca="1">SUMPRODUCT(OFFSET(tShpRadStd,0,0,1,7),N(OFFSET(tpSurvRad,0,7-OFFSET(_i,0,0,1,7),1,1)))</f>
        <v>317.43372538812434</v>
      </c>
      <c r="L61" s="39">
        <f ca="1">SUMPRODUCT(OFFSET(tShpRadStd,0,0,1,8),N(OFFSET(tpSurvRad,0,8-OFFSET(_i,0,0,1,8),1,1)))</f>
        <v>360.79588156245234</v>
      </c>
      <c r="M61" s="39">
        <f ca="1">SUMPRODUCT(OFFSET(tShpRadStd,0,0,1,9),N(OFFSET(tpSurvRad,0,9-OFFSET(_i,0,0,1,9),1,1)))</f>
        <v>403.49880970031643</v>
      </c>
      <c r="N61" s="39">
        <f ca="1">SUMPRODUCT(OFFSET(tShpRadStd,0,0,1,10),N(OFFSET(tpSurvRad,0,10-OFFSET(_i,0,0,1,10),1,1)))</f>
        <v>445.49593711213294</v>
      </c>
      <c r="O61" s="39">
        <f ca="1">SUMPRODUCT(OFFSET(tShpRadStd,0,0,1,11),N(OFFSET(tpSurvRad,0,11-OFFSET(_i,0,0,1,11),1,1)))</f>
        <v>486.64823428411671</v>
      </c>
      <c r="P61" s="39">
        <f ca="1">SUMPRODUCT(OFFSET(tShpRadStd,0,0,1,12),N(OFFSET(tpSurvRad,0,12-OFFSET(_i,0,0,1,12),1,1)))</f>
        <v>526.85148485519449</v>
      </c>
      <c r="Q61" s="39">
        <f ca="1">SUMPRODUCT(OFFSET(tShpRadStd,0,0,1,13),N(OFFSET(tpSurvRad,0,13-OFFSET(_i,0,0,1,13),1,1)))</f>
        <v>565.95188363561169</v>
      </c>
      <c r="R61" s="39">
        <f ca="1">SUMPRODUCT(OFFSET(tShpRadStd,0,0,1,14),N(OFFSET(tpSurvRad,0,14-OFFSET(_i,0,0,1,14),1,1)))</f>
        <v>605.59121278435123</v>
      </c>
      <c r="S61" s="39">
        <f ca="1">SUMPRODUCT(OFFSET(tShpRadStd,0,0,1,15),N(OFFSET(tpSurvRad,0,15-OFFSET(_i,0,0,1,15),1,1)))</f>
        <v>645.53913123286566</v>
      </c>
      <c r="T61" s="39">
        <f ca="1">SUMPRODUCT(OFFSET(tShpRadStd,0,0,1,16),N(OFFSET(tpSurvRad,0,16-OFFSET(_i,0,0,1,16),1,1)))</f>
        <v>684.24656448364408</v>
      </c>
      <c r="U61" s="39">
        <f ca="1">SUMPRODUCT(OFFSET(tShpRadStd,0,0,1,17),N(OFFSET(tpSurvRad,0,17-OFFSET(_i,0,0,1,17),1,1)))</f>
        <v>723.52951919434713</v>
      </c>
      <c r="V61" s="39">
        <f ca="1">SUMPRODUCT(OFFSET(tShpRadStd,0,0,1,18),N(OFFSET(tpSurvRad,0,18-OFFSET(_i,0,0,1,18),1,1)))</f>
        <v>763.10139463386054</v>
      </c>
      <c r="W61" s="39">
        <f ca="1">SUMPRODUCT(OFFSET(tShpRadStd,0,0,1,19),N(OFFSET(tpSurvRad,0,19-OFFSET(_i,0,0,1,19),1,1)))</f>
        <v>801.30592084054831</v>
      </c>
      <c r="X61" s="39">
        <f ca="1">SUMPRODUCT(OFFSET(tShpRadStd,0,0,1,20),N(OFFSET(tpSurvRad,0,20-OFFSET(_i,0,0,1,20),1,1)))</f>
        <v>838.22774488800576</v>
      </c>
      <c r="Y61" s="39">
        <f ca="1">SUMPRODUCT(OFFSET(tShpRadStd,0,0,1,21),N(OFFSET(tpSurvRad,0,21-OFFSET(_i,0,0,1,21),1,1)))</f>
        <v>873.9827051853764</v>
      </c>
      <c r="Z61" s="39">
        <f ca="1">SUMPRODUCT(OFFSET(tShpRadStd,0,0,1,22),N(OFFSET(tpSurvRad,0,22-OFFSET(_i,0,0,1,22),1,1)))</f>
        <v>908.3185971488823</v>
      </c>
      <c r="AA61" s="39">
        <f ca="1">SUMPRODUCT(OFFSET(tShpRadStd,0,0,1,23),N(OFFSET(tpSurvRad,0,23-OFFSET(_i,0,0,1,23),1,1)))</f>
        <v>941.4987606662562</v>
      </c>
      <c r="AB61" s="39">
        <f ca="1">SUMPRODUCT(OFFSET(tShpRadStd,0,0,1,24),N(OFFSET(tpSurvRad,0,24-OFFSET(_i,0,0,1,24),1,1)))</f>
        <v>973.66754703461527</v>
      </c>
      <c r="AC61" s="39">
        <f ca="1">SUMPRODUCT(OFFSET(tShpRadStd,0,0,1,25),N(OFFSET(tpSurvRad,0,25-OFFSET(_i,0,0,1,25),1,1)))</f>
        <v>1004.8488505647172</v>
      </c>
      <c r="AD61" s="39">
        <f ca="1">SUMPRODUCT(OFFSET(tShpRadStd,0,0,1,26),N(OFFSET(tpSurvRad,0,26-OFFSET(_i,0,0,1,26),1,1)))</f>
        <v>1035.0488364569665</v>
      </c>
      <c r="AE61" s="39">
        <f ca="1">SUMPRODUCT(OFFSET(tShpRadStd,0,0,1,27),N(OFFSET(tpSurvRad,0,27-OFFSET(_i,0,0,1,27),1,1)))</f>
        <v>1064.1474915959375</v>
      </c>
      <c r="AF61" s="39">
        <f ca="1">SUMPRODUCT(OFFSET(tShpRadStd,0,0,1,28),N(OFFSET(tpSurvRad,0,28-OFFSET(_i,0,0,1,28),1,1)))</f>
        <v>1092.1011846992292</v>
      </c>
      <c r="AG61" s="39">
        <f ca="1">SUMPRODUCT(OFFSET(tShpRadStd,0,0,1,29),N(OFFSET(tpSurvRad,0,29-OFFSET(_i,0,0,1,29),1,1)))</f>
        <v>1119.0061709831107</v>
      </c>
      <c r="AH61" s="39">
        <f ca="1">SUMPRODUCT(OFFSET(tShpRadStd,0,0,1,30),N(OFFSET(tpSurvRad,0,30-OFFSET(_i,0,0,1,30),1,1)))</f>
        <v>1145.0200070315584</v>
      </c>
      <c r="AI61" s="39">
        <f ca="1">SUMPRODUCT(OFFSET(tShpRadStd,0,0,1,31),N(OFFSET(tpSurvRad,0,31-OFFSET(_i,0,0,1,31),1,1)))</f>
        <v>1170.2361575752391</v>
      </c>
      <c r="AJ61" s="39">
        <f ca="1">SUMPRODUCT(OFFSET(tShpRadStd,0,0,1,32),N(OFFSET(tpSurvRad,0,32-OFFSET(_i,0,0,1,32),1,1)))</f>
        <v>1194.5931894137125</v>
      </c>
      <c r="AK61" s="39">
        <f ca="1">SUMPRODUCT(OFFSET(tShpRadStd,0,0,1,33),N(OFFSET(tpSurvRad,0,33-OFFSET(_i,0,0,1,33),1,1)))</f>
        <v>1217.9512530107002</v>
      </c>
      <c r="AL61" s="39">
        <f ca="1">SUMPRODUCT(OFFSET(tShpRadStd,0,0,1,34),N(OFFSET(tpSurvRad,0,34-OFFSET(_i,0,0,1,34),1,1)))</f>
        <v>1240.4874392639415</v>
      </c>
      <c r="AM61" s="39">
        <f ca="1">SUMPRODUCT(OFFSET(tShpRadStd,0,0,1,34),N(OFFSET(tpSurvRad,0,35-OFFSET(_i,0,0,1,34),1,1)))</f>
        <v>1209.2575836044791</v>
      </c>
      <c r="AN61" s="39">
        <f ca="1">SUMPRODUCT(OFFSET(tShpRadStd,0,0,1,34),N(OFFSET(tpSurvRad,0,36-OFFSET(_i,0,0,1,34),1,1)))</f>
        <v>1176.8032017568326</v>
      </c>
      <c r="AO61" s="39">
        <f ca="1">SUMPRODUCT(OFFSET(tShpRadStd,0,0,1,34),N(OFFSET(tpSurvRad,0,37-OFFSET(_i,0,0,1,34),1,1)))</f>
        <v>1143.368118346991</v>
      </c>
      <c r="AP61" s="39">
        <f ca="1">SUMPRODUCT(OFFSET(tShpRadStd,0,0,1,34),N(OFFSET(tpSurvRad,0,38-OFFSET(_i,0,0,1,34),1,1)))</f>
        <v>1109.043008356565</v>
      </c>
      <c r="AQ61" s="39">
        <f ca="1">SUMPRODUCT(OFFSET(tShpRadStd,0,0,1,34),N(OFFSET(tpSurvRad,0,39-OFFSET(_i,0,0,1,34),1,1)))</f>
        <v>1073.7543387818735</v>
      </c>
      <c r="AR61" s="39">
        <f ca="1">SUMPRODUCT(OFFSET(tShpRadStd,0,0,1,34),N(OFFSET(tpSurvRad,0,40-OFFSET(_i,0,0,1,34),1,1)))</f>
        <v>1037.7794116119821</v>
      </c>
      <c r="AS61" s="39">
        <f ca="1">SUMPRODUCT(OFFSET(tShpRadStd,0,0,1,34),N(OFFSET(tpSurvRad,0,41-OFFSET(_i,0,0,1,34),1,1)))</f>
        <v>1001.2924242375636</v>
      </c>
      <c r="AT61" s="39">
        <f ca="1">SUMPRODUCT(OFFSET(tShpRadStd,0,0,1,34),N(OFFSET(tpSurvRad,0,42-OFFSET(_i,0,0,1,34),1,1)))</f>
        <v>964.36477164699022</v>
      </c>
      <c r="AU61" s="39">
        <f ca="1">SUMPRODUCT(OFFSET(tShpRadStd,0,0,1,34),N(OFFSET(tpSurvRad,0,43-OFFSET(_i,0,0,1,34),1,1)))</f>
        <v>927.26155223738454</v>
      </c>
      <c r="AV61" s="39">
        <f ca="1">SUMPRODUCT(OFFSET(tShpRadStd,0,0,1,34),N(OFFSET(tpSurvRad,0,44-OFFSET(_i,0,0,1,34),1,1)))</f>
        <v>890.01353459692041</v>
      </c>
      <c r="AW61" s="39">
        <f ca="1">SUMPRODUCT(OFFSET(tShpRadStd,0,0,1,34),N(OFFSET(tpSurvRad,0,45-OFFSET(_i,0,0,1,34),1,1)))</f>
        <v>852.88707473401416</v>
      </c>
      <c r="AX61" s="39">
        <f ca="1">SUMPRODUCT(OFFSET(tShpRadStd,0,0,1,34),N(OFFSET(tpSurvRad,0,46-OFFSET(_i,0,0,1,34),1,1)))</f>
        <v>815.97147677485907</v>
      </c>
      <c r="AY61" s="39">
        <f ca="1">SUMPRODUCT(OFFSET(tShpRadStd,0,0,1,34),N(OFFSET(tpSurvRad,0,47-OFFSET(_i,0,0,1,34),1,1)))</f>
        <v>779.49347877734203</v>
      </c>
      <c r="AZ61" s="39">
        <f ca="1">SUMPRODUCT(OFFSET(tShpRadStd,0,0,1,34),N(OFFSET(tpSurvRad,0,48-OFFSET(_i,0,0,1,34),1,1)))</f>
        <v>743.57473781478382</v>
      </c>
      <c r="BA61" s="39">
        <f ca="1">SUMPRODUCT(OFFSET(tShpRadStd,0,0,1,34),N(OFFSET(tpSurvRad,0,49-OFFSET(_i,0,0,1,34),1,1)))</f>
        <v>708.48244401990394</v>
      </c>
      <c r="BB61" s="39">
        <f ca="1">SUMPRODUCT(OFFSET(tShpRadStd,0,0,1,34),N(OFFSET(tpSurvRad,0,50-OFFSET(_i,0,0,1,34),1,1)))</f>
        <v>674.05758843288356</v>
      </c>
      <c r="BC61" s="39">
        <f ca="1">SUMPRODUCT(OFFSET(tShpRadStd,0,0,1,34),N(OFFSET(tpSurvRad,0,51-OFFSET(_i,0,0,1,34),1,1)))</f>
        <v>640.12724304375206</v>
      </c>
      <c r="BD61" s="39">
        <f ca="1">SUMPRODUCT(OFFSET(tShpRadStd,0,0,1,34),N(OFFSET(tpSurvRad,0,52-OFFSET(_i,0,0,1,34),1,1)))</f>
        <v>607.15020245249775</v>
      </c>
      <c r="BE61" s="39">
        <f ca="1">SUMPRODUCT(OFFSET(tShpRadStd,0,0,1,34),N(OFFSET(tpSurvRad,0,53-OFFSET(_i,0,0,1,34),1,1)))</f>
        <v>574.92952296155966</v>
      </c>
      <c r="BF61" s="39">
        <f ca="1">SUMPRODUCT(OFFSET(tShpRadStd,0,0,1,34),N(OFFSET(tpSurvRad,0,54-OFFSET(_i,0,0,1,34),1,1)))</f>
        <v>543.54795681254177</v>
      </c>
      <c r="BG61" s="39">
        <f ca="1">SUMPRODUCT(OFFSET(tShpRadStd,0,0,1,34),N(OFFSET(tpSurvRad,0,55-OFFSET(_i,0,0,1,34),1,1)))</f>
        <v>512.78731260131121</v>
      </c>
      <c r="BH61" s="39">
        <f ca="1">SUMPRODUCT(OFFSET(tShpRadStd,0,0,1,34),N(OFFSET(tpSurvRad,0,56-OFFSET(_i,0,0,1,34),1,1)))</f>
        <v>483.04537616884937</v>
      </c>
      <c r="BI61" s="39">
        <f ca="1">SUMPRODUCT(OFFSET(tShpRadStd,0,0,1,34),N(OFFSET(tpSurvRad,0,57-OFFSET(_i,0,0,1,34),1,1)))</f>
        <v>454.17717253139489</v>
      </c>
      <c r="BJ61" s="39">
        <f ca="1">SUMPRODUCT(OFFSET(tShpRadStd,0,0,1,34),N(OFFSET(tpSurvRad,0,58-OFFSET(_i,0,0,1,34),1,1)))</f>
        <v>426.12541694916018</v>
      </c>
      <c r="BK61" s="39">
        <f ca="1">SUMPRODUCT(OFFSET(tShpRadStd,0,0,1,34),N(OFFSET(tpSurvRad,0,59-OFFSET(_i,0,0,1,34),1,1)))</f>
        <v>398.7685665811498</v>
      </c>
      <c r="BL61" s="39">
        <f ca="1">SUMPRODUCT(OFFSET(tShpRadStd,0,0,1,34),N(OFFSET(tpSurvRad,0,60-OFFSET(_i,0,0,1,34),1,1)))</f>
        <v>372.12627980942602</v>
      </c>
      <c r="BM61" s="39">
        <f ca="1">SUMPRODUCT(OFFSET(tShpRadStd,0,1,1,33),N(OFFSET(tpSurvRad,0,60-OFFSET(_i,0,0,1,33),1,1)))</f>
        <v>346.81621317591595</v>
      </c>
      <c r="BN61" s="39">
        <f ca="1">SUMPRODUCT(OFFSET(tShpRadStd,0,2,1,32),N(OFFSET(tpSurvRad,0,60-OFFSET(_i,0,0,1,32),1,1)))</f>
        <v>322.86554206034725</v>
      </c>
      <c r="BO61" s="39">
        <f ca="1">SUMPRODUCT(OFFSET(tShpRadStd,0,3,1,31),N(OFFSET(tpSurvRad,0,60-OFFSET(_i,0,0,1,31),1,1)))</f>
        <v>300.14110397357018</v>
      </c>
      <c r="BP61" s="39">
        <f ca="1">SUMPRODUCT(OFFSET(tShpRadStd,0,4,1,30),N(OFFSET(tpSurvRad,0,60-OFFSET(_i,0,0,1,30),1,1)))</f>
        <v>278.46902264105483</v>
      </c>
      <c r="BQ61" s="39">
        <f ca="1">SUMPRODUCT(OFFSET(tShpRadStd,0,5,1,29),N(OFFSET(tpSurvRad,0,60-OFFSET(_i,0,0,1,29),1,1)))</f>
        <v>257.72560671990624</v>
      </c>
      <c r="BR61" s="39">
        <f ca="1">SUMPRODUCT(OFFSET(tShpRadStd,0,6,1,28),N(OFFSET(tpSurvRad,0,60-OFFSET(_i,0,0,1,28),1,1)))</f>
        <v>237.94927976658875</v>
      </c>
      <c r="BS61" s="39">
        <f ca="1">SUMPRODUCT(OFFSET(tShpRadStd,0,7,1,27),N(OFFSET(tpSurvRad,0,60-OFFSET(_i,0,0,1,27),1,1)))</f>
        <v>219.31390187614647</v>
      </c>
      <c r="BT61" s="39">
        <f ca="1">SUMPRODUCT(OFFSET(tShpRadStd,0,8,1,26),N(OFFSET(tpSurvRad,0,60-OFFSET(_i,0,0,1,26),1,1)))</f>
        <v>201.61439205789526</v>
      </c>
      <c r="BU61" s="39">
        <f ca="1">SUMPRODUCT(OFFSET(tShpRadStd,0,9,1,25),N(OFFSET(tpSurvRad,0,60-OFFSET(_i,0,0,1,25),1,1)))</f>
        <v>184.72953894160855</v>
      </c>
      <c r="BV61" s="39">
        <f ca="1">SUMPRODUCT(OFFSET(tShpRadStd,0,10,1,24),N(OFFSET(tpSurvRad,0,60-OFFSET(_i,0,0,1,24),1,1)))</f>
        <v>168.95109985568908</v>
      </c>
      <c r="BW61" s="39">
        <f ca="1">SUMPRODUCT(OFFSET(tShpRadStd,0,11,1,23),N(OFFSET(tpSurvRad,0,60-OFFSET(_i,0,0,1,23),1,1)))</f>
        <v>154.0133399925175</v>
      </c>
      <c r="BX61" s="39">
        <f ca="1">SUMPRODUCT(OFFSET(tShpRadStd,0,12,1,22),N(OFFSET(tpSurvRad,0,60-OFFSET(_i,0,0,1,22),1,1)))</f>
        <v>139.80941911545239</v>
      </c>
      <c r="BY61" s="39">
        <f ca="1">SUMPRODUCT(OFFSET(tShpRadStd,0,13,1,21),N(OFFSET(tpSurvRad,0,60-OFFSET(_i,0,0,1,21),1,1)))</f>
        <v>126.41244210093714</v>
      </c>
      <c r="BZ61" s="39">
        <f ca="1">SUMPRODUCT(OFFSET(tShpRadStd,0,14,1,20),N(OFFSET(tpSurvRad,0,60-OFFSET(_i,0,0,1,20),1,1)))</f>
        <v>113.78875395220564</v>
      </c>
      <c r="CA61" s="39">
        <f ca="1">SUMPRODUCT(OFFSET(tShpRadStd,0,15,1,19),N(OFFSET(tpSurvRad,0,60-OFFSET(_i,0,0,1,19),1,1)))</f>
        <v>101.89475443845714</v>
      </c>
      <c r="CB61" s="39">
        <f ca="1">SUMPRODUCT(OFFSET(tShpRadStd,0,16,1,18),N(OFFSET(tpSurvRad,0,60-OFFSET(_i,0,0,1,18),1,1)))</f>
        <v>90.645406327863725</v>
      </c>
      <c r="CC61" s="39">
        <f ca="1">SUMPRODUCT(OFFSET(tShpRadStd,0,17,1,17),N(OFFSET(tpSurvRad,0,60-OFFSET(_i,0,0,1,17),1,1)))</f>
        <v>80.150211836674259</v>
      </c>
      <c r="CD61" s="39">
        <f ca="1">SUMPRODUCT(OFFSET(tShpRadStd,0,18,1,16),N(OFFSET(tpSurvRad,0,60-OFFSET(_i,0,0,1,16),1,1)))</f>
        <v>70.400666674871459</v>
      </c>
      <c r="CE61" s="39">
        <f ca="1">SUMPRODUCT(OFFSET(tShpRadStd,0,19,1,15),N(OFFSET(tpSurvRad,0,60-OFFSET(_i,0,0,1,15),1,1)))</f>
        <v>61.286161273600285</v>
      </c>
      <c r="CF61" s="39">
        <f ca="1">SUMPRODUCT(OFFSET(tShpRadStd,0,20,1,14),N(OFFSET(tpSurvRad,0,60-OFFSET(_i,0,0,1,14),1,1)))</f>
        <v>52.891752981632678</v>
      </c>
      <c r="CG61" s="39">
        <f ca="1">SUMPRODUCT(OFFSET(tShpRadStd,0,21,1,13),N(OFFSET(tpSurvRad,0,60-OFFSET(_i,0,0,1,13),1,1)))</f>
        <v>45.164772944931016</v>
      </c>
      <c r="CH61" s="39">
        <f ca="1">SUMPRODUCT(OFFSET(tShpRadStd,0,22,1,12),N(OFFSET(tpSurvRad,0,60-OFFSET(_i,0,0,1,12),1,1)))</f>
        <v>37.994154524168167</v>
      </c>
      <c r="CI61" s="39">
        <f ca="1">SUMPRODUCT(OFFSET(tShpRadStd,0,23,1,11),N(OFFSET(tpSurvRad,0,60-OFFSET(_i,0,0,1,11),1,1)))</f>
        <v>31.423694193926242</v>
      </c>
      <c r="CJ61" s="39">
        <f ca="1">SUMPRODUCT(OFFSET(tShpRadStd,0,24,1,10),N(OFFSET(tpSurvRad,0,60-OFFSET(_i,0,0,1,10),1,1)))</f>
        <v>25.4824847104056</v>
      </c>
      <c r="CK61" s="39">
        <f ca="1">SUMPRODUCT(OFFSET(tShpRadStd,0,25,1,9),N(OFFSET(tpSurvRad,0,60-OFFSET(_i,0,0,1,9),1,1)))</f>
        <v>20.242170818978853</v>
      </c>
      <c r="CL61" s="39">
        <f ca="1">SUMPRODUCT(OFFSET(tShpRadStd,0,26,1,8),N(OFFSET(tpSurvRad,0,60-OFFSET(_i,0,0,1,8),1,1)))</f>
        <v>15.573193427843941</v>
      </c>
      <c r="CM61" s="39">
        <f ca="1">SUMPRODUCT(OFFSET(tShpRadStd,0,27,1,7),N(OFFSET(tpSurvRad,0,60-OFFSET(_i,0,0,1,7),1,1)))</f>
        <v>11.647684624913676</v>
      </c>
      <c r="CN61" s="39">
        <f ca="1">SUMPRODUCT(OFFSET(tShpRadStd,0,28,1,6),N(OFFSET(tpSurvRad,0,60-OFFSET(_i,0,0,1,6),1,1)))</f>
        <v>8.2779332390880125</v>
      </c>
      <c r="CO61" s="39">
        <f ca="1">SUMPRODUCT(OFFSET(tShpRadStd,0,29,1,5),N(OFFSET(tpSurvRad,0,60-OFFSET(_i,0,0,1,5),1,1)))</f>
        <v>5.5617554203224548</v>
      </c>
      <c r="CP61" s="39">
        <f ca="1">SUMPRODUCT(OFFSET(tShpRadStd,0,30,1,4),N(OFFSET(tpSurvRad,0,60-OFFSET(_i,0,0,1,4),1,1)))</f>
        <v>3.3693793896184641</v>
      </c>
      <c r="CQ61" s="39">
        <f ca="1">SUMPRODUCT(OFFSET(tShpRadStd,0,31,1,3),N(OFFSET(tpSurvRad,0,60-OFFSET(_i,0,0,1,3),1,1)))</f>
        <v>1.6924528987043335</v>
      </c>
      <c r="CR61" s="39">
        <f ca="1">SUMPRODUCT(OFFSET(tShpRadStd,0,32,1,2),N(OFFSET(tpSurvRad,0,60-OFFSET(_i,0,0,1,2),1,1)))</f>
        <v>0.54381593774217851</v>
      </c>
      <c r="CS61" s="40">
        <f ca="1">SUMPRODUCT(N(OFFSET(tShpRadStd,0,33,1,1)),N(OFFSET(tpSurvRad,0,60-OFFSET(_i,0,0,1,1),1,1)))</f>
        <v>0</v>
      </c>
      <c r="CT61" s="10"/>
    </row>
    <row r="62" spans="2:98" ht="15">
      <c r="B62" s="10"/>
      <c r="C62" s="45" t="str">
        <f>INDEX(_pcName,7)</f>
        <v>Power Roof Vent</v>
      </c>
      <c r="D62" s="18" t="str">
        <f t="shared" si="6"/>
        <v>th units</v>
      </c>
      <c r="E62" s="49">
        <f ca="1">SUMPRODUCT(N(OFFSET(tShpPRVStd,0,0,1,1)),N(OFFSET(tpSurvPRV,0,1-OFFSET(_i,0,0,1,1),1,1)))</f>
        <v>86.065476968546832</v>
      </c>
      <c r="F62" s="49">
        <f ca="1">SUMPRODUCT(OFFSET(tShpPRVStd,0,0,1,2),N(OFFSET(tpSurvPRV,0,2-OFFSET(_i,0,0,1,2),1,1)))</f>
        <v>172.29633178943203</v>
      </c>
      <c r="G62" s="49">
        <f ca="1">SUMPRODUCT(OFFSET(tShpPRVStd,0,0,1,3),N(OFFSET(tpSurvPRV,0,3-OFFSET(_i,0,0,1,3),1,1)))</f>
        <v>258.47862053259507</v>
      </c>
      <c r="H62" s="49">
        <f ca="1">SUMPRODUCT(OFFSET(tShpPRVStd,0,0,1,4),N(OFFSET(tpSurvPRV,0,4-OFFSET(_i,0,0,1,4),1,1)))</f>
        <v>344.57660915269764</v>
      </c>
      <c r="I62" s="49">
        <f ca="1">SUMPRODUCT(OFFSET(tShpPRVStd,0,0,1,5),N(OFFSET(tpSurvPRV,0,5-OFFSET(_i,0,0,1,5),1,1)))</f>
        <v>430.68420741140164</v>
      </c>
      <c r="J62" s="49">
        <f ca="1">SUMPRODUCT(OFFSET(tShpPRVStd,0,0,1,6),N(OFFSET(tpSurvPRV,0,6-OFFSET(_i,0,0,1,6),1,1)))</f>
        <v>513.42250170636794</v>
      </c>
      <c r="K62" s="49">
        <f ca="1">SUMPRODUCT(OFFSET(tShpPRVStd,0,0,1,7),N(OFFSET(tpSurvPRV,0,7-OFFSET(_i,0,0,1,7),1,1)))</f>
        <v>595.66195905733525</v>
      </c>
      <c r="L62" s="49">
        <f ca="1">SUMPRODUCT(OFFSET(tShpPRVStd,0,0,1,8),N(OFFSET(tpSurvPRV,0,8-OFFSET(_i,0,0,1,8),1,1)))</f>
        <v>677.03529316731681</v>
      </c>
      <c r="M62" s="49">
        <f ca="1">SUMPRODUCT(OFFSET(tShpPRVStd,0,0,1,9),N(OFFSET(tpSurvPRV,0,9-OFFSET(_i,0,0,1,9),1,1)))</f>
        <v>757.26659440600679</v>
      </c>
      <c r="N62" s="49">
        <f ca="1">SUMPRODUCT(OFFSET(tShpPRVStd,0,0,1,10),N(OFFSET(tpSurvPRV,0,10-OFFSET(_i,0,0,1,10),1,1)))</f>
        <v>836.16614447756228</v>
      </c>
      <c r="O62" s="49">
        <f ca="1">SUMPRODUCT(OFFSET(tShpPRVStd,0,0,1,11),N(OFFSET(tpSurvPRV,0,11-OFFSET(_i,0,0,1,11),1,1)))</f>
        <v>913.47481223246393</v>
      </c>
      <c r="P62" s="49">
        <f ca="1">SUMPRODUCT(OFFSET(tShpPRVStd,0,0,1,12),N(OFFSET(tpSurvPRV,0,12-OFFSET(_i,0,0,1,12),1,1)))</f>
        <v>988.98318678556211</v>
      </c>
      <c r="Q62" s="49">
        <f ca="1">SUMPRODUCT(OFFSET(tShpPRVStd,0,0,1,13),N(OFFSET(tpSurvPRV,0,13-OFFSET(_i,0,0,1,13),1,1)))</f>
        <v>1062.7069055852676</v>
      </c>
      <c r="R62" s="49">
        <f ca="1">SUMPRODUCT(OFFSET(tShpPRVStd,0,0,1,14),N(OFFSET(tpSurvPRV,0,14-OFFSET(_i,0,0,1,14),1,1)))</f>
        <v>1137.2830270875406</v>
      </c>
      <c r="S62" s="49">
        <f ca="1">SUMPRODUCT(OFFSET(tShpPRVStd,0,0,1,15),N(OFFSET(tpSurvPRV,0,15-OFFSET(_i,0,0,1,15),1,1)))</f>
        <v>1212.7127330880382</v>
      </c>
      <c r="T62" s="49">
        <f ca="1">SUMPRODUCT(OFFSET(tShpPRVStd,0,0,1,16),N(OFFSET(tpSurvPRV,0,16-OFFSET(_i,0,0,1,16),1,1)))</f>
        <v>1285.687392729053</v>
      </c>
      <c r="U62" s="49">
        <f ca="1">SUMPRODUCT(OFFSET(tShpPRVStd,0,0,1,17),N(OFFSET(tpSurvPRV,0,17-OFFSET(_i,0,0,1,17),1,1)))</f>
        <v>1359.3542021498943</v>
      </c>
      <c r="V62" s="49">
        <f ca="1">SUMPRODUCT(OFFSET(tShpPRVStd,0,0,1,18),N(OFFSET(tpSurvPRV,0,18-OFFSET(_i,0,0,1,18),1,1)))</f>
        <v>1433.8011281089139</v>
      </c>
      <c r="W62" s="49">
        <f ca="1">SUMPRODUCT(OFFSET(tShpPRVStd,0,0,1,19),N(OFFSET(tpSurvPRV,0,19-OFFSET(_i,0,0,1,19),1,1)))</f>
        <v>1505.6973364194735</v>
      </c>
      <c r="X62" s="49">
        <f ca="1">SUMPRODUCT(OFFSET(tShpPRVStd,0,0,1,20),N(OFFSET(tpSurvPRV,0,20-OFFSET(_i,0,0,1,20),1,1)))</f>
        <v>1574.9475796524637</v>
      </c>
      <c r="Y62" s="49">
        <f ca="1">SUMPRODUCT(OFFSET(tShpPRVStd,0,0,1,21),N(OFFSET(tpSurvPRV,0,21-OFFSET(_i,0,0,1,21),1,1)))</f>
        <v>1641.7082396171863</v>
      </c>
      <c r="Z62" s="49">
        <f ca="1">SUMPRODUCT(OFFSET(tShpPRVStd,0,0,1,22),N(OFFSET(tpSurvPRV,0,22-OFFSET(_i,0,0,1,22),1,1)))</f>
        <v>1705.9701822198017</v>
      </c>
      <c r="AA62" s="49">
        <f ca="1">SUMPRODUCT(OFFSET(tShpPRVStd,0,0,1,23),N(OFFSET(tpSurvPRV,0,23-OFFSET(_i,0,0,1,23),1,1)))</f>
        <v>1768.0783862472242</v>
      </c>
      <c r="AB62" s="49">
        <f ca="1">SUMPRODUCT(OFFSET(tShpPRVStd,0,0,1,24),N(OFFSET(tpSurvPRV,0,24-OFFSET(_i,0,0,1,24),1,1)))</f>
        <v>1828.0272787362815</v>
      </c>
      <c r="AC62" s="49">
        <f ca="1">SUMPRODUCT(OFFSET(tShpPRVStd,0,0,1,25),N(OFFSET(tpSurvPRV,0,25-OFFSET(_i,0,0,1,25),1,1)))</f>
        <v>1885.6971367039905</v>
      </c>
      <c r="AD62" s="49">
        <f ca="1">SUMPRODUCT(OFFSET(tShpPRVStd,0,0,1,26),N(OFFSET(tpSurvPRV,0,26-OFFSET(_i,0,0,1,26),1,1)))</f>
        <v>1941.0164134044956</v>
      </c>
      <c r="AE62" s="49">
        <f ca="1">SUMPRODUCT(OFFSET(tShpPRVStd,0,0,1,27),N(OFFSET(tpSurvPRV,0,27-OFFSET(_i,0,0,1,27),1,1)))</f>
        <v>1994.1399994613585</v>
      </c>
      <c r="AF62" s="49">
        <f ca="1">SUMPRODUCT(OFFSET(tShpPRVStd,0,0,1,28),N(OFFSET(tpSurvPRV,0,28-OFFSET(_i,0,0,1,28),1,1)))</f>
        <v>2045.1986034870793</v>
      </c>
      <c r="AG62" s="49">
        <f ca="1">SUMPRODUCT(OFFSET(tShpPRVStd,0,0,1,29),N(OFFSET(tpSurvPRV,0,29-OFFSET(_i,0,0,1,29),1,1)))</f>
        <v>2094.2489704091072</v>
      </c>
      <c r="AH62" s="49">
        <f ca="1">SUMPRODUCT(OFFSET(tShpPRVStd,0,0,1,30),N(OFFSET(tpSurvPRV,0,30-OFFSET(_i,0,0,1,30),1,1)))</f>
        <v>2141.2788540262491</v>
      </c>
      <c r="AI62" s="49">
        <f ca="1">SUMPRODUCT(OFFSET(tShpPRVStd,0,0,1,31),N(OFFSET(tpSurvPRV,0,31-OFFSET(_i,0,0,1,31),1,1)))</f>
        <v>2186.4623739237118</v>
      </c>
      <c r="AJ62" s="49">
        <f ca="1">SUMPRODUCT(OFFSET(tShpPRVStd,0,0,1,32),N(OFFSET(tpSurvPRV,0,32-OFFSET(_i,0,0,1,32),1,1)))</f>
        <v>2230.0898824431938</v>
      </c>
      <c r="AK62" s="49">
        <f ca="1">SUMPRODUCT(OFFSET(tShpPRVStd,0,0,1,33),N(OFFSET(tpSurvPRV,0,33-OFFSET(_i,0,0,1,33),1,1)))</f>
        <v>2272.0319994385559</v>
      </c>
      <c r="AL62" s="49">
        <f ca="1">SUMPRODUCT(OFFSET(tShpPRVStd,0,0,1,34),N(OFFSET(tpSurvPRV,0,34-OFFSET(_i,0,0,1,34),1,1)))</f>
        <v>2312.5781261447087</v>
      </c>
      <c r="AM62" s="49">
        <f ca="1">SUMPRODUCT(OFFSET(tShpPRVStd,0,0,1,34),N(OFFSET(tpSurvPRV,0,35-OFFSET(_i,0,0,1,34),1,1)))</f>
        <v>2252.3161653654706</v>
      </c>
      <c r="AN62" s="49">
        <f ca="1">SUMPRODUCT(OFFSET(tShpPRVStd,0,0,1,34),N(OFFSET(tpSurvPRV,0,36-OFFSET(_i,0,0,1,34),1,1)))</f>
        <v>2190.1079331194892</v>
      </c>
      <c r="AO62" s="49">
        <f ca="1">SUMPRODUCT(OFFSET(tShpPRVStd,0,0,1,34),N(OFFSET(tpSurvPRV,0,37-OFFSET(_i,0,0,1,34),1,1)))</f>
        <v>2126.0871564873069</v>
      </c>
      <c r="AP62" s="49">
        <f ca="1">SUMPRODUCT(OFFSET(tShpPRVStd,0,0,1,34),N(OFFSET(tpSurvPRV,0,38-OFFSET(_i,0,0,1,34),1,1)))</f>
        <v>2060.1828923349676</v>
      </c>
      <c r="AQ62" s="49">
        <f ca="1">SUMPRODUCT(OFFSET(tShpPRVStd,0,0,1,34),N(OFFSET(tpSurvPRV,0,39-OFFSET(_i,0,0,1,34),1,1)))</f>
        <v>1992.5343686914414</v>
      </c>
      <c r="AR62" s="49">
        <f ca="1">SUMPRODUCT(OFFSET(tShpPRVStd,0,0,1,34),N(OFFSET(tpSurvPRV,0,40-OFFSET(_i,0,0,1,34),1,1)))</f>
        <v>1923.4633627861683</v>
      </c>
      <c r="AS62" s="49">
        <f ca="1">SUMPRODUCT(OFFSET(tShpPRVStd,0,0,1,34),N(OFFSET(tpSurvPRV,0,41-OFFSET(_i,0,0,1,34),1,1)))</f>
        <v>1853.3892433332501</v>
      </c>
      <c r="AT62" s="49">
        <f ca="1">SUMPRODUCT(OFFSET(tShpPRVStd,0,0,1,34),N(OFFSET(tpSurvPRV,0,42-OFFSET(_i,0,0,1,34),1,1)))</f>
        <v>1782.6665233023982</v>
      </c>
      <c r="AU62" s="49">
        <f ca="1">SUMPRODUCT(OFFSET(tShpPRVStd,0,0,1,34),N(OFFSET(tpSurvPRV,0,43-OFFSET(_i,0,0,1,34),1,1)))</f>
        <v>1711.7129634734974</v>
      </c>
      <c r="AV62" s="49">
        <f ca="1">SUMPRODUCT(OFFSET(tShpPRVStd,0,0,1,34),N(OFFSET(tpSurvPRV,0,44-OFFSET(_i,0,0,1,34),1,1)))</f>
        <v>1640.6896809922841</v>
      </c>
      <c r="AW62" s="49">
        <f ca="1">SUMPRODUCT(OFFSET(tShpPRVStd,0,0,1,34),N(OFFSET(tpSurvPRV,0,45-OFFSET(_i,0,0,1,34),1,1)))</f>
        <v>1569.7659987554559</v>
      </c>
      <c r="AX62" s="49">
        <f ca="1">SUMPRODUCT(OFFSET(tShpPRVStd,0,0,1,34),N(OFFSET(tpSurvPRV,0,46-OFFSET(_i,0,0,1,34),1,1)))</f>
        <v>1499.5805732236245</v>
      </c>
      <c r="AY62" s="49">
        <f ca="1">SUMPRODUCT(OFFSET(tShpPRVStd,0,0,1,34),N(OFFSET(tpSurvPRV,0,47-OFFSET(_i,0,0,1,34),1,1)))</f>
        <v>1430.0723436885739</v>
      </c>
      <c r="AZ62" s="49">
        <f ca="1">SUMPRODUCT(OFFSET(tShpPRVStd,0,0,1,34),N(OFFSET(tpSurvPRV,0,48-OFFSET(_i,0,0,1,34),1,1)))</f>
        <v>1361.6997574610243</v>
      </c>
      <c r="BA62" s="49">
        <f ca="1">SUMPRODUCT(OFFSET(tShpPRVStd,0,0,1,34),N(OFFSET(tpSurvPRV,0,49-OFFSET(_i,0,0,1,34),1,1)))</f>
        <v>1294.6048776895377</v>
      </c>
      <c r="BB62" s="49">
        <f ca="1">SUMPRODUCT(OFFSET(tShpPRVStd,0,0,1,34),N(OFFSET(tpSurvPRV,0,50-OFFSET(_i,0,0,1,34),1,1)))</f>
        <v>1228.9499613610913</v>
      </c>
      <c r="BC62" s="49">
        <f ca="1">SUMPRODUCT(OFFSET(tShpPRVStd,0,0,1,34),N(OFFSET(tpSurvPRV,0,51-OFFSET(_i,0,0,1,34),1,1)))</f>
        <v>1164.8294631786614</v>
      </c>
      <c r="BD62" s="49">
        <f ca="1">SUMPRODUCT(OFFSET(tShpPRVStd,0,0,1,34),N(OFFSET(tpSurvPRV,0,52-OFFSET(_i,0,0,1,34),1,1)))</f>
        <v>1102.2954405858104</v>
      </c>
      <c r="BE62" s="49">
        <f ca="1">SUMPRODUCT(OFFSET(tShpPRVStd,0,0,1,34),N(OFFSET(tpSurvPRV,0,53-OFFSET(_i,0,0,1,34),1,1)))</f>
        <v>1041.5527392909087</v>
      </c>
      <c r="BF62" s="49">
        <f ca="1">SUMPRODUCT(OFFSET(tShpPRVStd,0,0,1,34),N(OFFSET(tpSurvPRV,0,54-OFFSET(_i,0,0,1,34),1,1)))</f>
        <v>982.48692129571918</v>
      </c>
      <c r="BG62" s="49">
        <f ca="1">SUMPRODUCT(OFFSET(tShpPRVStd,0,0,1,34),N(OFFSET(tpSurvPRV,0,55-OFFSET(_i,0,0,1,34),1,1)))</f>
        <v>924.9802107141777</v>
      </c>
      <c r="BH62" s="49">
        <f ca="1">SUMPRODUCT(OFFSET(tShpPRVStd,0,0,1,34),N(OFFSET(tpSurvPRV,0,56-OFFSET(_i,0,0,1,34),1,1)))</f>
        <v>869.16171887572875</v>
      </c>
      <c r="BI62" s="49">
        <f ca="1">SUMPRODUCT(OFFSET(tShpPRVStd,0,0,1,34),N(OFFSET(tpSurvPRV,0,57-OFFSET(_i,0,0,1,34),1,1)))</f>
        <v>814.90595700272127</v>
      </c>
      <c r="BJ62" s="49">
        <f ca="1">SUMPRODUCT(OFFSET(tShpPRVStd,0,0,1,34),N(OFFSET(tpSurvPRV,0,58-OFFSET(_i,0,0,1,34),1,1)))</f>
        <v>762.4296490015945</v>
      </c>
      <c r="BK62" s="49">
        <f ca="1">SUMPRODUCT(OFFSET(tShpPRVStd,0,0,1,34),N(OFFSET(tpSurvPRV,0,59-OFFSET(_i,0,0,1,34),1,1)))</f>
        <v>711.86308670849269</v>
      </c>
      <c r="BL62" s="49">
        <f ca="1">SUMPRODUCT(OFFSET(tShpPRVStd,0,0,1,34),N(OFFSET(tpSurvPRV,0,60-OFFSET(_i,0,0,1,34),1,1)))</f>
        <v>663.25599467472</v>
      </c>
      <c r="BM62" s="49">
        <f ca="1">SUMPRODUCT(OFFSET(tShpPRVStd,0,1,1,33),N(OFFSET(tpSurvPRV,0,60-OFFSET(_i,0,0,1,33),1,1)))</f>
        <v>617.30378809859633</v>
      </c>
      <c r="BN62" s="49">
        <f ca="1">SUMPRODUCT(OFFSET(tShpPRVStd,0,2,1,32),N(OFFSET(tpSurvPRV,0,60-OFFSET(_i,0,0,1,32),1,1)))</f>
        <v>573.81943750143955</v>
      </c>
      <c r="BO62" s="49">
        <f ca="1">SUMPRODUCT(OFFSET(tShpPRVStd,0,3,1,31),N(OFFSET(tpSurvPRV,0,60-OFFSET(_i,0,0,1,31),1,1)))</f>
        <v>532.73551481123559</v>
      </c>
      <c r="BP62" s="49">
        <f ca="1">SUMPRODUCT(OFFSET(tShpPRVStd,0,4,1,30),N(OFFSET(tpSurvPRV,0,60-OFFSET(_i,0,0,1,30),1,1)))</f>
        <v>494.04016422555054</v>
      </c>
      <c r="BQ62" s="49">
        <f ca="1">SUMPRODUCT(OFFSET(tShpPRVStd,0,5,1,29),N(OFFSET(tpSurvPRV,0,60-OFFSET(_i,0,0,1,29),1,1)))</f>
        <v>457.5257501162497</v>
      </c>
      <c r="BR62" s="49">
        <f ca="1">SUMPRODUCT(OFFSET(tShpPRVStd,0,6,1,28),N(OFFSET(tpSurvPRV,0,60-OFFSET(_i,0,0,1,28),1,1)))</f>
        <v>422.80878555557064</v>
      </c>
      <c r="BS62" s="49">
        <f ca="1">SUMPRODUCT(OFFSET(tShpPRVStd,0,7,1,27),N(OFFSET(tpSurvPRV,0,60-OFFSET(_i,0,0,1,27),1,1)))</f>
        <v>390.00266454370683</v>
      </c>
      <c r="BT62" s="49">
        <f ca="1">SUMPRODUCT(OFFSET(tShpPRVStd,0,8,1,26),N(OFFSET(tpSurvPRV,0,60-OFFSET(_i,0,0,1,26),1,1)))</f>
        <v>358.77389540254035</v>
      </c>
      <c r="BU62" s="49">
        <f ca="1">SUMPRODUCT(OFFSET(tShpPRVStd,0,9,1,25),N(OFFSET(tpSurvPRV,0,60-OFFSET(_i,0,0,1,25),1,1)))</f>
        <v>329.11530774198633</v>
      </c>
      <c r="BV62" s="49">
        <f ca="1">SUMPRODUCT(OFFSET(tShpPRVStd,0,10,1,24),N(OFFSET(tpSurvPRV,0,60-OFFSET(_i,0,0,1,24),1,1)))</f>
        <v>301.15224312808874</v>
      </c>
      <c r="BW62" s="49">
        <f ca="1">SUMPRODUCT(OFFSET(tShpPRVStd,0,11,1,23),N(OFFSET(tpSurvPRV,0,60-OFFSET(_i,0,0,1,23),1,1)))</f>
        <v>274.70228841444674</v>
      </c>
      <c r="BX62" s="49">
        <f ca="1">SUMPRODUCT(OFFSET(tShpPRVStd,0,12,1,22),N(OFFSET(tpSurvPRV,0,60-OFFSET(_i,0,0,1,22),1,1)))</f>
        <v>249.84379637057876</v>
      </c>
      <c r="BY62" s="49">
        <f ca="1">SUMPRODUCT(OFFSET(tShpPRVStd,0,13,1,21),N(OFFSET(tpSurvPRV,0,60-OFFSET(_i,0,0,1,21),1,1)))</f>
        <v>226.39256310256198</v>
      </c>
      <c r="BZ62" s="49">
        <f ca="1">SUMPRODUCT(OFFSET(tShpPRVStd,0,14,1,20),N(OFFSET(tpSurvPRV,0,60-OFFSET(_i,0,0,1,20),1,1)))</f>
        <v>204.26309075233837</v>
      </c>
      <c r="CA62" s="49">
        <f ca="1">SUMPRODUCT(OFFSET(tShpPRVStd,0,15,1,19),N(OFFSET(tpSurvPRV,0,60-OFFSET(_i,0,0,1,19),1,1)))</f>
        <v>183.39158622892006</v>
      </c>
      <c r="CB62" s="49">
        <f ca="1">SUMPRODUCT(OFFSET(tShpPRVStd,0,16,1,18),N(OFFSET(tpSurvPRV,0,60-OFFSET(_i,0,0,1,18),1,1)))</f>
        <v>163.77783411528253</v>
      </c>
      <c r="CC62" s="49">
        <f ca="1">SUMPRODUCT(OFFSET(tShpPRVStd,0,17,1,17),N(OFFSET(tpSurvPRV,0,60-OFFSET(_i,0,0,1,17),1,1)))</f>
        <v>145.30554083800988</v>
      </c>
      <c r="CD62" s="49">
        <f ca="1">SUMPRODUCT(OFFSET(tShpPRVStd,0,18,1,16),N(OFFSET(tpSurvPRV,0,60-OFFSET(_i,0,0,1,16),1,1)))</f>
        <v>127.97835237454726</v>
      </c>
      <c r="CE62" s="49">
        <f ca="1">SUMPRODUCT(OFFSET(tShpPRVStd,0,19,1,15),N(OFFSET(tpSurvPRV,0,60-OFFSET(_i,0,0,1,15),1,1)))</f>
        <v>111.97518004418362</v>
      </c>
      <c r="CF62" s="49">
        <f ca="1">SUMPRODUCT(OFFSET(tShpPRVStd,0,20,1,14),N(OFFSET(tpSurvPRV,0,60-OFFSET(_i,0,0,1,14),1,1)))</f>
        <v>96.938824263933256</v>
      </c>
      <c r="CG62" s="49">
        <f ca="1">SUMPRODUCT(OFFSET(tShpPRVStd,0,21,1,13),N(OFFSET(tpSurvPRV,0,60-OFFSET(_i,0,0,1,13),1,1)))</f>
        <v>82.938110974479144</v>
      </c>
      <c r="CH62" s="49">
        <f ca="1">SUMPRODUCT(OFFSET(tShpPRVStd,0,22,1,12),N(OFFSET(tpSurvPRV,0,60-OFFSET(_i,0,0,1,12),1,1)))</f>
        <v>70.062268541618593</v>
      </c>
      <c r="CI62" s="49">
        <f ca="1">SUMPRODUCT(OFFSET(tShpPRVStd,0,23,1,11),N(OFFSET(tpSurvPRV,0,60-OFFSET(_i,0,0,1,11),1,1)))</f>
        <v>58.264483046985802</v>
      </c>
      <c r="CJ62" s="49">
        <f ca="1">SUMPRODUCT(OFFSET(tShpPRVStd,0,24,1,10),N(OFFSET(tpSurvPRV,0,60-OFFSET(_i,0,0,1,10),1,1)))</f>
        <v>47.628932404357045</v>
      </c>
      <c r="CK62" s="49">
        <f ca="1">SUMPRODUCT(OFFSET(tShpPRVStd,0,25,1,9),N(OFFSET(tpSurvPRV,0,60-OFFSET(_i,0,0,1,9),1,1)))</f>
        <v>38.100964757638117</v>
      </c>
      <c r="CL62" s="49">
        <f ca="1">SUMPRODUCT(OFFSET(tShpPRVStd,0,26,1,8),N(OFFSET(tpSurvPRV,0,60-OFFSET(_i,0,0,1,8),1,1)))</f>
        <v>29.536183197111566</v>
      </c>
      <c r="CM62" s="49">
        <f ca="1">SUMPRODUCT(OFFSET(tShpPRVStd,0,27,1,7),N(OFFSET(tpSurvPRV,0,60-OFFSET(_i,0,0,1,7),1,1)))</f>
        <v>21.948641232295977</v>
      </c>
      <c r="CN62" s="49">
        <f ca="1">SUMPRODUCT(OFFSET(tShpPRVStd,0,28,1,6),N(OFFSET(tpSurvPRV,0,60-OFFSET(_i,0,0,1,6),1,1)))</f>
        <v>15.591062760278893</v>
      </c>
      <c r="CO62" s="49">
        <f ca="1">SUMPRODUCT(OFFSET(tShpPRVStd,0,29,1,5),N(OFFSET(tpSurvPRV,0,60-OFFSET(_i,0,0,1,5),1,1)))</f>
        <v>10.389164469072821</v>
      </c>
      <c r="CP62" s="49">
        <f ca="1">SUMPRODUCT(OFFSET(tShpPRVStd,0,30,1,4),N(OFFSET(tpSurvPRV,0,60-OFFSET(_i,0,0,1,4),1,1)))</f>
        <v>6.228576554349889</v>
      </c>
      <c r="CQ62" s="49">
        <f ca="1">SUMPRODUCT(OFFSET(tShpPRVStd,0,31,1,3),N(OFFSET(tpSurvPRV,0,60-OFFSET(_i,0,0,1,3),1,1)))</f>
        <v>3.1237229225311598</v>
      </c>
      <c r="CR62" s="49">
        <f ca="1">SUMPRODUCT(OFFSET(tShpPRVStd,0,32,1,2),N(OFFSET(tpSurvPRV,0,60-OFFSET(_i,0,0,1,2),1,1)))</f>
        <v>1.0493535691869706</v>
      </c>
      <c r="CS62" s="50">
        <f ca="1">SUMPRODUCT(N(OFFSET(tShpPRVStd,0,33,1,1)),N(OFFSET(tpSurvPRV,0,60-OFFSET(_i,0,0,1,1),1,1)))</f>
        <v>0</v>
      </c>
      <c r="CT62" s="10"/>
    </row>
    <row r="63" spans="2:98" ht="15">
      <c r="B63" s="10"/>
      <c r="C63" s="10"/>
      <c r="D63" s="10"/>
      <c r="E63" s="289"/>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row>
    <row r="64" spans="2:98" ht="15">
      <c r="B64" s="10"/>
      <c r="C64" s="22" t="s">
        <v>58</v>
      </c>
      <c r="D64" s="23"/>
      <c r="E64" s="24">
        <f t="array" ref="E64:J64">_yM</f>
        <v>2013</v>
      </c>
      <c r="F64" s="24">
        <v>2014</v>
      </c>
      <c r="G64" s="24">
        <v>2015</v>
      </c>
      <c r="H64" s="24">
        <v>2016</v>
      </c>
      <c r="I64" s="24">
        <v>2017</v>
      </c>
      <c r="J64" s="25">
        <v>2018</v>
      </c>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row>
    <row r="65" spans="2:98" ht="15">
      <c r="B65" s="10"/>
      <c r="C65" s="11" t="s">
        <v>59</v>
      </c>
      <c r="D65" s="12" t="str">
        <f>shpUnit</f>
        <v>th units</v>
      </c>
      <c r="E65" s="136">
        <f>'Shipments 2012'!H20*Shipments!E66/1000</f>
        <v>652.90569745118069</v>
      </c>
      <c r="F65" s="136">
        <f>E65*F66</f>
        <v>651.115436552186</v>
      </c>
      <c r="G65" s="136">
        <f t="shared" ref="G65:J65" si="7">F65*G66</f>
        <v>717.97161483308946</v>
      </c>
      <c r="H65" s="136">
        <f t="shared" si="7"/>
        <v>753.62854742472666</v>
      </c>
      <c r="I65" s="136">
        <f t="shared" si="7"/>
        <v>786.10761008033387</v>
      </c>
      <c r="J65" s="136">
        <f t="shared" si="7"/>
        <v>821.00828719186052</v>
      </c>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row>
    <row r="66" spans="2:98" ht="15">
      <c r="B66" s="10"/>
      <c r="C66" s="27" t="s">
        <v>60</v>
      </c>
      <c r="D66" s="14"/>
      <c r="E66" s="253">
        <v>0.97087335948563203</v>
      </c>
      <c r="F66" s="253">
        <v>0.99725800999136094</v>
      </c>
      <c r="G66" s="253">
        <v>1.102679455174528</v>
      </c>
      <c r="H66" s="253">
        <v>1.0496634293821303</v>
      </c>
      <c r="I66" s="253">
        <v>1.0430969112921658</v>
      </c>
      <c r="J66" s="254">
        <v>1.044396818786629</v>
      </c>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row>
    <row r="67" spans="2:98" ht="15">
      <c r="B67" s="10"/>
      <c r="C67" s="28" t="str">
        <f>INDEX(_pcName,1)</f>
        <v>Axial Cylindrical Housed</v>
      </c>
      <c r="D67" s="12" t="str">
        <f t="shared" ref="D67:D73" si="8">shpUnit</f>
        <v>th units</v>
      </c>
      <c r="E67" s="39">
        <f t="array" ref="E67:J67">tmiaAll*tmiaMktAxH</f>
        <v>33.245131012186761</v>
      </c>
      <c r="F67" s="39">
        <v>33.153973195115441</v>
      </c>
      <c r="G67" s="39">
        <v>36.558205099660803</v>
      </c>
      <c r="H67" s="39">
        <v>38.373810936965242</v>
      </c>
      <c r="I67" s="39">
        <v>40.027603662857977</v>
      </c>
      <c r="J67" s="40">
        <v>41.80470192914089</v>
      </c>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row>
    <row r="68" spans="2:98" ht="15">
      <c r="B68" s="10"/>
      <c r="C68" s="28" t="str">
        <f>INDEX(_pcName,2)</f>
        <v>Panel</v>
      </c>
      <c r="D68" s="12" t="str">
        <f t="shared" si="8"/>
        <v>th units</v>
      </c>
      <c r="E68" s="39">
        <f t="array" ref="E68:J68">tmiaAll*tmiaMktPan</f>
        <v>29.935076120629788</v>
      </c>
      <c r="F68" s="39">
        <v>29.852994440999172</v>
      </c>
      <c r="G68" s="39">
        <v>32.918283645529179</v>
      </c>
      <c r="H68" s="39">
        <v>34.553118500739856</v>
      </c>
      <c r="I68" s="39">
        <v>36.04225118363393</v>
      </c>
      <c r="J68" s="40">
        <v>37.642412478095899</v>
      </c>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row>
    <row r="69" spans="2:98" ht="15">
      <c r="B69" s="10"/>
      <c r="C69" s="28" t="str">
        <f>INDEX(_pcName,3)</f>
        <v>Centrif Housed</v>
      </c>
      <c r="D69" s="12" t="str">
        <f t="shared" si="8"/>
        <v>th units</v>
      </c>
      <c r="E69" s="39">
        <f t="array" ref="E69:J69">tmiaAll*tmiaMktCnH</f>
        <v>85.113333570687303</v>
      </c>
      <c r="F69" s="39">
        <v>84.879953660434509</v>
      </c>
      <c r="G69" s="39">
        <v>93.595381057527121</v>
      </c>
      <c r="H69" s="39">
        <v>98.243648655171185</v>
      </c>
      <c r="I69" s="39">
        <v>102.47764646628181</v>
      </c>
      <c r="J69" s="40">
        <v>107.02732796612555</v>
      </c>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row>
    <row r="70" spans="2:98" ht="15">
      <c r="B70" s="10"/>
      <c r="C70" s="28" t="str">
        <f>INDEX(_pcName,4)</f>
        <v>Centrif Unhous</v>
      </c>
      <c r="D70" s="12" t="str">
        <f t="shared" si="8"/>
        <v>th units</v>
      </c>
      <c r="E70" s="39">
        <f t="array" ref="E70:J70">tmiaAll*tmiaMktCnU</f>
        <v>104.78514809758491</v>
      </c>
      <c r="F70" s="39">
        <v>104.49782826844755</v>
      </c>
      <c r="G70" s="39">
        <v>115.22760834197315</v>
      </c>
      <c r="H70" s="39">
        <v>120.9502065317365</v>
      </c>
      <c r="I70" s="39">
        <v>126.16278685340389</v>
      </c>
      <c r="J70" s="40">
        <v>131.76401323895055</v>
      </c>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row>
    <row r="71" spans="2:98" ht="15">
      <c r="B71" s="10"/>
      <c r="C71" s="28" t="str">
        <f>INDEX(_pcName,5)</f>
        <v>Inline-Mixed</v>
      </c>
      <c r="D71" s="12" t="str">
        <f t="shared" si="8"/>
        <v>th units</v>
      </c>
      <c r="E71" s="39">
        <f t="array" ref="E71:J71">tmiaAll*tmiaMktInMx</f>
        <v>25.72814402636925</v>
      </c>
      <c r="F71" s="39">
        <v>25.657597712508117</v>
      </c>
      <c r="G71" s="39">
        <v>28.292105866715669</v>
      </c>
      <c r="H71" s="39">
        <v>29.697188868499058</v>
      </c>
      <c r="I71" s="39">
        <v>30.977045982791452</v>
      </c>
      <c r="J71" s="40">
        <v>32.352328279834524</v>
      </c>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c r="CK71" s="10"/>
      <c r="CL71" s="10"/>
      <c r="CM71" s="10"/>
      <c r="CN71" s="10"/>
      <c r="CO71" s="10"/>
      <c r="CP71" s="10"/>
      <c r="CQ71" s="10"/>
      <c r="CR71" s="10"/>
      <c r="CS71" s="10"/>
      <c r="CT71" s="10"/>
    </row>
    <row r="72" spans="2:98" ht="15">
      <c r="B72" s="10"/>
      <c r="C72" s="28" t="str">
        <f>INDEX(_pcName,6)</f>
        <v>Radial</v>
      </c>
      <c r="D72" s="12" t="str">
        <f t="shared" si="8"/>
        <v>th units</v>
      </c>
      <c r="E72" s="39">
        <f t="array" ref="E72:J72">tmiaAll*tmiaMktRad</f>
        <v>34.951440941482751</v>
      </c>
      <c r="F72" s="39">
        <v>34.855604439633666</v>
      </c>
      <c r="G72" s="39">
        <v>38.434558913274117</v>
      </c>
      <c r="H72" s="39">
        <v>40.343350915696831</v>
      </c>
      <c r="I72" s="39">
        <v>42.082024731339331</v>
      </c>
      <c r="J72" s="40">
        <v>43.950332757511049</v>
      </c>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row>
    <row r="73" spans="2:98" ht="15">
      <c r="B73" s="10"/>
      <c r="C73" s="45" t="str">
        <f>INDEX(_pcName,7)</f>
        <v>Power Roof Vent</v>
      </c>
      <c r="D73" s="18" t="str">
        <f t="shared" si="8"/>
        <v>th units</v>
      </c>
      <c r="E73" s="49">
        <f t="array" ref="E73:J73">tmiaAll*tmiaMktPRV</f>
        <v>65.533951765280165</v>
      </c>
      <c r="F73" s="49">
        <v>65.354258324313122</v>
      </c>
      <c r="G73" s="49">
        <v>72.064797962388965</v>
      </c>
      <c r="H73" s="49">
        <v>75.643782966931553</v>
      </c>
      <c r="I73" s="49">
        <v>78.903796371261251</v>
      </c>
      <c r="J73" s="50">
        <v>82.406873920333211</v>
      </c>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row>
    <row r="74" spans="2:98" ht="15">
      <c r="B74" s="10"/>
      <c r="C74" s="41" t="s">
        <v>61</v>
      </c>
      <c r="D74" s="42"/>
      <c r="E74" s="288">
        <f>SUM(E75:E81)</f>
        <v>0.58092956917806871</v>
      </c>
      <c r="F74" s="42"/>
      <c r="G74" s="42"/>
      <c r="H74" s="42"/>
      <c r="I74" s="42"/>
      <c r="J74" s="43"/>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row>
    <row r="75" spans="2:98" ht="15">
      <c r="B75" s="10"/>
      <c r="C75" s="16" t="str">
        <f>INDEX(_pcName,1)</f>
        <v>Axial Cylindrical Housed</v>
      </c>
      <c r="D75" s="12" t="s">
        <v>47</v>
      </c>
      <c r="E75" s="29">
        <f>'Shipments 2012'!I9</f>
        <v>5.0918733198330797E-2</v>
      </c>
      <c r="F75" s="29">
        <f>E75</f>
        <v>5.0918733198330797E-2</v>
      </c>
      <c r="G75" s="29">
        <f t="shared" ref="G75:J75" si="9">F75</f>
        <v>5.0918733198330797E-2</v>
      </c>
      <c r="H75" s="29">
        <f t="shared" si="9"/>
        <v>5.0918733198330797E-2</v>
      </c>
      <c r="I75" s="29">
        <f t="shared" si="9"/>
        <v>5.0918733198330797E-2</v>
      </c>
      <c r="J75" s="29">
        <f t="shared" si="9"/>
        <v>5.0918733198330797E-2</v>
      </c>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c r="CQ75" s="10"/>
      <c r="CR75" s="10"/>
      <c r="CS75" s="10"/>
      <c r="CT75" s="10"/>
    </row>
    <row r="76" spans="2:98" ht="15">
      <c r="B76" s="10"/>
      <c r="C76" s="16" t="str">
        <f>INDEX(_pcName,2)</f>
        <v>Panel</v>
      </c>
      <c r="D76" s="12" t="s">
        <v>47</v>
      </c>
      <c r="E76" s="29">
        <f>'Shipments 2012'!I11</f>
        <v>4.584900428575002E-2</v>
      </c>
      <c r="F76" s="29">
        <f t="shared" ref="F76:J81" si="10">E76</f>
        <v>4.584900428575002E-2</v>
      </c>
      <c r="G76" s="29">
        <f t="shared" si="10"/>
        <v>4.584900428575002E-2</v>
      </c>
      <c r="H76" s="29">
        <f t="shared" si="10"/>
        <v>4.584900428575002E-2</v>
      </c>
      <c r="I76" s="29">
        <f t="shared" si="10"/>
        <v>4.584900428575002E-2</v>
      </c>
      <c r="J76" s="29">
        <f t="shared" si="10"/>
        <v>4.584900428575002E-2</v>
      </c>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row>
    <row r="77" spans="2:98" ht="15">
      <c r="B77" s="10"/>
      <c r="C77" s="16" t="str">
        <f>INDEX(_pcName,3)</f>
        <v>Centrif Housed</v>
      </c>
      <c r="D77" s="12" t="s">
        <v>47</v>
      </c>
      <c r="E77" s="29">
        <f>'Shipments 2012'!I13</f>
        <v>0.13036083756498607</v>
      </c>
      <c r="F77" s="29">
        <f t="shared" si="10"/>
        <v>0.13036083756498607</v>
      </c>
      <c r="G77" s="29">
        <f t="shared" si="10"/>
        <v>0.13036083756498607</v>
      </c>
      <c r="H77" s="29">
        <f t="shared" si="10"/>
        <v>0.13036083756498607</v>
      </c>
      <c r="I77" s="29">
        <f t="shared" si="10"/>
        <v>0.13036083756498607</v>
      </c>
      <c r="J77" s="29">
        <f t="shared" si="10"/>
        <v>0.13036083756498607</v>
      </c>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c r="CK77" s="10"/>
      <c r="CL77" s="10"/>
      <c r="CM77" s="10"/>
      <c r="CN77" s="10"/>
      <c r="CO77" s="10"/>
      <c r="CP77" s="10"/>
      <c r="CQ77" s="10"/>
      <c r="CR77" s="10"/>
      <c r="CS77" s="10"/>
      <c r="CT77" s="10"/>
    </row>
    <row r="78" spans="2:98" ht="15">
      <c r="B78" s="10"/>
      <c r="C78" s="16" t="str">
        <f>INDEX(_pcName,4)</f>
        <v>Centrif Unhous</v>
      </c>
      <c r="D78" s="12" t="s">
        <v>47</v>
      </c>
      <c r="E78" s="29">
        <f>'Shipments 2012'!I14</f>
        <v>0.16049047895683272</v>
      </c>
      <c r="F78" s="29">
        <f t="shared" si="10"/>
        <v>0.16049047895683272</v>
      </c>
      <c r="G78" s="29">
        <f t="shared" si="10"/>
        <v>0.16049047895683272</v>
      </c>
      <c r="H78" s="29">
        <f t="shared" si="10"/>
        <v>0.16049047895683272</v>
      </c>
      <c r="I78" s="29">
        <f t="shared" si="10"/>
        <v>0.16049047895683272</v>
      </c>
      <c r="J78" s="29">
        <f t="shared" si="10"/>
        <v>0.16049047895683272</v>
      </c>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c r="CQ78" s="10"/>
      <c r="CR78" s="10"/>
      <c r="CS78" s="10"/>
      <c r="CT78" s="10"/>
    </row>
    <row r="79" spans="2:98" ht="15">
      <c r="B79" s="10"/>
      <c r="C79" s="16" t="str">
        <f>INDEX(_pcName,5)</f>
        <v>Inline-Mixed</v>
      </c>
      <c r="D79" s="12" t="s">
        <v>47</v>
      </c>
      <c r="E79" s="29">
        <f>'Shipments 2012'!I16</f>
        <v>3.9405605015865257E-2</v>
      </c>
      <c r="F79" s="29">
        <f t="shared" si="10"/>
        <v>3.9405605015865257E-2</v>
      </c>
      <c r="G79" s="29">
        <f t="shared" si="10"/>
        <v>3.9405605015865257E-2</v>
      </c>
      <c r="H79" s="29">
        <f t="shared" si="10"/>
        <v>3.9405605015865257E-2</v>
      </c>
      <c r="I79" s="29">
        <f t="shared" si="10"/>
        <v>3.9405605015865257E-2</v>
      </c>
      <c r="J79" s="29">
        <f t="shared" si="10"/>
        <v>3.9405605015865257E-2</v>
      </c>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c r="CQ79" s="10"/>
      <c r="CR79" s="10"/>
      <c r="CS79" s="10"/>
      <c r="CT79" s="10"/>
    </row>
    <row r="80" spans="2:98" ht="15">
      <c r="B80" s="10"/>
      <c r="C80" s="16" t="str">
        <f>INDEX(_pcName,6)</f>
        <v>Radial</v>
      </c>
      <c r="D80" s="12" t="s">
        <v>47</v>
      </c>
      <c r="E80" s="29">
        <f>'Shipments 2012'!I17</f>
        <v>5.3532142663062235E-2</v>
      </c>
      <c r="F80" s="29">
        <f t="shared" si="10"/>
        <v>5.3532142663062235E-2</v>
      </c>
      <c r="G80" s="29">
        <f t="shared" si="10"/>
        <v>5.3532142663062235E-2</v>
      </c>
      <c r="H80" s="29">
        <f t="shared" si="10"/>
        <v>5.3532142663062235E-2</v>
      </c>
      <c r="I80" s="29">
        <f t="shared" si="10"/>
        <v>5.3532142663062235E-2</v>
      </c>
      <c r="J80" s="29">
        <f t="shared" si="10"/>
        <v>5.3532142663062235E-2</v>
      </c>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c r="CK80" s="10"/>
      <c r="CL80" s="10"/>
      <c r="CM80" s="10"/>
      <c r="CN80" s="10"/>
      <c r="CO80" s="10"/>
      <c r="CP80" s="10"/>
      <c r="CQ80" s="10"/>
      <c r="CR80" s="10"/>
      <c r="CS80" s="10"/>
      <c r="CT80" s="10"/>
    </row>
    <row r="81" spans="2:98" ht="15">
      <c r="B81" s="10"/>
      <c r="C81" s="16" t="str">
        <f>INDEX(_pcName,7)</f>
        <v>Power Roof Vent</v>
      </c>
      <c r="D81" s="12" t="s">
        <v>47</v>
      </c>
      <c r="E81" s="29">
        <f>'Shipments 2012'!I19</f>
        <v>0.10037276749324169</v>
      </c>
      <c r="F81" s="29">
        <f t="shared" si="10"/>
        <v>0.10037276749324169</v>
      </c>
      <c r="G81" s="29">
        <f t="shared" si="10"/>
        <v>0.10037276749324169</v>
      </c>
      <c r="H81" s="29">
        <f t="shared" si="10"/>
        <v>0.10037276749324169</v>
      </c>
      <c r="I81" s="29">
        <f t="shared" si="10"/>
        <v>0.10037276749324169</v>
      </c>
      <c r="J81" s="29">
        <f t="shared" si="10"/>
        <v>0.10037276749324169</v>
      </c>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row>
    <row r="82" spans="2:98" ht="15">
      <c r="B82" s="10"/>
      <c r="C82" s="41" t="s">
        <v>62</v>
      </c>
      <c r="D82" s="42"/>
      <c r="E82" s="42"/>
      <c r="F82" s="42"/>
      <c r="G82" s="42"/>
      <c r="H82" s="42"/>
      <c r="I82" s="42"/>
      <c r="J82" s="43"/>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c r="CK82" s="10"/>
      <c r="CL82" s="10"/>
      <c r="CM82" s="10"/>
      <c r="CN82" s="10"/>
      <c r="CO82" s="10"/>
      <c r="CP82" s="10"/>
      <c r="CQ82" s="10"/>
      <c r="CR82" s="10"/>
      <c r="CS82" s="10"/>
      <c r="CT82" s="10"/>
    </row>
    <row r="83" spans="2:98" ht="15">
      <c r="B83" s="10"/>
      <c r="C83" s="16" t="str">
        <f>INDEX(_pcName,1)</f>
        <v>Axial Cylindrical Housed</v>
      </c>
      <c r="D83" s="14"/>
      <c r="E83" s="14"/>
      <c r="F83" s="14"/>
      <c r="G83" s="14"/>
      <c r="H83" s="14"/>
      <c r="I83" s="14"/>
      <c r="J83" s="15"/>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c r="CK83" s="10"/>
      <c r="CL83" s="10"/>
      <c r="CM83" s="10"/>
      <c r="CN83" s="10"/>
      <c r="CO83" s="10"/>
      <c r="CP83" s="10"/>
      <c r="CQ83" s="10"/>
      <c r="CR83" s="10"/>
      <c r="CS83" s="10"/>
      <c r="CT83" s="10"/>
    </row>
    <row r="84" spans="2:98" ht="15">
      <c r="B84" s="10"/>
      <c r="C84" s="28" t="str">
        <f>INDEX(_doName,1,1)</f>
        <v>EL 0</v>
      </c>
      <c r="D84" s="12" t="s">
        <v>47</v>
      </c>
      <c r="E84" s="29">
        <f t="array" ref="E84:E90">TRANSPOSE(bcAxH)</f>
        <v>8.2000000000000003E-2</v>
      </c>
      <c r="F84" s="29">
        <f t="array" ref="F84:F90">TRANSPOSE(bcAxH)</f>
        <v>8.2000000000000003E-2</v>
      </c>
      <c r="G84" s="29">
        <f t="array" ref="G84:G90">TRANSPOSE(bcAxH)</f>
        <v>8.2000000000000003E-2</v>
      </c>
      <c r="H84" s="29">
        <f t="array" ref="H84:H90">TRANSPOSE(bcAxH)</f>
        <v>8.2000000000000003E-2</v>
      </c>
      <c r="I84" s="29">
        <f t="array" ref="I84:I90">TRANSPOSE(bcAxH)</f>
        <v>8.2000000000000003E-2</v>
      </c>
      <c r="J84" s="44">
        <f t="array" ref="J84:J90">TRANSPOSE(bcAxH)</f>
        <v>8.2000000000000003E-2</v>
      </c>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c r="CK84" s="10"/>
      <c r="CL84" s="10"/>
      <c r="CM84" s="10"/>
      <c r="CN84" s="10"/>
      <c r="CO84" s="10"/>
      <c r="CP84" s="10"/>
      <c r="CQ84" s="10"/>
      <c r="CR84" s="10"/>
      <c r="CS84" s="10"/>
      <c r="CT84" s="10"/>
    </row>
    <row r="85" spans="2:98" ht="15">
      <c r="B85" s="10"/>
      <c r="C85" s="28" t="str">
        <f>INDEX(_doName,1,2)</f>
        <v>EL 1</v>
      </c>
      <c r="D85" s="12" t="s">
        <v>47</v>
      </c>
      <c r="E85" s="29">
        <v>2.1000000000000001E-2</v>
      </c>
      <c r="F85" s="29">
        <v>2.1000000000000001E-2</v>
      </c>
      <c r="G85" s="29">
        <v>2.1000000000000001E-2</v>
      </c>
      <c r="H85" s="29">
        <v>2.1000000000000001E-2</v>
      </c>
      <c r="I85" s="29">
        <v>2.1000000000000001E-2</v>
      </c>
      <c r="J85" s="44">
        <v>2.1000000000000001E-2</v>
      </c>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row>
    <row r="86" spans="2:98" ht="15">
      <c r="B86" s="10"/>
      <c r="C86" s="28" t="str">
        <f>INDEX(_doName,1,3)</f>
        <v>EL 2</v>
      </c>
      <c r="D86" s="12" t="s">
        <v>47</v>
      </c>
      <c r="E86" s="29">
        <v>3.6999999999999998E-2</v>
      </c>
      <c r="F86" s="29">
        <v>3.6999999999999998E-2</v>
      </c>
      <c r="G86" s="29">
        <v>3.6999999999999998E-2</v>
      </c>
      <c r="H86" s="29">
        <v>3.6999999999999998E-2</v>
      </c>
      <c r="I86" s="29">
        <v>3.6999999999999998E-2</v>
      </c>
      <c r="J86" s="44">
        <v>3.6999999999999998E-2</v>
      </c>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c r="CK86" s="10"/>
      <c r="CL86" s="10"/>
      <c r="CM86" s="10"/>
      <c r="CN86" s="10"/>
      <c r="CO86" s="10"/>
      <c r="CP86" s="10"/>
      <c r="CQ86" s="10"/>
      <c r="CR86" s="10"/>
      <c r="CS86" s="10"/>
      <c r="CT86" s="10"/>
    </row>
    <row r="87" spans="2:98" ht="15">
      <c r="B87" s="10"/>
      <c r="C87" s="28" t="str">
        <f>INDEX(_doName,1,4)</f>
        <v>EL 3</v>
      </c>
      <c r="D87" s="12" t="s">
        <v>47</v>
      </c>
      <c r="E87" s="29">
        <v>4.4999999999999998E-2</v>
      </c>
      <c r="F87" s="29">
        <v>4.4999999999999998E-2</v>
      </c>
      <c r="G87" s="29">
        <v>4.4999999999999998E-2</v>
      </c>
      <c r="H87" s="29">
        <v>4.4999999999999998E-2</v>
      </c>
      <c r="I87" s="29">
        <v>4.4999999999999998E-2</v>
      </c>
      <c r="J87" s="44">
        <v>4.4999999999999998E-2</v>
      </c>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0"/>
      <c r="CN87" s="10"/>
      <c r="CO87" s="10"/>
      <c r="CP87" s="10"/>
      <c r="CQ87" s="10"/>
      <c r="CR87" s="10"/>
      <c r="CS87" s="10"/>
      <c r="CT87" s="10"/>
    </row>
    <row r="88" spans="2:98" ht="15">
      <c r="B88" s="10"/>
      <c r="C88" s="28" t="str">
        <f>INDEX(_doName,1,5)</f>
        <v>EL 4</v>
      </c>
      <c r="D88" s="12" t="s">
        <v>47</v>
      </c>
      <c r="E88" s="29">
        <v>6.6000000000000003E-2</v>
      </c>
      <c r="F88" s="29">
        <v>6.6000000000000003E-2</v>
      </c>
      <c r="G88" s="29">
        <v>6.6000000000000003E-2</v>
      </c>
      <c r="H88" s="29">
        <v>6.6000000000000003E-2</v>
      </c>
      <c r="I88" s="29">
        <v>6.6000000000000003E-2</v>
      </c>
      <c r="J88" s="44">
        <v>6.6000000000000003E-2</v>
      </c>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row>
    <row r="89" spans="2:98" ht="15">
      <c r="B89" s="10"/>
      <c r="C89" s="28" t="str">
        <f>INDEX(_doName,1,6)</f>
        <v>EL 5</v>
      </c>
      <c r="D89" s="12" t="s">
        <v>47</v>
      </c>
      <c r="E89" s="29">
        <v>0.33200000000000002</v>
      </c>
      <c r="F89" s="29">
        <v>0.33200000000000002</v>
      </c>
      <c r="G89" s="29">
        <v>0.33200000000000002</v>
      </c>
      <c r="H89" s="29">
        <v>0.33200000000000002</v>
      </c>
      <c r="I89" s="29">
        <v>0.33200000000000002</v>
      </c>
      <c r="J89" s="44">
        <v>0.33200000000000002</v>
      </c>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row>
    <row r="90" spans="2:98" ht="15">
      <c r="B90" s="10"/>
      <c r="C90" s="28" t="str">
        <f>INDEX(_doName,1,7)</f>
        <v>EL 6</v>
      </c>
      <c r="D90" s="12" t="s">
        <v>47</v>
      </c>
      <c r="E90" s="29">
        <v>0.41699999999999998</v>
      </c>
      <c r="F90" s="29">
        <v>0.41699999999999998</v>
      </c>
      <c r="G90" s="29">
        <v>0.41699999999999998</v>
      </c>
      <c r="H90" s="29">
        <v>0.41699999999999998</v>
      </c>
      <c r="I90" s="29">
        <v>0.41699999999999998</v>
      </c>
      <c r="J90" s="44">
        <v>0.41699999999999998</v>
      </c>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row>
    <row r="91" spans="2:98" ht="15">
      <c r="B91" s="10"/>
      <c r="C91" s="16" t="str">
        <f>INDEX(_pcName,2)</f>
        <v>Panel</v>
      </c>
      <c r="D91" s="14"/>
      <c r="E91" s="14"/>
      <c r="F91" s="14"/>
      <c r="G91" s="14"/>
      <c r="H91" s="14"/>
      <c r="I91" s="14"/>
      <c r="J91" s="15"/>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row>
    <row r="92" spans="2:98" ht="15">
      <c r="B92" s="10"/>
      <c r="C92" s="28" t="str">
        <f>INDEX(_doName,1,1)</f>
        <v>EL 0</v>
      </c>
      <c r="D92" s="12" t="s">
        <v>47</v>
      </c>
      <c r="E92" s="29">
        <f t="array" ref="E92:E98">TRANSPOSE(bcPan)</f>
        <v>7.3999999999999996E-2</v>
      </c>
      <c r="F92" s="29">
        <f t="array" ref="F92:F98">TRANSPOSE(bcPan)</f>
        <v>7.3999999999999996E-2</v>
      </c>
      <c r="G92" s="29">
        <f t="array" ref="G92:G98">TRANSPOSE(bcPan)</f>
        <v>7.3999999999999996E-2</v>
      </c>
      <c r="H92" s="29">
        <f t="array" ref="H92:H98">TRANSPOSE(bcPan)</f>
        <v>7.3999999999999996E-2</v>
      </c>
      <c r="I92" s="29">
        <f t="array" ref="I92:I98">TRANSPOSE(bcPan)</f>
        <v>7.3999999999999996E-2</v>
      </c>
      <c r="J92" s="44">
        <f t="array" ref="J92:J98">TRANSPOSE(bcPan)</f>
        <v>7.3999999999999996E-2</v>
      </c>
      <c r="K92" s="284">
        <v>2504.2226028347691</v>
      </c>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row>
    <row r="93" spans="2:98" ht="15">
      <c r="B93" s="10"/>
      <c r="C93" s="28" t="str">
        <f>INDEX(_doName,2,2)</f>
        <v>EL 1</v>
      </c>
      <c r="D93" s="12" t="s">
        <v>47</v>
      </c>
      <c r="E93" s="29">
        <v>4.2999999999999997E-2</v>
      </c>
      <c r="F93" s="29">
        <v>4.2999999999999997E-2</v>
      </c>
      <c r="G93" s="29">
        <v>4.2999999999999997E-2</v>
      </c>
      <c r="H93" s="29">
        <v>4.2999999999999997E-2</v>
      </c>
      <c r="I93" s="29">
        <v>4.2999999999999997E-2</v>
      </c>
      <c r="J93" s="44">
        <v>4.2999999999999997E-2</v>
      </c>
      <c r="K93" s="284">
        <v>2462.1763348666027</v>
      </c>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row>
    <row r="94" spans="2:98" ht="15">
      <c r="B94" s="10"/>
      <c r="C94" s="28" t="str">
        <f>INDEX(_doName,2,3)</f>
        <v>EL 2</v>
      </c>
      <c r="D94" s="12" t="s">
        <v>47</v>
      </c>
      <c r="E94" s="29">
        <v>5.6000000000000001E-2</v>
      </c>
      <c r="F94" s="29">
        <v>5.6000000000000001E-2</v>
      </c>
      <c r="G94" s="29">
        <v>5.6000000000000001E-2</v>
      </c>
      <c r="H94" s="29">
        <v>5.6000000000000001E-2</v>
      </c>
      <c r="I94" s="29">
        <v>5.6000000000000001E-2</v>
      </c>
      <c r="J94" s="44">
        <v>5.6000000000000001E-2</v>
      </c>
      <c r="K94" s="284">
        <v>2447.3757642182759</v>
      </c>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row>
    <row r="95" spans="2:98" ht="15">
      <c r="B95" s="10"/>
      <c r="C95" s="28" t="str">
        <f>INDEX(_doName,2,4)</f>
        <v>EL 3</v>
      </c>
      <c r="D95" s="12" t="s">
        <v>47</v>
      </c>
      <c r="E95" s="29">
        <v>7.5999999999999998E-2</v>
      </c>
      <c r="F95" s="29">
        <v>7.5999999999999998E-2</v>
      </c>
      <c r="G95" s="29">
        <v>7.5999999999999998E-2</v>
      </c>
      <c r="H95" s="29">
        <v>7.5999999999999998E-2</v>
      </c>
      <c r="I95" s="29">
        <v>7.5999999999999998E-2</v>
      </c>
      <c r="J95" s="44">
        <v>7.5999999999999998E-2</v>
      </c>
      <c r="K95" s="284">
        <v>2425.5597205534946</v>
      </c>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c r="CH95" s="10"/>
      <c r="CI95" s="10"/>
      <c r="CJ95" s="10"/>
      <c r="CK95" s="10"/>
      <c r="CL95" s="10"/>
      <c r="CM95" s="10"/>
      <c r="CN95" s="10"/>
      <c r="CO95" s="10"/>
      <c r="CP95" s="10"/>
      <c r="CQ95" s="10"/>
      <c r="CR95" s="10"/>
      <c r="CS95" s="10"/>
      <c r="CT95" s="10"/>
    </row>
    <row r="96" spans="2:98" ht="15">
      <c r="B96" s="10"/>
      <c r="C96" s="28" t="str">
        <f>INDEX(_doName,2,5)</f>
        <v>EL 4</v>
      </c>
      <c r="D96" s="12" t="s">
        <v>47</v>
      </c>
      <c r="E96" s="29">
        <v>7.0999999999999994E-2</v>
      </c>
      <c r="F96" s="29">
        <v>7.0999999999999994E-2</v>
      </c>
      <c r="G96" s="29">
        <v>7.0999999999999994E-2</v>
      </c>
      <c r="H96" s="29">
        <v>7.0999999999999994E-2</v>
      </c>
      <c r="I96" s="29">
        <v>7.0999999999999994E-2</v>
      </c>
      <c r="J96" s="44">
        <v>7.0999999999999994E-2</v>
      </c>
      <c r="K96" s="284">
        <v>2405.2122602800669</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c r="CH96" s="10"/>
      <c r="CI96" s="10"/>
      <c r="CJ96" s="10"/>
      <c r="CK96" s="10"/>
      <c r="CL96" s="10"/>
      <c r="CM96" s="10"/>
      <c r="CN96" s="10"/>
      <c r="CO96" s="10"/>
      <c r="CP96" s="10"/>
      <c r="CQ96" s="10"/>
      <c r="CR96" s="10"/>
      <c r="CS96" s="10"/>
      <c r="CT96" s="10"/>
    </row>
    <row r="97" spans="2:98" ht="15">
      <c r="B97" s="10"/>
      <c r="C97" s="28" t="str">
        <f>INDEX(_doName,2,6)</f>
        <v>EL 5</v>
      </c>
      <c r="D97" s="12" t="s">
        <v>47</v>
      </c>
      <c r="E97" s="29">
        <v>0.245</v>
      </c>
      <c r="F97" s="29">
        <v>0.245</v>
      </c>
      <c r="G97" s="29">
        <v>0.245</v>
      </c>
      <c r="H97" s="29">
        <v>0.245</v>
      </c>
      <c r="I97" s="29">
        <v>0.245</v>
      </c>
      <c r="J97" s="44">
        <v>0.245</v>
      </c>
      <c r="K97" s="284">
        <v>2368.287959595606</v>
      </c>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c r="CQ97" s="10"/>
      <c r="CR97" s="10"/>
      <c r="CS97" s="10"/>
      <c r="CT97" s="10"/>
    </row>
    <row r="98" spans="2:98" ht="15">
      <c r="B98" s="10"/>
      <c r="C98" s="28" t="str">
        <f>INDEX(_doName,2,7)</f>
        <v>EL 6</v>
      </c>
      <c r="D98" s="12" t="s">
        <v>47</v>
      </c>
      <c r="E98" s="29">
        <v>0.435</v>
      </c>
      <c r="F98" s="29">
        <v>0.435</v>
      </c>
      <c r="G98" s="29">
        <v>0.435</v>
      </c>
      <c r="H98" s="29">
        <v>0.435</v>
      </c>
      <c r="I98" s="29">
        <v>0.435</v>
      </c>
      <c r="J98" s="44">
        <v>0.435</v>
      </c>
      <c r="K98" s="284">
        <v>2259.9564596570649</v>
      </c>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c r="CQ98" s="10"/>
      <c r="CR98" s="10"/>
      <c r="CS98" s="10"/>
      <c r="CT98" s="10"/>
    </row>
    <row r="99" spans="2:98" ht="15">
      <c r="B99" s="10"/>
      <c r="C99" s="16" t="str">
        <f>INDEX(_pcName,3)</f>
        <v>Centrif Housed</v>
      </c>
      <c r="D99" s="14"/>
      <c r="E99" s="14"/>
      <c r="F99" s="14"/>
      <c r="G99" s="14"/>
      <c r="H99" s="14"/>
      <c r="I99" s="14"/>
      <c r="J99" s="15"/>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c r="CH99" s="10"/>
      <c r="CI99" s="10"/>
      <c r="CJ99" s="10"/>
      <c r="CK99" s="10"/>
      <c r="CL99" s="10"/>
      <c r="CM99" s="10"/>
      <c r="CN99" s="10"/>
      <c r="CO99" s="10"/>
      <c r="CP99" s="10"/>
      <c r="CQ99" s="10"/>
      <c r="CR99" s="10"/>
      <c r="CS99" s="10"/>
      <c r="CT99" s="10"/>
    </row>
    <row r="100" spans="2:98" ht="15">
      <c r="B100" s="10"/>
      <c r="C100" s="28" t="str">
        <f>INDEX(_doName,1,1)</f>
        <v>EL 0</v>
      </c>
      <c r="D100" s="12" t="s">
        <v>47</v>
      </c>
      <c r="E100" s="29">
        <f t="array" ref="E100:E106">TRANSPOSE(bcCnH)</f>
        <v>0.152</v>
      </c>
      <c r="F100" s="29">
        <f t="array" ref="F100:F106">TRANSPOSE(bcCnH)</f>
        <v>0.152</v>
      </c>
      <c r="G100" s="29">
        <f t="array" ref="G100:G106">TRANSPOSE(bcCnH)</f>
        <v>0.152</v>
      </c>
      <c r="H100" s="29">
        <f t="array" ref="H100:H106">TRANSPOSE(bcCnH)</f>
        <v>0.152</v>
      </c>
      <c r="I100" s="29">
        <f t="array" ref="I100:I106">TRANSPOSE(bcCnH)</f>
        <v>0.152</v>
      </c>
      <c r="J100" s="44">
        <f t="array" ref="J100:J106">TRANSPOSE(bcCnH)</f>
        <v>0.152</v>
      </c>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c r="CH100" s="10"/>
      <c r="CI100" s="10"/>
      <c r="CJ100" s="10"/>
      <c r="CK100" s="10"/>
      <c r="CL100" s="10"/>
      <c r="CM100" s="10"/>
      <c r="CN100" s="10"/>
      <c r="CO100" s="10"/>
      <c r="CP100" s="10"/>
      <c r="CQ100" s="10"/>
      <c r="CR100" s="10"/>
      <c r="CS100" s="10"/>
      <c r="CT100" s="10"/>
    </row>
    <row r="101" spans="2:98" ht="15">
      <c r="B101" s="10"/>
      <c r="C101" s="28" t="str">
        <f>INDEX(_doName,3,2)</f>
        <v>EL 1</v>
      </c>
      <c r="D101" s="12" t="s">
        <v>47</v>
      </c>
      <c r="E101" s="29">
        <v>3.7999999999999999E-2</v>
      </c>
      <c r="F101" s="29">
        <v>3.7999999999999999E-2</v>
      </c>
      <c r="G101" s="29">
        <v>3.7999999999999999E-2</v>
      </c>
      <c r="H101" s="29">
        <v>3.7999999999999999E-2</v>
      </c>
      <c r="I101" s="29">
        <v>3.7999999999999999E-2</v>
      </c>
      <c r="J101" s="44">
        <v>3.7999999999999999E-2</v>
      </c>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c r="CQ101" s="10"/>
      <c r="CR101" s="10"/>
      <c r="CS101" s="10"/>
      <c r="CT101" s="10"/>
    </row>
    <row r="102" spans="2:98" ht="15">
      <c r="B102" s="10"/>
      <c r="C102" s="28" t="str">
        <f>INDEX(_doName,3,3)</f>
        <v>EL 2</v>
      </c>
      <c r="D102" s="12" t="s">
        <v>47</v>
      </c>
      <c r="E102" s="29">
        <v>0.05</v>
      </c>
      <c r="F102" s="29">
        <v>0.05</v>
      </c>
      <c r="G102" s="29">
        <v>0.05</v>
      </c>
      <c r="H102" s="29">
        <v>0.05</v>
      </c>
      <c r="I102" s="29">
        <v>0.05</v>
      </c>
      <c r="J102" s="44">
        <v>0.05</v>
      </c>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row>
    <row r="103" spans="2:98">
      <c r="B103" s="10"/>
      <c r="C103" s="28" t="str">
        <f>INDEX(_doName,3,4)</f>
        <v>EL 3</v>
      </c>
      <c r="D103" s="12" t="s">
        <v>47</v>
      </c>
      <c r="E103" s="29">
        <v>6.7000000000000004E-2</v>
      </c>
      <c r="F103" s="29">
        <v>6.7000000000000004E-2</v>
      </c>
      <c r="G103" s="29">
        <v>6.7000000000000004E-2</v>
      </c>
      <c r="H103" s="29">
        <v>6.7000000000000004E-2</v>
      </c>
      <c r="I103" s="29">
        <v>6.7000000000000004E-2</v>
      </c>
      <c r="J103" s="44">
        <v>6.7000000000000004E-2</v>
      </c>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c r="CH103" s="10"/>
      <c r="CI103" s="10"/>
      <c r="CJ103" s="10"/>
      <c r="CK103" s="10"/>
      <c r="CL103" s="10"/>
      <c r="CM103" s="10"/>
      <c r="CN103" s="10"/>
      <c r="CO103" s="10"/>
      <c r="CP103" s="10"/>
      <c r="CQ103" s="10"/>
      <c r="CR103" s="10"/>
      <c r="CS103" s="10"/>
      <c r="CT103" s="10"/>
    </row>
    <row r="104" spans="2:98">
      <c r="B104" s="10"/>
      <c r="C104" s="28" t="str">
        <f>INDEX(_doName,3,5)</f>
        <v>EL 4</v>
      </c>
      <c r="D104" s="12" t="s">
        <v>47</v>
      </c>
      <c r="E104" s="29">
        <v>9.1999999999999998E-2</v>
      </c>
      <c r="F104" s="29">
        <v>9.1999999999999998E-2</v>
      </c>
      <c r="G104" s="29">
        <v>9.1999999999999998E-2</v>
      </c>
      <c r="H104" s="29">
        <v>9.1999999999999998E-2</v>
      </c>
      <c r="I104" s="29">
        <v>9.1999999999999998E-2</v>
      </c>
      <c r="J104" s="44">
        <v>9.1999999999999998E-2</v>
      </c>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c r="CH104" s="10"/>
      <c r="CI104" s="10"/>
      <c r="CJ104" s="10"/>
      <c r="CK104" s="10"/>
      <c r="CL104" s="10"/>
      <c r="CM104" s="10"/>
      <c r="CN104" s="10"/>
      <c r="CO104" s="10"/>
      <c r="CP104" s="10"/>
      <c r="CQ104" s="10"/>
      <c r="CR104" s="10"/>
      <c r="CS104" s="10"/>
      <c r="CT104" s="10"/>
    </row>
    <row r="105" spans="2:98">
      <c r="B105" s="10"/>
      <c r="C105" s="28" t="str">
        <f>INDEX(_doName,3,6)</f>
        <v>EL 5</v>
      </c>
      <c r="D105" s="12" t="s">
        <v>47</v>
      </c>
      <c r="E105" s="29">
        <v>0.313</v>
      </c>
      <c r="F105" s="29">
        <v>0.313</v>
      </c>
      <c r="G105" s="29">
        <v>0.313</v>
      </c>
      <c r="H105" s="29">
        <v>0.313</v>
      </c>
      <c r="I105" s="29">
        <v>0.313</v>
      </c>
      <c r="J105" s="44">
        <v>0.313</v>
      </c>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row>
    <row r="106" spans="2:98">
      <c r="B106" s="10"/>
      <c r="C106" s="28" t="str">
        <f>INDEX(_doName,3,7)</f>
        <v>EL 6</v>
      </c>
      <c r="D106" s="12" t="s">
        <v>47</v>
      </c>
      <c r="E106" s="29">
        <v>0.28799999999999998</v>
      </c>
      <c r="F106" s="29">
        <v>0.28799999999999998</v>
      </c>
      <c r="G106" s="29">
        <v>0.28799999999999998</v>
      </c>
      <c r="H106" s="29">
        <v>0.28799999999999998</v>
      </c>
      <c r="I106" s="29">
        <v>0.28799999999999998</v>
      </c>
      <c r="J106" s="44">
        <v>0.28799999999999998</v>
      </c>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c r="CQ106" s="10"/>
      <c r="CR106" s="10"/>
      <c r="CS106" s="10"/>
      <c r="CT106" s="10"/>
    </row>
    <row r="107" spans="2:98">
      <c r="B107" s="10"/>
      <c r="C107" s="16" t="str">
        <f>INDEX(_pcName,4)</f>
        <v>Centrif Unhous</v>
      </c>
      <c r="D107" s="14"/>
      <c r="E107" s="14"/>
      <c r="F107" s="14"/>
      <c r="G107" s="14"/>
      <c r="H107" s="14"/>
      <c r="I107" s="14"/>
      <c r="J107" s="15"/>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c r="CQ107" s="10"/>
      <c r="CR107" s="10"/>
      <c r="CS107" s="10"/>
      <c r="CT107" s="10"/>
    </row>
    <row r="108" spans="2:98">
      <c r="B108" s="10"/>
      <c r="C108" s="28" t="str">
        <f>INDEX(_doName,1,1)</f>
        <v>EL 0</v>
      </c>
      <c r="D108" s="12" t="s">
        <v>47</v>
      </c>
      <c r="E108" s="29">
        <f t="array" ref="E108:E114">TRANSPOSE(bcCnU)</f>
        <v>1.7000000000000001E-2</v>
      </c>
      <c r="F108" s="29">
        <f t="array" ref="F108:F114">TRANSPOSE(bcCnU)</f>
        <v>1.7000000000000001E-2</v>
      </c>
      <c r="G108" s="29">
        <f t="array" ref="G108:G114">TRANSPOSE(bcCnU)</f>
        <v>1.7000000000000001E-2</v>
      </c>
      <c r="H108" s="29">
        <f t="array" ref="H108:H114">TRANSPOSE(bcCnU)</f>
        <v>1.7000000000000001E-2</v>
      </c>
      <c r="I108" s="29">
        <f t="array" ref="I108:I114">TRANSPOSE(bcCnU)</f>
        <v>1.7000000000000001E-2</v>
      </c>
      <c r="J108" s="44">
        <f t="array" ref="J108:J114">TRANSPOSE(bcCnU)</f>
        <v>1.7000000000000001E-2</v>
      </c>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c r="CH108" s="10"/>
      <c r="CI108" s="10"/>
      <c r="CJ108" s="10"/>
      <c r="CK108" s="10"/>
      <c r="CL108" s="10"/>
      <c r="CM108" s="10"/>
      <c r="CN108" s="10"/>
      <c r="CO108" s="10"/>
      <c r="CP108" s="10"/>
      <c r="CQ108" s="10"/>
      <c r="CR108" s="10"/>
      <c r="CS108" s="10"/>
      <c r="CT108" s="10"/>
    </row>
    <row r="109" spans="2:98">
      <c r="B109" s="10"/>
      <c r="C109" s="28" t="str">
        <f>INDEX(_doName,4,2)</f>
        <v>EL 1</v>
      </c>
      <c r="D109" s="12" t="s">
        <v>47</v>
      </c>
      <c r="E109" s="29">
        <v>1.2E-2</v>
      </c>
      <c r="F109" s="29">
        <v>1.2E-2</v>
      </c>
      <c r="G109" s="29">
        <v>1.2E-2</v>
      </c>
      <c r="H109" s="29">
        <v>1.2E-2</v>
      </c>
      <c r="I109" s="29">
        <v>1.2E-2</v>
      </c>
      <c r="J109" s="44">
        <v>1.2E-2</v>
      </c>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c r="CH109" s="10"/>
      <c r="CI109" s="10"/>
      <c r="CJ109" s="10"/>
      <c r="CK109" s="10"/>
      <c r="CL109" s="10"/>
      <c r="CM109" s="10"/>
      <c r="CN109" s="10"/>
      <c r="CO109" s="10"/>
      <c r="CP109" s="10"/>
      <c r="CQ109" s="10"/>
      <c r="CR109" s="10"/>
      <c r="CS109" s="10"/>
      <c r="CT109" s="10"/>
    </row>
    <row r="110" spans="2:98">
      <c r="B110" s="10"/>
      <c r="C110" s="28" t="str">
        <f>INDEX(_doName,4,3)</f>
        <v>EL 2</v>
      </c>
      <c r="D110" s="12" t="s">
        <v>47</v>
      </c>
      <c r="E110" s="29">
        <v>2.3E-2</v>
      </c>
      <c r="F110" s="29">
        <v>2.3E-2</v>
      </c>
      <c r="G110" s="29">
        <v>2.3E-2</v>
      </c>
      <c r="H110" s="29">
        <v>2.3E-2</v>
      </c>
      <c r="I110" s="29">
        <v>2.3E-2</v>
      </c>
      <c r="J110" s="44">
        <v>2.3E-2</v>
      </c>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c r="CE110" s="10"/>
      <c r="CF110" s="10"/>
      <c r="CG110" s="10"/>
      <c r="CH110" s="10"/>
      <c r="CI110" s="10"/>
      <c r="CJ110" s="10"/>
      <c r="CK110" s="10"/>
      <c r="CL110" s="10"/>
      <c r="CM110" s="10"/>
      <c r="CN110" s="10"/>
      <c r="CO110" s="10"/>
      <c r="CP110" s="10"/>
      <c r="CQ110" s="10"/>
      <c r="CR110" s="10"/>
      <c r="CS110" s="10"/>
      <c r="CT110" s="10"/>
    </row>
    <row r="111" spans="2:98">
      <c r="B111" s="10"/>
      <c r="C111" s="28" t="str">
        <f>INDEX(_doName,4,4)</f>
        <v>EL 3</v>
      </c>
      <c r="D111" s="12" t="s">
        <v>47</v>
      </c>
      <c r="E111" s="29">
        <v>0.04</v>
      </c>
      <c r="F111" s="29">
        <v>0.04</v>
      </c>
      <c r="G111" s="29">
        <v>0.04</v>
      </c>
      <c r="H111" s="29">
        <v>0.04</v>
      </c>
      <c r="I111" s="29">
        <v>0.04</v>
      </c>
      <c r="J111" s="44">
        <v>0.04</v>
      </c>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c r="CH111" s="10"/>
      <c r="CI111" s="10"/>
      <c r="CJ111" s="10"/>
      <c r="CK111" s="10"/>
      <c r="CL111" s="10"/>
      <c r="CM111" s="10"/>
      <c r="CN111" s="10"/>
      <c r="CO111" s="10"/>
      <c r="CP111" s="10"/>
      <c r="CQ111" s="10"/>
      <c r="CR111" s="10"/>
      <c r="CS111" s="10"/>
      <c r="CT111" s="10"/>
    </row>
    <row r="112" spans="2:98">
      <c r="B112" s="10"/>
      <c r="C112" s="28" t="str">
        <f>INDEX(_doName,4,5)</f>
        <v>EL 4</v>
      </c>
      <c r="D112" s="12" t="s">
        <v>47</v>
      </c>
      <c r="E112" s="29">
        <v>6.9000000000000006E-2</v>
      </c>
      <c r="F112" s="29">
        <v>6.9000000000000006E-2</v>
      </c>
      <c r="G112" s="29">
        <v>6.9000000000000006E-2</v>
      </c>
      <c r="H112" s="29">
        <v>6.9000000000000006E-2</v>
      </c>
      <c r="I112" s="29">
        <v>6.9000000000000006E-2</v>
      </c>
      <c r="J112" s="44">
        <v>6.9000000000000006E-2</v>
      </c>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c r="CQ112" s="10"/>
      <c r="CR112" s="10"/>
      <c r="CS112" s="10"/>
      <c r="CT112" s="10"/>
    </row>
    <row r="113" spans="2:98">
      <c r="B113" s="10"/>
      <c r="C113" s="28" t="str">
        <f>INDEX(_doName,4,6)</f>
        <v>EL 5</v>
      </c>
      <c r="D113" s="12" t="s">
        <v>47</v>
      </c>
      <c r="E113" s="29">
        <v>0.57199999999999995</v>
      </c>
      <c r="F113" s="29">
        <v>0.57199999999999995</v>
      </c>
      <c r="G113" s="29">
        <v>0.57199999999999995</v>
      </c>
      <c r="H113" s="29">
        <v>0.57199999999999995</v>
      </c>
      <c r="I113" s="29">
        <v>0.57199999999999995</v>
      </c>
      <c r="J113" s="44">
        <v>0.57199999999999995</v>
      </c>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row>
    <row r="114" spans="2:98">
      <c r="B114" s="10"/>
      <c r="C114" s="28" t="str">
        <f>INDEX(_doName,4,7)</f>
        <v>EL 6</v>
      </c>
      <c r="D114" s="12" t="s">
        <v>47</v>
      </c>
      <c r="E114" s="29">
        <v>0.26700000000000002</v>
      </c>
      <c r="F114" s="29">
        <v>0.26700000000000002</v>
      </c>
      <c r="G114" s="29">
        <v>0.26700000000000002</v>
      </c>
      <c r="H114" s="29">
        <v>0.26700000000000002</v>
      </c>
      <c r="I114" s="29">
        <v>0.26700000000000002</v>
      </c>
      <c r="J114" s="44">
        <v>0.26700000000000002</v>
      </c>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c r="CH114" s="10"/>
      <c r="CI114" s="10"/>
      <c r="CJ114" s="10"/>
      <c r="CK114" s="10"/>
      <c r="CL114" s="10"/>
      <c r="CM114" s="10"/>
      <c r="CN114" s="10"/>
      <c r="CO114" s="10"/>
      <c r="CP114" s="10"/>
      <c r="CQ114" s="10"/>
      <c r="CR114" s="10"/>
      <c r="CS114" s="10"/>
      <c r="CT114" s="10"/>
    </row>
    <row r="115" spans="2:98">
      <c r="B115" s="10"/>
      <c r="C115" s="16" t="str">
        <f>INDEX(_pcName,5)</f>
        <v>Inline-Mixed</v>
      </c>
      <c r="D115" s="14"/>
      <c r="E115" s="14"/>
      <c r="F115" s="14"/>
      <c r="G115" s="14"/>
      <c r="H115" s="14"/>
      <c r="I115" s="14"/>
      <c r="J115" s="15"/>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c r="CE115" s="10"/>
      <c r="CF115" s="10"/>
      <c r="CG115" s="10"/>
      <c r="CH115" s="10"/>
      <c r="CI115" s="10"/>
      <c r="CJ115" s="10"/>
      <c r="CK115" s="10"/>
      <c r="CL115" s="10"/>
      <c r="CM115" s="10"/>
      <c r="CN115" s="10"/>
      <c r="CO115" s="10"/>
      <c r="CP115" s="10"/>
      <c r="CQ115" s="10"/>
      <c r="CR115" s="10"/>
      <c r="CS115" s="10"/>
      <c r="CT115" s="10"/>
    </row>
    <row r="116" spans="2:98">
      <c r="B116" s="10"/>
      <c r="C116" s="28" t="str">
        <f>INDEX(_doName,1,1)</f>
        <v>EL 0</v>
      </c>
      <c r="D116" s="12" t="s">
        <v>47</v>
      </c>
      <c r="E116" s="29">
        <f t="array" ref="E116:E122">TRANSPOSE(bcInMx)</f>
        <v>0.22</v>
      </c>
      <c r="F116" s="29">
        <f t="array" ref="F116:F122">TRANSPOSE(bcInMx)</f>
        <v>0.22</v>
      </c>
      <c r="G116" s="29">
        <f t="array" ref="G116:G122">TRANSPOSE(bcInMx)</f>
        <v>0.22</v>
      </c>
      <c r="H116" s="29">
        <f t="array" ref="H116:H122">TRANSPOSE(bcInMx)</f>
        <v>0.22</v>
      </c>
      <c r="I116" s="29">
        <f t="array" ref="I116:I122">TRANSPOSE(bcInMx)</f>
        <v>0.22</v>
      </c>
      <c r="J116" s="44">
        <f t="array" ref="J116:J122">TRANSPOSE(bcInMx)</f>
        <v>0.22</v>
      </c>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c r="CE116" s="10"/>
      <c r="CF116" s="10"/>
      <c r="CG116" s="10"/>
      <c r="CH116" s="10"/>
      <c r="CI116" s="10"/>
      <c r="CJ116" s="10"/>
      <c r="CK116" s="10"/>
      <c r="CL116" s="10"/>
      <c r="CM116" s="10"/>
      <c r="CN116" s="10"/>
      <c r="CO116" s="10"/>
      <c r="CP116" s="10"/>
      <c r="CQ116" s="10"/>
      <c r="CR116" s="10"/>
      <c r="CS116" s="10"/>
      <c r="CT116" s="10"/>
    </row>
    <row r="117" spans="2:98">
      <c r="B117" s="10"/>
      <c r="C117" s="28" t="str">
        <f>INDEX(_doName,5,2)</f>
        <v>EL 1</v>
      </c>
      <c r="D117" s="12" t="s">
        <v>47</v>
      </c>
      <c r="E117" s="29">
        <v>0.08</v>
      </c>
      <c r="F117" s="29">
        <v>0.08</v>
      </c>
      <c r="G117" s="29">
        <v>0.08</v>
      </c>
      <c r="H117" s="29">
        <v>0.08</v>
      </c>
      <c r="I117" s="29">
        <v>0.08</v>
      </c>
      <c r="J117" s="44">
        <v>0.08</v>
      </c>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c r="CH117" s="10"/>
      <c r="CI117" s="10"/>
      <c r="CJ117" s="10"/>
      <c r="CK117" s="10"/>
      <c r="CL117" s="10"/>
      <c r="CM117" s="10"/>
      <c r="CN117" s="10"/>
      <c r="CO117" s="10"/>
      <c r="CP117" s="10"/>
      <c r="CQ117" s="10"/>
      <c r="CR117" s="10"/>
      <c r="CS117" s="10"/>
      <c r="CT117" s="10"/>
    </row>
    <row r="118" spans="2:98">
      <c r="B118" s="10"/>
      <c r="C118" s="28" t="str">
        <f>INDEX(_doName,5,3)</f>
        <v>EL 2</v>
      </c>
      <c r="D118" s="12" t="s">
        <v>47</v>
      </c>
      <c r="E118" s="29">
        <v>0.106</v>
      </c>
      <c r="F118" s="29">
        <v>0.106</v>
      </c>
      <c r="G118" s="29">
        <v>0.106</v>
      </c>
      <c r="H118" s="29">
        <v>0.106</v>
      </c>
      <c r="I118" s="29">
        <v>0.106</v>
      </c>
      <c r="J118" s="44">
        <v>0.106</v>
      </c>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c r="CE118" s="10"/>
      <c r="CF118" s="10"/>
      <c r="CG118" s="10"/>
      <c r="CH118" s="10"/>
      <c r="CI118" s="10"/>
      <c r="CJ118" s="10"/>
      <c r="CK118" s="10"/>
      <c r="CL118" s="10"/>
      <c r="CM118" s="10"/>
      <c r="CN118" s="10"/>
      <c r="CO118" s="10"/>
      <c r="CP118" s="10"/>
      <c r="CQ118" s="10"/>
      <c r="CR118" s="10"/>
      <c r="CS118" s="10"/>
      <c r="CT118" s="10"/>
    </row>
    <row r="119" spans="2:98">
      <c r="B119" s="10"/>
      <c r="C119" s="28" t="str">
        <f>INDEX(_doName,5,4)</f>
        <v>EL 3</v>
      </c>
      <c r="D119" s="12" t="s">
        <v>47</v>
      </c>
      <c r="E119" s="29">
        <v>0.11</v>
      </c>
      <c r="F119" s="29">
        <v>0.11</v>
      </c>
      <c r="G119" s="29">
        <v>0.11</v>
      </c>
      <c r="H119" s="29">
        <v>0.11</v>
      </c>
      <c r="I119" s="29">
        <v>0.11</v>
      </c>
      <c r="J119" s="44">
        <v>0.11</v>
      </c>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c r="CE119" s="10"/>
      <c r="CF119" s="10"/>
      <c r="CG119" s="10"/>
      <c r="CH119" s="10"/>
      <c r="CI119" s="10"/>
      <c r="CJ119" s="10"/>
      <c r="CK119" s="10"/>
      <c r="CL119" s="10"/>
      <c r="CM119" s="10"/>
      <c r="CN119" s="10"/>
      <c r="CO119" s="10"/>
      <c r="CP119" s="10"/>
      <c r="CQ119" s="10"/>
      <c r="CR119" s="10"/>
      <c r="CS119" s="10"/>
      <c r="CT119" s="10"/>
    </row>
    <row r="120" spans="2:98">
      <c r="B120" s="10"/>
      <c r="C120" s="28" t="str">
        <f>INDEX(_doName,5,5)</f>
        <v>EL 4</v>
      </c>
      <c r="D120" s="12" t="s">
        <v>47</v>
      </c>
      <c r="E120" s="29">
        <v>9.5000000000000001E-2</v>
      </c>
      <c r="F120" s="29">
        <v>9.5000000000000001E-2</v>
      </c>
      <c r="G120" s="29">
        <v>9.5000000000000001E-2</v>
      </c>
      <c r="H120" s="29">
        <v>9.5000000000000001E-2</v>
      </c>
      <c r="I120" s="29">
        <v>9.5000000000000001E-2</v>
      </c>
      <c r="J120" s="44">
        <v>9.5000000000000001E-2</v>
      </c>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row>
    <row r="121" spans="2:98">
      <c r="B121" s="10"/>
      <c r="C121" s="28" t="str">
        <f>INDEX(_doName,5,6)</f>
        <v>EL 5</v>
      </c>
      <c r="D121" s="12" t="s">
        <v>47</v>
      </c>
      <c r="E121" s="29">
        <v>0.23699999999999999</v>
      </c>
      <c r="F121" s="29">
        <v>0.23699999999999999</v>
      </c>
      <c r="G121" s="29">
        <v>0.23699999999999999</v>
      </c>
      <c r="H121" s="29">
        <v>0.23699999999999999</v>
      </c>
      <c r="I121" s="29">
        <v>0.23699999999999999</v>
      </c>
      <c r="J121" s="44">
        <v>0.23699999999999999</v>
      </c>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row>
    <row r="122" spans="2:98">
      <c r="B122" s="10"/>
      <c r="C122" s="28" t="str">
        <f>INDEX(_doName,5,7)</f>
        <v>EL 6</v>
      </c>
      <c r="D122" s="12" t="s">
        <v>47</v>
      </c>
      <c r="E122" s="29">
        <v>0.152</v>
      </c>
      <c r="F122" s="29">
        <v>0.152</v>
      </c>
      <c r="G122" s="29">
        <v>0.152</v>
      </c>
      <c r="H122" s="29">
        <v>0.152</v>
      </c>
      <c r="I122" s="29">
        <v>0.152</v>
      </c>
      <c r="J122" s="44">
        <v>0.152</v>
      </c>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row>
    <row r="123" spans="2:98">
      <c r="B123" s="10"/>
      <c r="C123" s="16" t="str">
        <f>INDEX(_pcName,6)</f>
        <v>Radial</v>
      </c>
      <c r="D123" s="14"/>
      <c r="E123" s="14"/>
      <c r="F123" s="14"/>
      <c r="G123" s="14"/>
      <c r="H123" s="14"/>
      <c r="I123" s="14"/>
      <c r="J123" s="15"/>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row>
    <row r="124" spans="2:98">
      <c r="B124" s="10"/>
      <c r="C124" s="28" t="str">
        <f>INDEX(_doName,1,1)</f>
        <v>EL 0</v>
      </c>
      <c r="D124" s="12" t="s">
        <v>47</v>
      </c>
      <c r="E124" s="29">
        <f t="array" ref="E124:E130">TRANSPOSE(bcRad)</f>
        <v>0.10100000000000001</v>
      </c>
      <c r="F124" s="29">
        <f t="array" ref="F124:F130">TRANSPOSE(bcRad)</f>
        <v>0.10100000000000001</v>
      </c>
      <c r="G124" s="29">
        <f t="array" ref="G124:G130">TRANSPOSE(bcRad)</f>
        <v>0.10100000000000001</v>
      </c>
      <c r="H124" s="29">
        <f t="array" ref="H124:H130">TRANSPOSE(bcRad)</f>
        <v>0.10100000000000001</v>
      </c>
      <c r="I124" s="29">
        <f t="array" ref="I124:I130">TRANSPOSE(bcRad)</f>
        <v>0.10100000000000001</v>
      </c>
      <c r="J124" s="44">
        <f t="array" ref="J124:J130">TRANSPOSE(bcRad)</f>
        <v>0.10100000000000001</v>
      </c>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row>
    <row r="125" spans="2:98">
      <c r="B125" s="10"/>
      <c r="C125" s="28" t="str">
        <f>INDEX(_doName,6,2)</f>
        <v>EL 1</v>
      </c>
      <c r="D125" s="12" t="s">
        <v>47</v>
      </c>
      <c r="E125" s="29">
        <v>4.2999999999999997E-2</v>
      </c>
      <c r="F125" s="29">
        <v>4.2999999999999997E-2</v>
      </c>
      <c r="G125" s="29">
        <v>4.2999999999999997E-2</v>
      </c>
      <c r="H125" s="29">
        <v>4.2999999999999997E-2</v>
      </c>
      <c r="I125" s="29">
        <v>4.2999999999999997E-2</v>
      </c>
      <c r="J125" s="44">
        <v>4.2999999999999997E-2</v>
      </c>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row>
    <row r="126" spans="2:98">
      <c r="B126" s="10"/>
      <c r="C126" s="28" t="str">
        <f>INDEX(_doName,6,3)</f>
        <v>EL 2</v>
      </c>
      <c r="D126" s="12" t="s">
        <v>47</v>
      </c>
      <c r="E126" s="29">
        <v>8.7999999999999995E-2</v>
      </c>
      <c r="F126" s="29">
        <v>8.7999999999999995E-2</v>
      </c>
      <c r="G126" s="29">
        <v>8.7999999999999995E-2</v>
      </c>
      <c r="H126" s="29">
        <v>8.7999999999999995E-2</v>
      </c>
      <c r="I126" s="29">
        <v>8.7999999999999995E-2</v>
      </c>
      <c r="J126" s="44">
        <v>8.7999999999999995E-2</v>
      </c>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row>
    <row r="127" spans="2:98">
      <c r="B127" s="10"/>
      <c r="C127" s="28" t="str">
        <f>INDEX(_doName,6,4)</f>
        <v>EL 3</v>
      </c>
      <c r="D127" s="12" t="s">
        <v>47</v>
      </c>
      <c r="E127" s="29">
        <v>9.6000000000000002E-2</v>
      </c>
      <c r="F127" s="29">
        <v>9.6000000000000002E-2</v>
      </c>
      <c r="G127" s="29">
        <v>9.6000000000000002E-2</v>
      </c>
      <c r="H127" s="29">
        <v>9.6000000000000002E-2</v>
      </c>
      <c r="I127" s="29">
        <v>9.6000000000000002E-2</v>
      </c>
      <c r="J127" s="44">
        <v>9.6000000000000002E-2</v>
      </c>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row>
    <row r="128" spans="2:98">
      <c r="B128" s="10"/>
      <c r="C128" s="28" t="str">
        <f>INDEX(_doName,6,5)</f>
        <v>EL 4</v>
      </c>
      <c r="D128" s="12" t="s">
        <v>47</v>
      </c>
      <c r="E128" s="29">
        <v>0.107</v>
      </c>
      <c r="F128" s="29">
        <v>0.107</v>
      </c>
      <c r="G128" s="29">
        <v>0.107</v>
      </c>
      <c r="H128" s="29">
        <v>0.107</v>
      </c>
      <c r="I128" s="29">
        <v>0.107</v>
      </c>
      <c r="J128" s="44">
        <v>0.107</v>
      </c>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row>
    <row r="129" spans="2:98">
      <c r="B129" s="10"/>
      <c r="C129" s="28" t="str">
        <f>INDEX(_doName,6,6)</f>
        <v>EL 5</v>
      </c>
      <c r="D129" s="12" t="s">
        <v>47</v>
      </c>
      <c r="E129" s="29">
        <v>0.33800000000000002</v>
      </c>
      <c r="F129" s="29">
        <v>0.33800000000000002</v>
      </c>
      <c r="G129" s="29">
        <v>0.33800000000000002</v>
      </c>
      <c r="H129" s="29">
        <v>0.33800000000000002</v>
      </c>
      <c r="I129" s="29">
        <v>0.33800000000000002</v>
      </c>
      <c r="J129" s="44">
        <v>0.33800000000000002</v>
      </c>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row>
    <row r="130" spans="2:98">
      <c r="B130" s="10"/>
      <c r="C130" s="28" t="str">
        <f>INDEX(_doName,6,7)</f>
        <v>EL 6</v>
      </c>
      <c r="D130" s="12" t="s">
        <v>47</v>
      </c>
      <c r="E130" s="29">
        <v>0.22700000000000001</v>
      </c>
      <c r="F130" s="29">
        <v>0.22700000000000001</v>
      </c>
      <c r="G130" s="29">
        <v>0.22700000000000001</v>
      </c>
      <c r="H130" s="29">
        <v>0.22700000000000001</v>
      </c>
      <c r="I130" s="29">
        <v>0.22700000000000001</v>
      </c>
      <c r="J130" s="44">
        <v>0.22700000000000001</v>
      </c>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row>
    <row r="131" spans="2:98">
      <c r="B131" s="10"/>
      <c r="C131" s="16" t="str">
        <f>INDEX(_pcName,7)</f>
        <v>Power Roof Vent</v>
      </c>
      <c r="D131" s="14"/>
      <c r="E131" s="14"/>
      <c r="F131" s="14"/>
      <c r="G131" s="14"/>
      <c r="H131" s="14"/>
      <c r="I131" s="14"/>
      <c r="J131" s="15"/>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row>
    <row r="132" spans="2:98">
      <c r="B132" s="10"/>
      <c r="C132" s="28" t="str">
        <f>INDEX(_doName,1,1)</f>
        <v>EL 0</v>
      </c>
      <c r="D132" s="12" t="s">
        <v>47</v>
      </c>
      <c r="E132" s="29">
        <f t="array" ref="E132:E138">TRANSPOSE(bcPRV)</f>
        <v>0.22800000000000001</v>
      </c>
      <c r="F132" s="29">
        <f t="array" ref="F132:F138">TRANSPOSE(bcPRV)</f>
        <v>0.22800000000000001</v>
      </c>
      <c r="G132" s="29">
        <f t="array" ref="G132:G138">TRANSPOSE(bcPRV)</f>
        <v>0.22800000000000001</v>
      </c>
      <c r="H132" s="29">
        <f t="array" ref="H132:H138">TRANSPOSE(bcPRV)</f>
        <v>0.22800000000000001</v>
      </c>
      <c r="I132" s="29">
        <f t="array" ref="I132:I138">TRANSPOSE(bcPRV)</f>
        <v>0.22800000000000001</v>
      </c>
      <c r="J132" s="44">
        <f t="array" ref="J132:J138">TRANSPOSE(bcPRV)</f>
        <v>0.22800000000000001</v>
      </c>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row>
    <row r="133" spans="2:98">
      <c r="B133" s="10"/>
      <c r="C133" s="28" t="str">
        <f>INDEX(_doName,7,2)</f>
        <v>EL 1</v>
      </c>
      <c r="D133" s="12" t="s">
        <v>47</v>
      </c>
      <c r="E133" s="29">
        <v>7.0999999999999994E-2</v>
      </c>
      <c r="F133" s="29">
        <v>7.0999999999999994E-2</v>
      </c>
      <c r="G133" s="29">
        <v>7.0999999999999994E-2</v>
      </c>
      <c r="H133" s="29">
        <v>7.0999999999999994E-2</v>
      </c>
      <c r="I133" s="29">
        <v>7.0999999999999994E-2</v>
      </c>
      <c r="J133" s="44">
        <v>7.0999999999999994E-2</v>
      </c>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row>
    <row r="134" spans="2:98">
      <c r="B134" s="10"/>
      <c r="C134" s="28" t="str">
        <f>INDEX(_doName,7,3)</f>
        <v>EL 2</v>
      </c>
      <c r="D134" s="12" t="s">
        <v>47</v>
      </c>
      <c r="E134" s="29">
        <v>7.9000000000000001E-2</v>
      </c>
      <c r="F134" s="29">
        <v>7.9000000000000001E-2</v>
      </c>
      <c r="G134" s="29">
        <v>7.9000000000000001E-2</v>
      </c>
      <c r="H134" s="29">
        <v>7.9000000000000001E-2</v>
      </c>
      <c r="I134" s="29">
        <v>7.9000000000000001E-2</v>
      </c>
      <c r="J134" s="44">
        <v>7.9000000000000001E-2</v>
      </c>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row>
    <row r="135" spans="2:98">
      <c r="B135" s="10"/>
      <c r="C135" s="28" t="str">
        <f>INDEX(_doName,7,4)</f>
        <v>EL 3</v>
      </c>
      <c r="D135" s="12" t="s">
        <v>47</v>
      </c>
      <c r="E135" s="29">
        <v>9.8000000000000004E-2</v>
      </c>
      <c r="F135" s="29">
        <v>9.8000000000000004E-2</v>
      </c>
      <c r="G135" s="29">
        <v>9.8000000000000004E-2</v>
      </c>
      <c r="H135" s="29">
        <v>9.8000000000000004E-2</v>
      </c>
      <c r="I135" s="29">
        <v>9.8000000000000004E-2</v>
      </c>
      <c r="J135" s="44">
        <v>9.8000000000000004E-2</v>
      </c>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row>
    <row r="136" spans="2:98">
      <c r="B136" s="10"/>
      <c r="C136" s="28" t="str">
        <f>INDEX(_doName,7,5)</f>
        <v>EL 4</v>
      </c>
      <c r="D136" s="12" t="s">
        <v>47</v>
      </c>
      <c r="E136" s="29">
        <v>0.121</v>
      </c>
      <c r="F136" s="29">
        <v>0.121</v>
      </c>
      <c r="G136" s="29">
        <v>0.121</v>
      </c>
      <c r="H136" s="29">
        <v>0.121</v>
      </c>
      <c r="I136" s="29">
        <v>0.121</v>
      </c>
      <c r="J136" s="44">
        <v>0.121</v>
      </c>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row>
    <row r="137" spans="2:98">
      <c r="B137" s="10"/>
      <c r="C137" s="28" t="str">
        <f>INDEX(_doName,7,6)</f>
        <v>EL 5</v>
      </c>
      <c r="D137" s="12" t="s">
        <v>47</v>
      </c>
      <c r="E137" s="29">
        <v>0.314</v>
      </c>
      <c r="F137" s="29">
        <v>0.314</v>
      </c>
      <c r="G137" s="29">
        <v>0.314</v>
      </c>
      <c r="H137" s="29">
        <v>0.314</v>
      </c>
      <c r="I137" s="29">
        <v>0.314</v>
      </c>
      <c r="J137" s="44">
        <v>0.314</v>
      </c>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row>
    <row r="138" spans="2:98">
      <c r="B138" s="10"/>
      <c r="C138" s="45" t="str">
        <f>INDEX(_doName,7,7)</f>
        <v>EL 6</v>
      </c>
      <c r="D138" s="18" t="s">
        <v>47</v>
      </c>
      <c r="E138" s="46">
        <v>8.8999999999999996E-2</v>
      </c>
      <c r="F138" s="46">
        <v>8.8999999999999996E-2</v>
      </c>
      <c r="G138" s="46">
        <v>8.8999999999999996E-2</v>
      </c>
      <c r="H138" s="46">
        <v>8.8999999999999996E-2</v>
      </c>
      <c r="I138" s="46">
        <v>8.8999999999999996E-2</v>
      </c>
      <c r="J138" s="47">
        <v>8.8999999999999996E-2</v>
      </c>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row>
    <row r="139" spans="2:98">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row>
    <row r="142" spans="2:98">
      <c r="B142" s="309" t="s">
        <v>126</v>
      </c>
      <c r="C142" s="309"/>
      <c r="D142" s="309"/>
      <c r="E142" s="309"/>
      <c r="F142" s="309"/>
      <c r="G142" s="309"/>
      <c r="H142" s="309"/>
      <c r="I142" s="309"/>
      <c r="J142" s="309"/>
      <c r="K142" s="309"/>
      <c r="L142" s="309"/>
      <c r="M142" s="309"/>
      <c r="N142" s="309"/>
      <c r="O142" s="309"/>
      <c r="P142" s="309"/>
      <c r="Q142" s="309"/>
      <c r="R142" s="309"/>
      <c r="S142" s="309"/>
      <c r="T142" s="309"/>
      <c r="U142" s="309"/>
      <c r="V142" s="309"/>
      <c r="W142" s="309"/>
      <c r="X142" s="309"/>
      <c r="Y142" s="309"/>
      <c r="Z142" s="309"/>
      <c r="AA142" s="309"/>
      <c r="AB142" s="309"/>
      <c r="AC142" s="309"/>
      <c r="AD142" s="309"/>
      <c r="AE142" s="309"/>
      <c r="AF142" s="309"/>
      <c r="AG142" s="309"/>
    </row>
    <row r="143" spans="2:98" ht="15" customHeight="1">
      <c r="B143" s="310" t="s">
        <v>242</v>
      </c>
      <c r="C143" s="310"/>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c r="AA143" s="310"/>
      <c r="AB143" s="310"/>
      <c r="AC143" s="310"/>
      <c r="AD143" s="310"/>
      <c r="AE143" s="310"/>
      <c r="AF143" s="310"/>
      <c r="AG143" s="310"/>
    </row>
    <row r="144" spans="2:98">
      <c r="B144" s="310"/>
      <c r="C144" s="310"/>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0"/>
      <c r="AF144" s="310"/>
      <c r="AG144" s="310"/>
    </row>
    <row r="145" spans="2:33">
      <c r="B145" s="310"/>
      <c r="C145" s="310"/>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c r="AG145" s="310"/>
    </row>
    <row r="146" spans="2:33">
      <c r="B146" s="310"/>
      <c r="C146" s="310"/>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0"/>
      <c r="AF146" s="310"/>
      <c r="AG146" s="310"/>
    </row>
    <row r="147" spans="2:33">
      <c r="B147" s="310"/>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row>
    <row r="148" spans="2:33">
      <c r="B148" s="310"/>
      <c r="C148" s="310"/>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c r="AA148" s="310"/>
      <c r="AB148" s="310"/>
      <c r="AC148" s="310"/>
      <c r="AD148" s="310"/>
      <c r="AE148" s="310"/>
      <c r="AF148" s="310"/>
      <c r="AG148" s="310"/>
    </row>
    <row r="149" spans="2:33">
      <c r="B149" s="310"/>
      <c r="C149" s="310"/>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0"/>
      <c r="AF149" s="310"/>
      <c r="AG149" s="310"/>
    </row>
    <row r="150" spans="2:33">
      <c r="B150" s="310"/>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0"/>
      <c r="AF150" s="310"/>
      <c r="AG150" s="310"/>
    </row>
    <row r="151" spans="2:33">
      <c r="B151" s="310"/>
      <c r="C151" s="310"/>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0"/>
      <c r="AF151" s="310"/>
      <c r="AG151" s="310"/>
    </row>
    <row r="152" spans="2:33">
      <c r="B152" s="310"/>
      <c r="C152" s="310"/>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0"/>
      <c r="AF152" s="310"/>
      <c r="AG152" s="310"/>
    </row>
    <row r="153" spans="2:33">
      <c r="B153" s="310"/>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row>
    <row r="154" spans="2:33">
      <c r="B154" s="310"/>
      <c r="C154" s="310"/>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c r="AG154" s="310"/>
    </row>
    <row r="155" spans="2:33">
      <c r="B155" s="310"/>
      <c r="C155" s="310"/>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0"/>
      <c r="AF155" s="310"/>
      <c r="AG155" s="310"/>
    </row>
    <row r="156" spans="2:33">
      <c r="B156" s="310"/>
      <c r="C156" s="310"/>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0"/>
      <c r="AF156" s="310"/>
      <c r="AG156" s="310"/>
    </row>
    <row r="157" spans="2:33">
      <c r="B157" s="310"/>
      <c r="C157" s="310"/>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0"/>
      <c r="AF157" s="310"/>
      <c r="AG157" s="310"/>
    </row>
    <row r="158" spans="2:33">
      <c r="B158" s="310"/>
      <c r="C158" s="310"/>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0"/>
      <c r="AF158" s="310"/>
      <c r="AG158" s="310"/>
    </row>
    <row r="159" spans="2:33">
      <c r="B159" s="310"/>
      <c r="C159" s="310"/>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0"/>
      <c r="AF159" s="310"/>
      <c r="AG159" s="310"/>
    </row>
    <row r="160" spans="2:33">
      <c r="B160" s="310"/>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0"/>
      <c r="AF160" s="310"/>
      <c r="AG160" s="310"/>
    </row>
    <row r="161" spans="1:39">
      <c r="B161" s="310"/>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c r="AG161" s="310"/>
    </row>
    <row r="162" spans="1:39">
      <c r="B162" s="310"/>
      <c r="C162" s="310"/>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0"/>
      <c r="AF162" s="310"/>
      <c r="AG162" s="310"/>
    </row>
    <row r="163" spans="1:39">
      <c r="B163" s="310"/>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0"/>
      <c r="AF163" s="310"/>
      <c r="AG163" s="310"/>
    </row>
    <row r="164" spans="1:39">
      <c r="B164" s="310"/>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0"/>
      <c r="AF164" s="310"/>
      <c r="AG164" s="310"/>
    </row>
    <row r="165" spans="1:39">
      <c r="B165" s="310"/>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c r="AG165" s="310"/>
    </row>
    <row r="166" spans="1:39">
      <c r="B166" s="310"/>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0"/>
      <c r="AF166" s="310"/>
      <c r="AG166" s="310"/>
    </row>
    <row r="167" spans="1:39">
      <c r="B167" s="310"/>
      <c r="C167" s="310"/>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0"/>
      <c r="AF167" s="310"/>
      <c r="AG167" s="310"/>
    </row>
    <row r="168" spans="1:39">
      <c r="B168" s="155"/>
      <c r="C168" s="155"/>
      <c r="D168" s="155"/>
      <c r="E168" s="155"/>
      <c r="F168" s="155"/>
      <c r="G168" s="155"/>
      <c r="H168" s="155"/>
      <c r="I168" s="155"/>
      <c r="J168" s="155"/>
      <c r="K168" s="155"/>
      <c r="L168" s="155"/>
      <c r="M168" s="155"/>
      <c r="N168" s="155"/>
      <c r="O168" s="155"/>
      <c r="P168" s="155"/>
      <c r="Q168" s="155"/>
      <c r="R168" s="155"/>
      <c r="S168" s="155"/>
      <c r="T168" s="155"/>
      <c r="U168" s="155"/>
      <c r="V168" s="155"/>
      <c r="W168" s="155"/>
      <c r="X168" s="155"/>
      <c r="Y168" s="155"/>
      <c r="Z168" s="155"/>
      <c r="AA168" s="155"/>
      <c r="AB168" s="155"/>
      <c r="AC168" s="155"/>
      <c r="AD168" s="155"/>
      <c r="AE168" s="155"/>
      <c r="AF168" s="155"/>
      <c r="AG168" s="155"/>
    </row>
    <row r="169" spans="1:39">
      <c r="A169" s="222" t="s">
        <v>246</v>
      </c>
      <c r="B169" s="258"/>
      <c r="C169" s="258"/>
      <c r="D169" s="258"/>
      <c r="E169" s="258"/>
      <c r="F169" s="258"/>
      <c r="G169" s="258"/>
      <c r="H169" s="258"/>
      <c r="I169" s="258"/>
      <c r="J169" s="258"/>
      <c r="K169" s="258"/>
      <c r="L169" s="258"/>
      <c r="M169" s="258"/>
      <c r="N169" s="258"/>
      <c r="O169" s="258"/>
      <c r="P169" s="258"/>
      <c r="Q169" s="258"/>
      <c r="R169" s="258"/>
      <c r="S169" s="258"/>
      <c r="T169" s="258"/>
      <c r="U169" s="258"/>
      <c r="V169" s="258"/>
      <c r="W169" s="258"/>
      <c r="X169" s="258"/>
      <c r="Y169" s="258"/>
      <c r="Z169" s="258"/>
      <c r="AA169" s="258"/>
      <c r="AB169" s="258"/>
      <c r="AC169" s="258"/>
      <c r="AD169" s="258"/>
      <c r="AE169" s="258"/>
      <c r="AF169" s="258"/>
      <c r="AG169" s="258"/>
      <c r="AH169" s="222"/>
      <c r="AI169" s="222"/>
      <c r="AJ169" s="222"/>
      <c r="AK169" s="222"/>
      <c r="AL169" s="222"/>
      <c r="AM169" s="222"/>
    </row>
    <row r="170" spans="1:39">
      <c r="A170" s="222" t="s">
        <v>247</v>
      </c>
      <c r="B170" s="258"/>
      <c r="C170" s="258"/>
      <c r="D170" s="258"/>
      <c r="E170" s="258"/>
      <c r="F170" s="258">
        <v>1.0019215353026953</v>
      </c>
      <c r="G170" s="258">
        <v>0.99943679002344255</v>
      </c>
      <c r="H170" s="258">
        <v>0.99902183935597622</v>
      </c>
      <c r="I170" s="258">
        <v>1.0001116128118142</v>
      </c>
      <c r="J170" s="258">
        <v>0.9631698777942691</v>
      </c>
      <c r="K170" s="258">
        <v>0.9999049467910176</v>
      </c>
      <c r="L170" s="258">
        <v>0.99932138047032903</v>
      </c>
      <c r="M170" s="258">
        <v>0.99900637627301525</v>
      </c>
      <c r="N170" s="258">
        <v>0.99806568470452173</v>
      </c>
      <c r="O170" s="258">
        <v>0.9980640250590368</v>
      </c>
      <c r="P170" s="258">
        <v>0.99883685961865454</v>
      </c>
      <c r="Q170" s="258">
        <v>0.99878031912887133</v>
      </c>
      <c r="R170" s="258">
        <v>1.0361490191470553</v>
      </c>
      <c r="S170" s="258">
        <v>1.0358598707627134</v>
      </c>
      <c r="T170" s="258">
        <v>0.99916655045725689</v>
      </c>
      <c r="U170" s="258">
        <v>1.0350869069273145</v>
      </c>
      <c r="V170" s="258">
        <v>1.0340884603800882</v>
      </c>
      <c r="W170" s="258">
        <v>0.99939312993843554</v>
      </c>
      <c r="X170" s="258">
        <v>0.99933850014510317</v>
      </c>
      <c r="Y170" s="258">
        <v>0.99930511790727627</v>
      </c>
      <c r="Z170" s="258">
        <v>0.99954883674361472</v>
      </c>
      <c r="AA170" s="258">
        <v>1.0023527270439623</v>
      </c>
      <c r="AB170" s="258">
        <v>1.0043056460266613</v>
      </c>
      <c r="AC170" s="258">
        <v>1.0043102428334023</v>
      </c>
      <c r="AD170" s="258">
        <v>1.0042808700206793</v>
      </c>
      <c r="AE170" s="258">
        <v>1.0042740518432562</v>
      </c>
      <c r="AF170" s="258">
        <v>1.0042606540310592</v>
      </c>
      <c r="AG170" s="258">
        <v>1.0042592785887896</v>
      </c>
      <c r="AH170" s="222">
        <v>1.0042661589009072</v>
      </c>
      <c r="AI170" s="222">
        <v>1.0043030364320993</v>
      </c>
      <c r="AJ170" s="222">
        <v>1.0043358311128123</v>
      </c>
      <c r="AK170" s="222">
        <v>1.0043417385012823</v>
      </c>
      <c r="AL170" s="222">
        <v>1.0043439857601799</v>
      </c>
      <c r="AM170" s="222"/>
    </row>
    <row r="171" spans="1:39">
      <c r="A171" s="222" t="s">
        <v>119</v>
      </c>
      <c r="B171" s="258"/>
      <c r="C171" s="258"/>
      <c r="D171" s="258"/>
      <c r="E171" s="258"/>
      <c r="F171" s="258">
        <v>1.0007655389897292</v>
      </c>
      <c r="G171" s="258">
        <v>0.99923080080217497</v>
      </c>
      <c r="H171" s="258">
        <v>0.99858364062430294</v>
      </c>
      <c r="I171" s="258">
        <v>0.9992688311439637</v>
      </c>
      <c r="J171" s="258">
        <v>0.96019133594504069</v>
      </c>
      <c r="K171" s="258">
        <v>0.99893787492202202</v>
      </c>
      <c r="L171" s="258">
        <v>0.99854533185449479</v>
      </c>
      <c r="M171" s="258">
        <v>0.99868029595159835</v>
      </c>
      <c r="N171" s="258">
        <v>0.99729848845940394</v>
      </c>
      <c r="O171" s="258">
        <v>0.99687231004900601</v>
      </c>
      <c r="P171" s="258">
        <v>0.99763717060508872</v>
      </c>
      <c r="Q171" s="258">
        <v>0.99839087699821893</v>
      </c>
      <c r="R171" s="258">
        <v>1.0393413167371246</v>
      </c>
      <c r="S171" s="258">
        <v>0.99881696220983662</v>
      </c>
      <c r="T171" s="258">
        <v>1.0378493589882394</v>
      </c>
      <c r="U171" s="258">
        <v>1.036810498607349</v>
      </c>
      <c r="V171" s="258">
        <v>0.99920447266129375</v>
      </c>
      <c r="W171" s="258">
        <v>1.0358352873730658</v>
      </c>
      <c r="X171" s="258">
        <v>0.99877773032427741</v>
      </c>
      <c r="Y171" s="258">
        <v>0.9989514289700191</v>
      </c>
      <c r="Z171" s="258">
        <v>0.96347064589234754</v>
      </c>
      <c r="AA171" s="258">
        <v>1.0017555557203544</v>
      </c>
      <c r="AB171" s="258">
        <v>1.0026361216640476</v>
      </c>
      <c r="AC171" s="258">
        <v>1.0026352318279086</v>
      </c>
      <c r="AD171" s="258">
        <v>1.0026142469429042</v>
      </c>
      <c r="AE171" s="258">
        <v>1.0026114367709795</v>
      </c>
      <c r="AF171" s="258">
        <v>1.0026126266521218</v>
      </c>
      <c r="AG171" s="258">
        <v>1.0026177749643468</v>
      </c>
      <c r="AH171" s="222">
        <v>1.0026215402227878</v>
      </c>
      <c r="AI171" s="222">
        <v>1.0026655653754026</v>
      </c>
      <c r="AJ171" s="222">
        <v>1.0027197677092992</v>
      </c>
      <c r="AK171" s="222">
        <v>1.002746566627408</v>
      </c>
      <c r="AL171" s="222">
        <v>1.0027508414087822</v>
      </c>
      <c r="AM171" s="222"/>
    </row>
    <row r="172" spans="1:39">
      <c r="A172" s="222" t="s">
        <v>120</v>
      </c>
      <c r="B172" s="258"/>
      <c r="C172" s="258"/>
      <c r="D172" s="258"/>
      <c r="E172" s="258"/>
      <c r="F172" s="258">
        <v>1.0402915045210495</v>
      </c>
      <c r="G172" s="258">
        <v>1.0021923669553032</v>
      </c>
      <c r="H172" s="258">
        <v>1.0344825633096011</v>
      </c>
      <c r="I172" s="258">
        <v>0.96740600412831734</v>
      </c>
      <c r="J172" s="258">
        <v>0.99991133146186117</v>
      </c>
      <c r="K172" s="258">
        <v>0.99975975613360835</v>
      </c>
      <c r="L172" s="258">
        <v>0.96581237980988477</v>
      </c>
      <c r="M172" s="258">
        <v>1.000278768883661</v>
      </c>
      <c r="N172" s="258">
        <v>0.99809539313039231</v>
      </c>
      <c r="O172" s="258">
        <v>0.99820136023355566</v>
      </c>
      <c r="P172" s="258">
        <v>0.99862228345406878</v>
      </c>
      <c r="Q172" s="258">
        <v>0.99904840440849241</v>
      </c>
      <c r="R172" s="258">
        <v>1.0344027471886779</v>
      </c>
      <c r="S172" s="258">
        <v>1.033653109329699</v>
      </c>
      <c r="T172" s="258">
        <v>1.0330426961555876</v>
      </c>
      <c r="U172" s="258">
        <v>1.0327022487503648</v>
      </c>
      <c r="V172" s="258">
        <v>1.0319992005655769</v>
      </c>
      <c r="W172" s="258">
        <v>1.0004763629908251</v>
      </c>
      <c r="X172" s="258">
        <v>0.99995828246111229</v>
      </c>
      <c r="Y172" s="258">
        <v>0.99988040473263506</v>
      </c>
      <c r="Z172" s="258">
        <v>1.0000923497161358</v>
      </c>
      <c r="AA172" s="258">
        <v>1.0043867627237535</v>
      </c>
      <c r="AB172" s="258">
        <v>1.0059089471617504</v>
      </c>
      <c r="AC172" s="258">
        <v>1.0059061707839729</v>
      </c>
      <c r="AD172" s="258">
        <v>1.0058753242402829</v>
      </c>
      <c r="AE172" s="258">
        <v>1.0058769209505158</v>
      </c>
      <c r="AF172" s="258">
        <v>1.0058772072662276</v>
      </c>
      <c r="AG172" s="258">
        <v>1.0058557751829795</v>
      </c>
      <c r="AH172" s="222">
        <v>1.0058350519102002</v>
      </c>
      <c r="AI172" s="222">
        <v>1.0058835974785798</v>
      </c>
      <c r="AJ172" s="222">
        <v>1.0059194706774546</v>
      </c>
      <c r="AK172" s="222">
        <v>1.0059361227173456</v>
      </c>
      <c r="AL172" s="222">
        <v>1.0059345181827204</v>
      </c>
      <c r="AM172" s="222"/>
    </row>
    <row r="173" spans="1:39">
      <c r="A173" s="222"/>
      <c r="B173" s="258"/>
      <c r="C173" s="258"/>
      <c r="D173" s="258"/>
      <c r="E173" s="258"/>
      <c r="F173" s="258"/>
      <c r="G173" s="258"/>
      <c r="H173" s="258"/>
      <c r="I173" s="258"/>
      <c r="J173" s="258"/>
      <c r="K173" s="258"/>
      <c r="L173" s="258"/>
      <c r="M173" s="258"/>
      <c r="N173" s="258"/>
      <c r="O173" s="258"/>
      <c r="P173" s="258"/>
      <c r="Q173" s="258"/>
      <c r="R173" s="258"/>
      <c r="S173" s="258"/>
      <c r="T173" s="258"/>
      <c r="U173" s="258"/>
      <c r="V173" s="258"/>
      <c r="W173" s="258"/>
      <c r="X173" s="258"/>
      <c r="Y173" s="258"/>
      <c r="Z173" s="258"/>
      <c r="AA173" s="258"/>
      <c r="AB173" s="258"/>
      <c r="AC173" s="258"/>
      <c r="AD173" s="258"/>
      <c r="AE173" s="258"/>
      <c r="AF173" s="258"/>
      <c r="AG173" s="258"/>
      <c r="AH173" s="222"/>
      <c r="AI173" s="222"/>
      <c r="AJ173" s="222"/>
      <c r="AK173" s="222"/>
      <c r="AL173" s="222"/>
      <c r="AM173" s="222"/>
    </row>
    <row r="174" spans="1:39">
      <c r="B174" s="155"/>
      <c r="C174" s="155"/>
      <c r="D174" s="155"/>
      <c r="E174" s="155"/>
      <c r="F174" s="155"/>
      <c r="G174" s="155"/>
      <c r="H174" s="155"/>
      <c r="I174" s="155"/>
      <c r="J174" s="155"/>
      <c r="K174" s="155"/>
      <c r="L174" s="155"/>
      <c r="M174" s="155"/>
      <c r="N174" s="155"/>
      <c r="O174" s="155"/>
      <c r="P174" s="155"/>
      <c r="Q174" s="155"/>
      <c r="R174" s="155"/>
      <c r="S174" s="155"/>
      <c r="T174" s="155"/>
      <c r="U174" s="155"/>
      <c r="V174" s="155"/>
      <c r="W174" s="155"/>
      <c r="X174" s="155"/>
      <c r="Y174" s="155"/>
      <c r="Z174" s="155"/>
      <c r="AA174" s="155"/>
      <c r="AB174" s="155"/>
      <c r="AC174" s="155"/>
      <c r="AD174" s="155"/>
      <c r="AE174" s="155"/>
      <c r="AF174" s="155"/>
      <c r="AG174" s="155"/>
    </row>
    <row r="175" spans="1:39">
      <c r="B175" s="155"/>
      <c r="C175" s="155"/>
      <c r="D175" s="155"/>
      <c r="E175" s="155"/>
      <c r="F175" s="155"/>
      <c r="G175" s="155"/>
      <c r="H175" s="155"/>
      <c r="I175" s="155"/>
      <c r="J175" s="155"/>
      <c r="K175" s="155"/>
      <c r="L175" s="155"/>
      <c r="M175" s="155"/>
      <c r="N175" s="155"/>
      <c r="O175" s="155"/>
      <c r="P175" s="155"/>
      <c r="Q175" s="155"/>
      <c r="R175" s="155"/>
      <c r="S175" s="155"/>
      <c r="T175" s="155"/>
      <c r="U175" s="155"/>
      <c r="V175" s="155"/>
      <c r="W175" s="155"/>
      <c r="X175" s="155"/>
      <c r="Y175" s="155"/>
      <c r="Z175" s="155"/>
      <c r="AA175" s="155"/>
      <c r="AB175" s="155"/>
      <c r="AC175" s="155"/>
      <c r="AD175" s="155"/>
      <c r="AE175" s="155"/>
      <c r="AF175" s="155"/>
      <c r="AG175" s="155"/>
    </row>
    <row r="176" spans="1:39">
      <c r="B176" s="155"/>
      <c r="C176" s="155"/>
      <c r="D176" s="155"/>
      <c r="E176" s="155"/>
      <c r="F176" s="155"/>
      <c r="G176" s="155"/>
      <c r="H176" s="155"/>
      <c r="I176" s="155"/>
      <c r="J176" s="155"/>
      <c r="K176" s="155"/>
      <c r="L176" s="155"/>
      <c r="M176" s="155"/>
      <c r="N176" s="155"/>
      <c r="O176" s="155"/>
      <c r="P176" s="155"/>
      <c r="Q176" s="155"/>
      <c r="R176" s="155"/>
      <c r="S176" s="155"/>
      <c r="T176" s="155"/>
      <c r="U176" s="155"/>
      <c r="V176" s="155"/>
      <c r="W176" s="155"/>
      <c r="X176" s="155"/>
      <c r="Y176" s="155"/>
      <c r="Z176" s="155"/>
      <c r="AA176" s="155"/>
      <c r="AB176" s="155"/>
      <c r="AC176" s="155"/>
      <c r="AD176" s="155"/>
      <c r="AE176" s="155"/>
      <c r="AF176" s="155"/>
      <c r="AG176" s="155"/>
    </row>
    <row r="177" spans="2:33">
      <c r="B177" s="155"/>
      <c r="C177" s="155"/>
      <c r="D177" s="155"/>
      <c r="E177" s="155"/>
      <c r="F177" s="155"/>
      <c r="G177" s="155"/>
      <c r="H177" s="155"/>
      <c r="I177" s="155"/>
      <c r="J177" s="155"/>
      <c r="K177" s="155"/>
      <c r="L177" s="155"/>
      <c r="M177" s="155"/>
      <c r="N177" s="155"/>
      <c r="O177" s="155"/>
      <c r="P177" s="155"/>
      <c r="Q177" s="155"/>
      <c r="R177" s="155"/>
      <c r="S177" s="155"/>
      <c r="T177" s="155"/>
      <c r="U177" s="155"/>
      <c r="V177" s="155"/>
      <c r="W177" s="155"/>
      <c r="X177" s="155"/>
      <c r="Y177" s="155"/>
      <c r="Z177" s="155"/>
      <c r="AA177" s="155"/>
      <c r="AB177" s="155"/>
      <c r="AC177" s="155"/>
      <c r="AD177" s="155"/>
      <c r="AE177" s="155"/>
      <c r="AF177" s="155"/>
      <c r="AG177" s="155"/>
    </row>
    <row r="178" spans="2:33">
      <c r="B178" s="155"/>
      <c r="C178" s="155"/>
      <c r="D178" s="155"/>
      <c r="E178" s="155"/>
      <c r="F178" s="155"/>
      <c r="G178" s="155"/>
      <c r="H178" s="155"/>
      <c r="I178" s="155"/>
      <c r="J178" s="155"/>
      <c r="K178" s="155"/>
      <c r="L178" s="155"/>
      <c r="M178" s="155"/>
      <c r="N178" s="155"/>
      <c r="O178" s="155"/>
      <c r="P178" s="155"/>
      <c r="Q178" s="155"/>
      <c r="R178" s="155"/>
      <c r="S178" s="155"/>
      <c r="T178" s="155"/>
      <c r="U178" s="155"/>
      <c r="V178" s="155"/>
      <c r="W178" s="155"/>
      <c r="X178" s="155"/>
      <c r="Y178" s="155"/>
      <c r="Z178" s="155"/>
      <c r="AA178" s="155"/>
      <c r="AB178" s="155"/>
      <c r="AC178" s="155"/>
      <c r="AD178" s="155"/>
      <c r="AE178" s="155"/>
      <c r="AF178" s="155"/>
      <c r="AG178" s="155"/>
    </row>
    <row r="179" spans="2:33">
      <c r="B179" s="155"/>
      <c r="C179" s="155"/>
      <c r="D179" s="155"/>
      <c r="E179" s="155"/>
      <c r="F179" s="155"/>
      <c r="G179" s="155"/>
      <c r="H179" s="155"/>
      <c r="I179" s="155"/>
      <c r="J179" s="155"/>
      <c r="K179" s="155"/>
      <c r="L179" s="155"/>
      <c r="M179" s="155"/>
      <c r="N179" s="155"/>
      <c r="O179" s="155"/>
      <c r="P179" s="155"/>
      <c r="Q179" s="155"/>
      <c r="R179" s="155"/>
      <c r="S179" s="155"/>
      <c r="T179" s="155"/>
      <c r="U179" s="155"/>
      <c r="V179" s="155"/>
      <c r="W179" s="155"/>
      <c r="X179" s="155"/>
      <c r="Y179" s="155"/>
      <c r="Z179" s="155"/>
      <c r="AA179" s="155"/>
      <c r="AB179" s="155"/>
      <c r="AC179" s="155"/>
      <c r="AD179" s="155"/>
      <c r="AE179" s="155"/>
      <c r="AF179" s="155"/>
      <c r="AG179" s="155"/>
    </row>
    <row r="180" spans="2:33">
      <c r="B180" s="155"/>
      <c r="C180" s="155"/>
      <c r="D180" s="155"/>
      <c r="E180" s="155"/>
      <c r="F180" s="155"/>
      <c r="G180" s="155"/>
      <c r="H180" s="155"/>
      <c r="I180" s="155"/>
      <c r="J180" s="155"/>
      <c r="K180" s="155"/>
      <c r="L180" s="155"/>
      <c r="M180" s="155"/>
      <c r="N180" s="155"/>
      <c r="O180" s="155"/>
      <c r="P180" s="155"/>
      <c r="Q180" s="155"/>
      <c r="R180" s="155"/>
      <c r="S180" s="155"/>
      <c r="T180" s="155"/>
      <c r="U180" s="155"/>
      <c r="V180" s="155"/>
      <c r="W180" s="155"/>
      <c r="X180" s="155"/>
      <c r="Y180" s="155"/>
      <c r="Z180" s="155"/>
      <c r="AA180" s="155"/>
      <c r="AB180" s="155"/>
      <c r="AC180" s="155"/>
      <c r="AD180" s="155"/>
      <c r="AE180" s="155"/>
      <c r="AF180" s="155"/>
      <c r="AG180" s="155"/>
    </row>
    <row r="181" spans="2:33">
      <c r="B181" s="155"/>
      <c r="C181" s="155"/>
      <c r="D181" s="155"/>
      <c r="E181" s="155"/>
      <c r="F181" s="155"/>
      <c r="G181" s="155"/>
      <c r="H181" s="155"/>
      <c r="I181" s="155"/>
      <c r="J181" s="155"/>
      <c r="K181" s="155"/>
      <c r="L181" s="155"/>
      <c r="M181" s="155"/>
      <c r="N181" s="155"/>
      <c r="O181" s="155"/>
      <c r="P181" s="155"/>
      <c r="Q181" s="155"/>
      <c r="R181" s="155"/>
      <c r="S181" s="155"/>
      <c r="T181" s="155"/>
      <c r="U181" s="155"/>
      <c r="V181" s="155"/>
      <c r="W181" s="155"/>
      <c r="X181" s="155"/>
      <c r="Y181" s="155"/>
      <c r="Z181" s="155"/>
      <c r="AA181" s="155"/>
      <c r="AB181" s="155"/>
      <c r="AC181" s="155"/>
      <c r="AD181" s="155"/>
      <c r="AE181" s="155"/>
      <c r="AF181" s="155"/>
      <c r="AG181" s="155"/>
    </row>
    <row r="182" spans="2:33">
      <c r="B182" s="155"/>
      <c r="C182" s="155"/>
      <c r="D182" s="155"/>
      <c r="E182" s="155"/>
      <c r="F182" s="155"/>
      <c r="G182" s="155"/>
      <c r="H182" s="155"/>
      <c r="I182" s="155"/>
      <c r="J182" s="155"/>
      <c r="K182" s="155"/>
      <c r="L182" s="155"/>
      <c r="M182" s="155"/>
      <c r="N182" s="155"/>
      <c r="O182" s="155"/>
      <c r="P182" s="155"/>
      <c r="Q182" s="155"/>
      <c r="R182" s="155"/>
      <c r="S182" s="155"/>
      <c r="T182" s="155"/>
      <c r="U182" s="155"/>
      <c r="V182" s="155"/>
      <c r="W182" s="155"/>
      <c r="X182" s="155"/>
      <c r="Y182" s="155"/>
      <c r="Z182" s="155"/>
      <c r="AA182" s="155"/>
      <c r="AB182" s="155"/>
      <c r="AC182" s="155"/>
      <c r="AD182" s="155"/>
      <c r="AE182" s="155"/>
      <c r="AF182" s="155"/>
      <c r="AG182" s="155"/>
    </row>
    <row r="183" spans="2:33">
      <c r="B183" s="155"/>
      <c r="C183" s="155"/>
      <c r="D183" s="155"/>
      <c r="E183" s="155"/>
      <c r="F183" s="155"/>
      <c r="G183" s="155"/>
      <c r="H183" s="155"/>
      <c r="I183" s="155"/>
      <c r="J183" s="155"/>
      <c r="K183" s="155"/>
      <c r="L183" s="155"/>
      <c r="M183" s="155"/>
      <c r="N183" s="155"/>
      <c r="O183" s="155"/>
      <c r="P183" s="155"/>
      <c r="Q183" s="155"/>
      <c r="R183" s="155"/>
      <c r="S183" s="155"/>
      <c r="T183" s="155"/>
      <c r="U183" s="155"/>
      <c r="V183" s="155"/>
      <c r="W183" s="155"/>
      <c r="X183" s="155"/>
      <c r="Y183" s="155"/>
      <c r="Z183" s="155"/>
      <c r="AA183" s="155"/>
      <c r="AB183" s="155"/>
      <c r="AC183" s="155"/>
      <c r="AD183" s="155"/>
      <c r="AE183" s="155"/>
      <c r="AF183" s="155"/>
      <c r="AG183" s="155"/>
    </row>
    <row r="184" spans="2:33">
      <c r="B184" s="155"/>
      <c r="C184" s="155"/>
      <c r="D184" s="155"/>
      <c r="E184" s="155"/>
      <c r="F184" s="155"/>
      <c r="G184" s="155"/>
      <c r="H184" s="155"/>
      <c r="I184" s="155"/>
      <c r="J184" s="155"/>
      <c r="K184" s="155"/>
      <c r="L184" s="155"/>
      <c r="M184" s="155"/>
      <c r="N184" s="155"/>
      <c r="O184" s="155"/>
      <c r="P184" s="155"/>
      <c r="Q184" s="155"/>
      <c r="R184" s="155"/>
      <c r="S184" s="155"/>
      <c r="T184" s="155"/>
      <c r="U184" s="155"/>
      <c r="V184" s="155"/>
      <c r="W184" s="155"/>
      <c r="X184" s="155"/>
      <c r="Y184" s="155"/>
      <c r="Z184" s="155"/>
      <c r="AA184" s="155"/>
      <c r="AB184" s="155"/>
      <c r="AC184" s="155"/>
      <c r="AD184" s="155"/>
      <c r="AE184" s="155"/>
      <c r="AF184" s="155"/>
      <c r="AG184" s="155"/>
    </row>
    <row r="185" spans="2:33">
      <c r="B185" s="155"/>
      <c r="C185" s="155"/>
      <c r="D185" s="155"/>
      <c r="E185" s="155"/>
      <c r="F185" s="155"/>
      <c r="G185" s="155"/>
      <c r="H185" s="155"/>
      <c r="I185" s="155"/>
      <c r="J185" s="155"/>
      <c r="K185" s="155"/>
      <c r="L185" s="155"/>
      <c r="M185" s="155"/>
      <c r="N185" s="155"/>
      <c r="O185" s="155"/>
      <c r="P185" s="155"/>
      <c r="Q185" s="155"/>
      <c r="R185" s="155"/>
      <c r="S185" s="155"/>
      <c r="T185" s="155"/>
      <c r="U185" s="155"/>
      <c r="V185" s="155"/>
      <c r="W185" s="155"/>
      <c r="X185" s="155"/>
      <c r="Y185" s="155"/>
      <c r="Z185" s="155"/>
      <c r="AA185" s="155"/>
      <c r="AB185" s="155"/>
      <c r="AC185" s="155"/>
      <c r="AD185" s="155"/>
      <c r="AE185" s="155"/>
      <c r="AF185" s="155"/>
      <c r="AG185" s="155"/>
    </row>
    <row r="186" spans="2:33">
      <c r="B186" s="155"/>
      <c r="C186" s="155"/>
      <c r="D186" s="155"/>
      <c r="E186" s="155"/>
      <c r="F186" s="155"/>
      <c r="G186" s="155"/>
      <c r="H186" s="155"/>
      <c r="I186" s="155"/>
      <c r="J186" s="155"/>
      <c r="K186" s="155"/>
      <c r="L186" s="155"/>
      <c r="M186" s="155"/>
      <c r="N186" s="155"/>
      <c r="O186" s="155"/>
      <c r="P186" s="155"/>
      <c r="Q186" s="155"/>
      <c r="R186" s="155"/>
      <c r="S186" s="155"/>
      <c r="T186" s="155"/>
      <c r="U186" s="155"/>
      <c r="V186" s="155"/>
      <c r="W186" s="155"/>
      <c r="X186" s="155"/>
      <c r="Y186" s="155"/>
      <c r="Z186" s="155"/>
      <c r="AA186" s="155"/>
      <c r="AB186" s="155"/>
      <c r="AC186" s="155"/>
      <c r="AD186" s="155"/>
      <c r="AE186" s="155"/>
      <c r="AF186" s="155"/>
      <c r="AG186" s="155"/>
    </row>
    <row r="187" spans="2:33">
      <c r="B187" s="155"/>
      <c r="C187" s="155"/>
      <c r="D187" s="155"/>
      <c r="E187" s="155"/>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row>
    <row r="188" spans="2:33">
      <c r="B188" s="155"/>
      <c r="C188" s="155"/>
      <c r="D188" s="155"/>
      <c r="E188" s="155"/>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row>
  </sheetData>
  <mergeCells count="2">
    <mergeCell ref="B142:AG142"/>
    <mergeCell ref="B143:AG167"/>
  </mergeCells>
  <conditionalFormatting sqref="E67:J67">
    <cfRule type="containsBlanks" dxfId="568" priority="31" stopIfTrue="1">
      <formula>LEN(TRIM(E67))=0</formula>
    </cfRule>
    <cfRule type="notContainsBlanks" dxfId="567" priority="32" stopIfTrue="1">
      <formula>LEN(TRIM(E67))&gt;0</formula>
    </cfRule>
  </conditionalFormatting>
  <conditionalFormatting sqref="E68:J68">
    <cfRule type="containsBlanks" dxfId="566" priority="33" stopIfTrue="1">
      <formula>LEN(TRIM(E68))=0</formula>
    </cfRule>
    <cfRule type="notContainsBlanks" dxfId="565" priority="34" stopIfTrue="1">
      <formula>LEN(TRIM(E68))&gt;0</formula>
    </cfRule>
  </conditionalFormatting>
  <conditionalFormatting sqref="E69:J69">
    <cfRule type="containsBlanks" dxfId="564" priority="35" stopIfTrue="1">
      <formula>LEN(TRIM(E69))=0</formula>
    </cfRule>
    <cfRule type="notContainsBlanks" dxfId="563" priority="36" stopIfTrue="1">
      <formula>LEN(TRIM(E69))&gt;0</formula>
    </cfRule>
  </conditionalFormatting>
  <conditionalFormatting sqref="E70:J70">
    <cfRule type="containsBlanks" dxfId="562" priority="37" stopIfTrue="1">
      <formula>LEN(TRIM(E70))=0</formula>
    </cfRule>
    <cfRule type="notContainsBlanks" dxfId="561" priority="38" stopIfTrue="1">
      <formula>LEN(TRIM(E70))&gt;0</formula>
    </cfRule>
  </conditionalFormatting>
  <conditionalFormatting sqref="E71:J71">
    <cfRule type="containsBlanks" dxfId="560" priority="39" stopIfTrue="1">
      <formula>LEN(TRIM(E71))=0</formula>
    </cfRule>
    <cfRule type="notContainsBlanks" dxfId="559" priority="40" stopIfTrue="1">
      <formula>LEN(TRIM(E71))&gt;0</formula>
    </cfRule>
  </conditionalFormatting>
  <conditionalFormatting sqref="E72:J72">
    <cfRule type="containsBlanks" dxfId="558" priority="41" stopIfTrue="1">
      <formula>LEN(TRIM(E72))=0</formula>
    </cfRule>
    <cfRule type="notContainsBlanks" dxfId="557" priority="42" stopIfTrue="1">
      <formula>LEN(TRIM(E72))&gt;0</formula>
    </cfRule>
  </conditionalFormatting>
  <conditionalFormatting sqref="E73:J73">
    <cfRule type="containsBlanks" dxfId="556" priority="43" stopIfTrue="1">
      <formula>LEN(TRIM(E73))=0</formula>
    </cfRule>
    <cfRule type="notContainsBlanks" dxfId="555" priority="44" stopIfTrue="1">
      <formula>LEN(TRIM(E73))&gt;0</formula>
    </cfRule>
  </conditionalFormatting>
  <conditionalFormatting sqref="E75:J81">
    <cfRule type="containsBlanks" dxfId="554" priority="157" stopIfTrue="1">
      <formula>LEN(TRIM(E75))=0</formula>
    </cfRule>
    <cfRule type="expression" dxfId="553" priority="158" stopIfTrue="1">
      <formula>SUM($E$75:$E$81)&lt;&gt;1</formula>
    </cfRule>
    <cfRule type="notContainsBlanks" dxfId="552" priority="159" stopIfTrue="1">
      <formula>LEN(TRIM(E75))&gt;0</formula>
    </cfRule>
  </conditionalFormatting>
  <conditionalFormatting sqref="E92:J98">
    <cfRule type="containsBlanks" dxfId="551" priority="193" stopIfTrue="1">
      <formula>LEN(TRIM(E92))=0</formula>
    </cfRule>
  </conditionalFormatting>
  <conditionalFormatting sqref="E92:J98">
    <cfRule type="expression" dxfId="550" priority="194" stopIfTrue="1">
      <formula>SUM($E$92:$E$98)&lt;&gt;1</formula>
    </cfRule>
  </conditionalFormatting>
  <conditionalFormatting sqref="E92:J98">
    <cfRule type="notContainsBlanks" dxfId="549" priority="195" stopIfTrue="1">
      <formula>LEN(TRIM(E92))&gt;0</formula>
    </cfRule>
  </conditionalFormatting>
  <conditionalFormatting sqref="E100:J106">
    <cfRule type="containsBlanks" dxfId="548" priority="211" stopIfTrue="1">
      <formula>LEN(TRIM(E100))=0</formula>
    </cfRule>
  </conditionalFormatting>
  <conditionalFormatting sqref="E100:J106">
    <cfRule type="expression" dxfId="547" priority="212" stopIfTrue="1">
      <formula>SUM($E$100:$E$106)&lt;&gt;1</formula>
    </cfRule>
  </conditionalFormatting>
  <conditionalFormatting sqref="E100:J106">
    <cfRule type="notContainsBlanks" dxfId="546" priority="213" stopIfTrue="1">
      <formula>LEN(TRIM(E100))&gt;0</formula>
    </cfRule>
  </conditionalFormatting>
  <conditionalFormatting sqref="E108:J114">
    <cfRule type="containsBlanks" dxfId="545" priority="229" stopIfTrue="1">
      <formula>LEN(TRIM(E108))=0</formula>
    </cfRule>
  </conditionalFormatting>
  <conditionalFormatting sqref="E108:J114">
    <cfRule type="expression" dxfId="544" priority="230" stopIfTrue="1">
      <formula>SUM($E$108:$E$114)&lt;&gt;1</formula>
    </cfRule>
  </conditionalFormatting>
  <conditionalFormatting sqref="E108:J114">
    <cfRule type="notContainsBlanks" dxfId="543" priority="231" stopIfTrue="1">
      <formula>LEN(TRIM(E108))&gt;0</formula>
    </cfRule>
  </conditionalFormatting>
  <conditionalFormatting sqref="E116:J122">
    <cfRule type="containsBlanks" dxfId="542" priority="247" stopIfTrue="1">
      <formula>LEN(TRIM(E116))=0</formula>
    </cfRule>
  </conditionalFormatting>
  <conditionalFormatting sqref="E116:J122">
    <cfRule type="expression" dxfId="541" priority="248" stopIfTrue="1">
      <formula>SUM($E$116:$E$122)&lt;&gt;1</formula>
    </cfRule>
  </conditionalFormatting>
  <conditionalFormatting sqref="E116:J122">
    <cfRule type="notContainsBlanks" dxfId="540" priority="249" stopIfTrue="1">
      <formula>LEN(TRIM(E116))&gt;0</formula>
    </cfRule>
  </conditionalFormatting>
  <conditionalFormatting sqref="E124:J130">
    <cfRule type="containsBlanks" dxfId="539" priority="265" stopIfTrue="1">
      <formula>LEN(TRIM(E124))=0</formula>
    </cfRule>
  </conditionalFormatting>
  <conditionalFormatting sqref="E124:J130">
    <cfRule type="expression" dxfId="538" priority="266" stopIfTrue="1">
      <formula>SUM($E$124:$E$130)&lt;&gt;1</formula>
    </cfRule>
  </conditionalFormatting>
  <conditionalFormatting sqref="E124:J130">
    <cfRule type="notContainsBlanks" dxfId="537" priority="267" stopIfTrue="1">
      <formula>LEN(TRIM(E124))&gt;0</formula>
    </cfRule>
  </conditionalFormatting>
  <conditionalFormatting sqref="E132:J138">
    <cfRule type="containsBlanks" dxfId="536" priority="283" stopIfTrue="1">
      <formula>LEN(TRIM(E132))=0</formula>
    </cfRule>
  </conditionalFormatting>
  <conditionalFormatting sqref="E132:J138">
    <cfRule type="expression" dxfId="535" priority="284" stopIfTrue="1">
      <formula>SUM($E$132:$E$138)&lt;&gt;1</formula>
    </cfRule>
  </conditionalFormatting>
  <conditionalFormatting sqref="E132:J138">
    <cfRule type="notContainsBlanks" dxfId="534" priority="285" stopIfTrue="1">
      <formula>LEN(TRIM(E132))&gt;0</formula>
    </cfRule>
  </conditionalFormatting>
  <conditionalFormatting sqref="E44:CS44">
    <cfRule type="containsBlanks" dxfId="533" priority="301" stopIfTrue="1">
      <formula>LEN(TRIM(E44))=0</formula>
    </cfRule>
  </conditionalFormatting>
  <conditionalFormatting sqref="E44:CS44">
    <cfRule type="notContainsBlanks" dxfId="532" priority="302" stopIfTrue="1">
      <formula>LEN(TRIM(E44))&gt;0</formula>
    </cfRule>
  </conditionalFormatting>
  <conditionalFormatting sqref="E46:CS46">
    <cfRule type="containsBlanks" dxfId="531" priority="303" stopIfTrue="1">
      <formula>LEN(TRIM(E46))=0</formula>
    </cfRule>
  </conditionalFormatting>
  <conditionalFormatting sqref="E46:CS46">
    <cfRule type="notContainsBlanks" dxfId="530" priority="304" stopIfTrue="1">
      <formula>LEN(TRIM(E46))&gt;0</formula>
    </cfRule>
  </conditionalFormatting>
  <conditionalFormatting sqref="E47:CS47">
    <cfRule type="containsBlanks" dxfId="529" priority="305" stopIfTrue="1">
      <formula>LEN(TRIM(E47))=0</formula>
    </cfRule>
  </conditionalFormatting>
  <conditionalFormatting sqref="E47:CS47">
    <cfRule type="notContainsBlanks" dxfId="528" priority="306" stopIfTrue="1">
      <formula>LEN(TRIM(E47))&gt;0</formula>
    </cfRule>
  </conditionalFormatting>
  <conditionalFormatting sqref="E48:CS48">
    <cfRule type="containsBlanks" dxfId="527" priority="307" stopIfTrue="1">
      <formula>LEN(TRIM(E48))=0</formula>
    </cfRule>
  </conditionalFormatting>
  <conditionalFormatting sqref="E48:CS48">
    <cfRule type="notContainsBlanks" dxfId="526" priority="308" stopIfTrue="1">
      <formula>LEN(TRIM(E48))&gt;0</formula>
    </cfRule>
  </conditionalFormatting>
  <conditionalFormatting sqref="E49:CS49">
    <cfRule type="containsBlanks" dxfId="525" priority="309" stopIfTrue="1">
      <formula>LEN(TRIM(E49))=0</formula>
    </cfRule>
  </conditionalFormatting>
  <conditionalFormatting sqref="E49:CS49">
    <cfRule type="notContainsBlanks" dxfId="524" priority="310" stopIfTrue="1">
      <formula>LEN(TRIM(E49))&gt;0</formula>
    </cfRule>
  </conditionalFormatting>
  <conditionalFormatting sqref="E50:CS50">
    <cfRule type="containsBlanks" dxfId="523" priority="311" stopIfTrue="1">
      <formula>LEN(TRIM(E50))=0</formula>
    </cfRule>
  </conditionalFormatting>
  <conditionalFormatting sqref="E50:CS50">
    <cfRule type="notContainsBlanks" dxfId="522" priority="312" stopIfTrue="1">
      <formula>LEN(TRIM(E50))&gt;0</formula>
    </cfRule>
  </conditionalFormatting>
  <conditionalFormatting sqref="E51:CS51">
    <cfRule type="containsBlanks" dxfId="521" priority="313" stopIfTrue="1">
      <formula>LEN(TRIM(E51))=0</formula>
    </cfRule>
  </conditionalFormatting>
  <conditionalFormatting sqref="E51:CS51">
    <cfRule type="notContainsBlanks" dxfId="520" priority="314" stopIfTrue="1">
      <formula>LEN(TRIM(E51))&gt;0</formula>
    </cfRule>
  </conditionalFormatting>
  <conditionalFormatting sqref="E52:CS52">
    <cfRule type="containsBlanks" dxfId="519" priority="315" stopIfTrue="1">
      <formula>LEN(TRIM(E52))=0</formula>
    </cfRule>
  </conditionalFormatting>
  <conditionalFormatting sqref="E52:CS52">
    <cfRule type="notContainsBlanks" dxfId="518" priority="316" stopIfTrue="1">
      <formula>LEN(TRIM(E52))&gt;0</formula>
    </cfRule>
  </conditionalFormatting>
  <conditionalFormatting sqref="E54:CS54">
    <cfRule type="containsBlanks" dxfId="517" priority="317" stopIfTrue="1">
      <formula>LEN(TRIM(E54))=0</formula>
    </cfRule>
  </conditionalFormatting>
  <conditionalFormatting sqref="E54:CS54">
    <cfRule type="notContainsBlanks" dxfId="516" priority="318" stopIfTrue="1">
      <formula>LEN(TRIM(E54))&gt;0</formula>
    </cfRule>
  </conditionalFormatting>
  <conditionalFormatting sqref="E56:CS56">
    <cfRule type="containsBlanks" dxfId="515" priority="319" stopIfTrue="1">
      <formula>LEN(TRIM(E56))=0</formula>
    </cfRule>
  </conditionalFormatting>
  <conditionalFormatting sqref="E56:CS56">
    <cfRule type="notContainsBlanks" dxfId="514" priority="320" stopIfTrue="1">
      <formula>LEN(TRIM(E56))&gt;0</formula>
    </cfRule>
  </conditionalFormatting>
  <conditionalFormatting sqref="E57:CS57">
    <cfRule type="containsBlanks" dxfId="513" priority="321" stopIfTrue="1">
      <formula>LEN(TRIM(E57))=0</formula>
    </cfRule>
  </conditionalFormatting>
  <conditionalFormatting sqref="E57:CS57">
    <cfRule type="notContainsBlanks" dxfId="512" priority="322" stopIfTrue="1">
      <formula>LEN(TRIM(E57))&gt;0</formula>
    </cfRule>
  </conditionalFormatting>
  <conditionalFormatting sqref="E58:CS58">
    <cfRule type="containsBlanks" dxfId="511" priority="323" stopIfTrue="1">
      <formula>LEN(TRIM(E58))=0</formula>
    </cfRule>
  </conditionalFormatting>
  <conditionalFormatting sqref="E58:CS58">
    <cfRule type="notContainsBlanks" dxfId="510" priority="324" stopIfTrue="1">
      <formula>LEN(TRIM(E58))&gt;0</formula>
    </cfRule>
  </conditionalFormatting>
  <conditionalFormatting sqref="E59:CS59">
    <cfRule type="containsBlanks" dxfId="509" priority="325" stopIfTrue="1">
      <formula>LEN(TRIM(E59))=0</formula>
    </cfRule>
  </conditionalFormatting>
  <conditionalFormatting sqref="E59:CS59">
    <cfRule type="notContainsBlanks" dxfId="508" priority="326" stopIfTrue="1">
      <formula>LEN(TRIM(E59))&gt;0</formula>
    </cfRule>
  </conditionalFormatting>
  <conditionalFormatting sqref="E60:CS60">
    <cfRule type="containsBlanks" dxfId="507" priority="327" stopIfTrue="1">
      <formula>LEN(TRIM(E60))=0</formula>
    </cfRule>
  </conditionalFormatting>
  <conditionalFormatting sqref="E60:CS60">
    <cfRule type="notContainsBlanks" dxfId="506" priority="328" stopIfTrue="1">
      <formula>LEN(TRIM(E60))&gt;0</formula>
    </cfRule>
  </conditionalFormatting>
  <conditionalFormatting sqref="E61:CS61">
    <cfRule type="containsBlanks" dxfId="505" priority="329" stopIfTrue="1">
      <formula>LEN(TRIM(E61))=0</formula>
    </cfRule>
  </conditionalFormatting>
  <conditionalFormatting sqref="E61:CS61">
    <cfRule type="notContainsBlanks" dxfId="504" priority="330" stopIfTrue="1">
      <formula>LEN(TRIM(E61))&gt;0</formula>
    </cfRule>
  </conditionalFormatting>
  <conditionalFormatting sqref="E62:CS62">
    <cfRule type="containsBlanks" dxfId="503" priority="331" stopIfTrue="1">
      <formula>LEN(TRIM(E62))=0</formula>
    </cfRule>
  </conditionalFormatting>
  <conditionalFormatting sqref="E62:CS62">
    <cfRule type="notContainsBlanks" dxfId="502" priority="332" stopIfTrue="1">
      <formula>LEN(TRIM(E62))&gt;0</formula>
    </cfRule>
  </conditionalFormatting>
  <conditionalFormatting sqref="F34:F40">
    <cfRule type="containsBlanks" dxfId="501" priority="350" stopIfTrue="1">
      <formula>LEN(TRIM(F34))=0</formula>
    </cfRule>
  </conditionalFormatting>
  <conditionalFormatting sqref="F34:F40">
    <cfRule type="expression" dxfId="500" priority="351" stopIfTrue="1">
      <formula>SUM($F$34:$F$40)&lt;&gt;1</formula>
    </cfRule>
  </conditionalFormatting>
  <conditionalFormatting sqref="F34:F40">
    <cfRule type="notContainsBlanks" dxfId="499" priority="352" stopIfTrue="1">
      <formula>LEN(TRIM(F34))&gt;0</formula>
    </cfRule>
  </conditionalFormatting>
  <conditionalFormatting sqref="G34:G40">
    <cfRule type="containsBlanks" dxfId="498" priority="353" stopIfTrue="1">
      <formula>LEN(TRIM(G34))=0</formula>
    </cfRule>
  </conditionalFormatting>
  <conditionalFormatting sqref="G34:G40">
    <cfRule type="expression" dxfId="497" priority="354" stopIfTrue="1">
      <formula>SUM($G$34:$G$40)&lt;&gt;1</formula>
    </cfRule>
  </conditionalFormatting>
  <conditionalFormatting sqref="G34:G40">
    <cfRule type="notContainsBlanks" dxfId="496" priority="355" stopIfTrue="1">
      <formula>LEN(TRIM(G34))&gt;0</formula>
    </cfRule>
  </conditionalFormatting>
  <conditionalFormatting sqref="H34:H40">
    <cfRule type="containsBlanks" dxfId="495" priority="356" stopIfTrue="1">
      <formula>LEN(TRIM(H34))=0</formula>
    </cfRule>
  </conditionalFormatting>
  <conditionalFormatting sqref="H34:H40">
    <cfRule type="expression" dxfId="494" priority="357" stopIfTrue="1">
      <formula>SUM($H$34:$H$40)&lt;&gt;1</formula>
    </cfRule>
  </conditionalFormatting>
  <conditionalFormatting sqref="H34:H40">
    <cfRule type="notContainsBlanks" dxfId="493" priority="358" stopIfTrue="1">
      <formula>LEN(TRIM(H34))&gt;0</formula>
    </cfRule>
  </conditionalFormatting>
  <conditionalFormatting sqref="I34:I40">
    <cfRule type="containsBlanks" dxfId="492" priority="359" stopIfTrue="1">
      <formula>LEN(TRIM(I34))=0</formula>
    </cfRule>
  </conditionalFormatting>
  <conditionalFormatting sqref="I34:I40">
    <cfRule type="expression" dxfId="491" priority="360" stopIfTrue="1">
      <formula>SUM($I$34:$I$40)&lt;&gt;1</formula>
    </cfRule>
  </conditionalFormatting>
  <conditionalFormatting sqref="I34:I40">
    <cfRule type="notContainsBlanks" dxfId="490" priority="361" stopIfTrue="1">
      <formula>LEN(TRIM(I34))&gt;0</formula>
    </cfRule>
  </conditionalFormatting>
  <conditionalFormatting sqref="J34:J40">
    <cfRule type="containsBlanks" dxfId="489" priority="362" stopIfTrue="1">
      <formula>LEN(TRIM(J34))=0</formula>
    </cfRule>
  </conditionalFormatting>
  <conditionalFormatting sqref="J34:J40">
    <cfRule type="expression" dxfId="488" priority="363" stopIfTrue="1">
      <formula>SUM($J$34:$J$40)&lt;&gt;1</formula>
    </cfRule>
  </conditionalFormatting>
  <conditionalFormatting sqref="J34:J40">
    <cfRule type="notContainsBlanks" dxfId="487" priority="364" stopIfTrue="1">
      <formula>LEN(TRIM(J34))&gt;0</formula>
    </cfRule>
  </conditionalFormatting>
  <conditionalFormatting sqref="K34:K40">
    <cfRule type="containsBlanks" dxfId="486" priority="365" stopIfTrue="1">
      <formula>LEN(TRIM(K34))=0</formula>
    </cfRule>
  </conditionalFormatting>
  <conditionalFormatting sqref="K34:K40">
    <cfRule type="expression" dxfId="485" priority="366" stopIfTrue="1">
      <formula>SUM($K$34:$K$40)&lt;&gt;1</formula>
    </cfRule>
  </conditionalFormatting>
  <conditionalFormatting sqref="K34:K40">
    <cfRule type="notContainsBlanks" dxfId="484" priority="367" stopIfTrue="1">
      <formula>LEN(TRIM(K34))&gt;0</formula>
    </cfRule>
  </conditionalFormatting>
  <conditionalFormatting sqref="L34:L40">
    <cfRule type="containsBlanks" dxfId="483" priority="368" stopIfTrue="1">
      <formula>LEN(TRIM(L34))=0</formula>
    </cfRule>
  </conditionalFormatting>
  <conditionalFormatting sqref="L34:L40">
    <cfRule type="expression" dxfId="482" priority="369" stopIfTrue="1">
      <formula>SUM($L$34:$L$40)&lt;&gt;1</formula>
    </cfRule>
  </conditionalFormatting>
  <conditionalFormatting sqref="L34:L40">
    <cfRule type="notContainsBlanks" dxfId="481" priority="370" stopIfTrue="1">
      <formula>LEN(TRIM(L34))&gt;0</formula>
    </cfRule>
  </conditionalFormatting>
  <conditionalFormatting sqref="M34:M40">
    <cfRule type="containsBlanks" dxfId="480" priority="371" stopIfTrue="1">
      <formula>LEN(TRIM(M34))=0</formula>
    </cfRule>
  </conditionalFormatting>
  <conditionalFormatting sqref="M34:M40">
    <cfRule type="expression" dxfId="479" priority="372" stopIfTrue="1">
      <formula>SUM($M$34:$M$40)&lt;&gt;1</formula>
    </cfRule>
  </conditionalFormatting>
  <conditionalFormatting sqref="M34:M40">
    <cfRule type="notContainsBlanks" dxfId="478" priority="373" stopIfTrue="1">
      <formula>LEN(TRIM(M34))&gt;0</formula>
    </cfRule>
  </conditionalFormatting>
  <conditionalFormatting sqref="N34:N40">
    <cfRule type="containsBlanks" dxfId="477" priority="374" stopIfTrue="1">
      <formula>LEN(TRIM(N34))=0</formula>
    </cfRule>
  </conditionalFormatting>
  <conditionalFormatting sqref="N34:N40">
    <cfRule type="expression" dxfId="476" priority="375" stopIfTrue="1">
      <formula>SUM($N$34:$N$40)&lt;&gt;1</formula>
    </cfRule>
  </conditionalFormatting>
  <conditionalFormatting sqref="N34:N40">
    <cfRule type="notContainsBlanks" dxfId="475" priority="376" stopIfTrue="1">
      <formula>LEN(TRIM(N34))&gt;0</formula>
    </cfRule>
  </conditionalFormatting>
  <conditionalFormatting sqref="O34:O40">
    <cfRule type="containsBlanks" dxfId="474" priority="377" stopIfTrue="1">
      <formula>LEN(TRIM(O34))=0</formula>
    </cfRule>
  </conditionalFormatting>
  <conditionalFormatting sqref="O34:O40">
    <cfRule type="expression" dxfId="473" priority="378" stopIfTrue="1">
      <formula>SUM($O$34:$O$40)&lt;&gt;1</formula>
    </cfRule>
  </conditionalFormatting>
  <conditionalFormatting sqref="O34:O40">
    <cfRule type="notContainsBlanks" dxfId="472" priority="379" stopIfTrue="1">
      <formula>LEN(TRIM(O34))&gt;0</formula>
    </cfRule>
  </conditionalFormatting>
  <conditionalFormatting sqref="P34:P40">
    <cfRule type="containsBlanks" dxfId="471" priority="380" stopIfTrue="1">
      <formula>LEN(TRIM(P34))=0</formula>
    </cfRule>
  </conditionalFormatting>
  <conditionalFormatting sqref="P34:P40">
    <cfRule type="expression" dxfId="470" priority="381" stopIfTrue="1">
      <formula>SUM($P$34:$P$40)&lt;&gt;1</formula>
    </cfRule>
  </conditionalFormatting>
  <conditionalFormatting sqref="P34:P40">
    <cfRule type="notContainsBlanks" dxfId="469" priority="382" stopIfTrue="1">
      <formula>LEN(TRIM(P34))&gt;0</formula>
    </cfRule>
  </conditionalFormatting>
  <conditionalFormatting sqref="Q34:Q40">
    <cfRule type="containsBlanks" dxfId="468" priority="383" stopIfTrue="1">
      <formula>LEN(TRIM(Q34))=0</formula>
    </cfRule>
  </conditionalFormatting>
  <conditionalFormatting sqref="Q34:Q40">
    <cfRule type="expression" dxfId="467" priority="384" stopIfTrue="1">
      <formula>SUM($Q$34:$Q$40)&lt;&gt;1</formula>
    </cfRule>
  </conditionalFormatting>
  <conditionalFormatting sqref="Q34:Q40">
    <cfRule type="notContainsBlanks" dxfId="466" priority="385" stopIfTrue="1">
      <formula>LEN(TRIM(Q34))&gt;0</formula>
    </cfRule>
  </conditionalFormatting>
  <conditionalFormatting sqref="R34:R40">
    <cfRule type="containsBlanks" dxfId="465" priority="386" stopIfTrue="1">
      <formula>LEN(TRIM(R34))=0</formula>
    </cfRule>
  </conditionalFormatting>
  <conditionalFormatting sqref="R34:R40">
    <cfRule type="expression" dxfId="464" priority="387" stopIfTrue="1">
      <formula>SUM($R$34:$R$40)&lt;&gt;1</formula>
    </cfRule>
  </conditionalFormatting>
  <conditionalFormatting sqref="R34:R40">
    <cfRule type="notContainsBlanks" dxfId="463" priority="388" stopIfTrue="1">
      <formula>LEN(TRIM(R34))&gt;0</formula>
    </cfRule>
  </conditionalFormatting>
  <conditionalFormatting sqref="S34:S40">
    <cfRule type="containsBlanks" dxfId="462" priority="389" stopIfTrue="1">
      <formula>LEN(TRIM(S34))=0</formula>
    </cfRule>
  </conditionalFormatting>
  <conditionalFormatting sqref="S34:S40">
    <cfRule type="expression" dxfId="461" priority="390" stopIfTrue="1">
      <formula>SUM($S$34:$S$40)&lt;&gt;1</formula>
    </cfRule>
  </conditionalFormatting>
  <conditionalFormatting sqref="S34:S40">
    <cfRule type="notContainsBlanks" dxfId="460" priority="391" stopIfTrue="1">
      <formula>LEN(TRIM(S34))&gt;0</formula>
    </cfRule>
  </conditionalFormatting>
  <conditionalFormatting sqref="T34:T40">
    <cfRule type="containsBlanks" dxfId="459" priority="392" stopIfTrue="1">
      <formula>LEN(TRIM(T34))=0</formula>
    </cfRule>
  </conditionalFormatting>
  <conditionalFormatting sqref="T34:T40">
    <cfRule type="expression" dxfId="458" priority="393" stopIfTrue="1">
      <formula>SUM($T$34:$T$40)&lt;&gt;1</formula>
    </cfRule>
  </conditionalFormatting>
  <conditionalFormatting sqref="T34:T40">
    <cfRule type="notContainsBlanks" dxfId="457" priority="394" stopIfTrue="1">
      <formula>LEN(TRIM(T34))&gt;0</formula>
    </cfRule>
  </conditionalFormatting>
  <conditionalFormatting sqref="U34:U40">
    <cfRule type="containsBlanks" dxfId="456" priority="395" stopIfTrue="1">
      <formula>LEN(TRIM(U34))=0</formula>
    </cfRule>
  </conditionalFormatting>
  <conditionalFormatting sqref="U34:U40">
    <cfRule type="expression" dxfId="455" priority="396" stopIfTrue="1">
      <formula>SUM($U$34:$U$40)&lt;&gt;1</formula>
    </cfRule>
  </conditionalFormatting>
  <conditionalFormatting sqref="U34:U40">
    <cfRule type="notContainsBlanks" dxfId="454" priority="397" stopIfTrue="1">
      <formula>LEN(TRIM(U34))&gt;0</formula>
    </cfRule>
  </conditionalFormatting>
  <conditionalFormatting sqref="V34:V40">
    <cfRule type="containsBlanks" dxfId="453" priority="398" stopIfTrue="1">
      <formula>LEN(TRIM(V34))=0</formula>
    </cfRule>
  </conditionalFormatting>
  <conditionalFormatting sqref="V34:V40">
    <cfRule type="expression" dxfId="452" priority="399" stopIfTrue="1">
      <formula>SUM($V$34:$V$40)&lt;&gt;1</formula>
    </cfRule>
  </conditionalFormatting>
  <conditionalFormatting sqref="V34:V40">
    <cfRule type="notContainsBlanks" dxfId="451" priority="400" stopIfTrue="1">
      <formula>LEN(TRIM(V34))&gt;0</formula>
    </cfRule>
  </conditionalFormatting>
  <conditionalFormatting sqref="W34:W40">
    <cfRule type="containsBlanks" dxfId="450" priority="401" stopIfTrue="1">
      <formula>LEN(TRIM(W34))=0</formula>
    </cfRule>
  </conditionalFormatting>
  <conditionalFormatting sqref="W34:W40">
    <cfRule type="expression" dxfId="449" priority="402" stopIfTrue="1">
      <formula>SUM($W$34:$W$40)&lt;&gt;1</formula>
    </cfRule>
  </conditionalFormatting>
  <conditionalFormatting sqref="W34:W40">
    <cfRule type="notContainsBlanks" dxfId="448" priority="403" stopIfTrue="1">
      <formula>LEN(TRIM(W34))&gt;0</formula>
    </cfRule>
  </conditionalFormatting>
  <conditionalFormatting sqref="X34:X40">
    <cfRule type="containsBlanks" dxfId="447" priority="404" stopIfTrue="1">
      <formula>LEN(TRIM(X34))=0</formula>
    </cfRule>
    <cfRule type="expression" dxfId="446" priority="405" stopIfTrue="1">
      <formula>SUM($X$34:$X$40)&lt;&gt;1</formula>
    </cfRule>
    <cfRule type="notContainsBlanks" dxfId="445" priority="406" stopIfTrue="1">
      <formula>LEN(TRIM(X34))&gt;0</formula>
    </cfRule>
  </conditionalFormatting>
  <conditionalFormatting sqref="Y34:Y40">
    <cfRule type="containsBlanks" dxfId="444" priority="407" stopIfTrue="1">
      <formula>LEN(TRIM(Y34))=0</formula>
    </cfRule>
  </conditionalFormatting>
  <conditionalFormatting sqref="Y34:Y40">
    <cfRule type="expression" dxfId="443" priority="408" stopIfTrue="1">
      <formula>SUM($Y$34:$Y$40)&lt;&gt;1</formula>
    </cfRule>
  </conditionalFormatting>
  <conditionalFormatting sqref="Y34:Y40">
    <cfRule type="notContainsBlanks" dxfId="442" priority="409" stopIfTrue="1">
      <formula>LEN(TRIM(Y34))&gt;0</formula>
    </cfRule>
  </conditionalFormatting>
  <conditionalFormatting sqref="Z34:Z40">
    <cfRule type="containsBlanks" dxfId="441" priority="410" stopIfTrue="1">
      <formula>LEN(TRIM(Z34))=0</formula>
    </cfRule>
  </conditionalFormatting>
  <conditionalFormatting sqref="Z34:Z40">
    <cfRule type="expression" dxfId="440" priority="411" stopIfTrue="1">
      <formula>SUM($Z$34:$Z$40)&lt;&gt;1</formula>
    </cfRule>
  </conditionalFormatting>
  <conditionalFormatting sqref="Z34:Z40">
    <cfRule type="notContainsBlanks" dxfId="439" priority="412" stopIfTrue="1">
      <formula>LEN(TRIM(Z34))&gt;0</formula>
    </cfRule>
  </conditionalFormatting>
  <conditionalFormatting sqref="AA34:AA40">
    <cfRule type="containsBlanks" dxfId="438" priority="413" stopIfTrue="1">
      <formula>LEN(TRIM(AA34))=0</formula>
    </cfRule>
  </conditionalFormatting>
  <conditionalFormatting sqref="AA34:AA40">
    <cfRule type="expression" dxfId="437" priority="414" stopIfTrue="1">
      <formula>SUM($AA$34:$AA$40)&lt;&gt;1</formula>
    </cfRule>
  </conditionalFormatting>
  <conditionalFormatting sqref="AA34:AA40">
    <cfRule type="notContainsBlanks" dxfId="436" priority="415" stopIfTrue="1">
      <formula>LEN(TRIM(AA34))&gt;0</formula>
    </cfRule>
  </conditionalFormatting>
  <conditionalFormatting sqref="AB34:AB40">
    <cfRule type="containsBlanks" dxfId="435" priority="416" stopIfTrue="1">
      <formula>LEN(TRIM(AB34))=0</formula>
    </cfRule>
  </conditionalFormatting>
  <conditionalFormatting sqref="AB34:AB40">
    <cfRule type="expression" dxfId="434" priority="417" stopIfTrue="1">
      <formula>SUM($AB$34:$AB$40)&lt;&gt;1</formula>
    </cfRule>
  </conditionalFormatting>
  <conditionalFormatting sqref="AB34:AB40">
    <cfRule type="notContainsBlanks" dxfId="433" priority="418" stopIfTrue="1">
      <formula>LEN(TRIM(AB34))&gt;0</formula>
    </cfRule>
  </conditionalFormatting>
  <conditionalFormatting sqref="AC34:AC40">
    <cfRule type="containsBlanks" dxfId="432" priority="419" stopIfTrue="1">
      <formula>LEN(TRIM(AC34))=0</formula>
    </cfRule>
  </conditionalFormatting>
  <conditionalFormatting sqref="AC34:AC40">
    <cfRule type="expression" dxfId="431" priority="420" stopIfTrue="1">
      <formula>SUM($AC$34:$AC$40)&lt;&gt;1</formula>
    </cfRule>
  </conditionalFormatting>
  <conditionalFormatting sqref="AC34:AC40">
    <cfRule type="notContainsBlanks" dxfId="430" priority="421" stopIfTrue="1">
      <formula>LEN(TRIM(AC34))&gt;0</formula>
    </cfRule>
  </conditionalFormatting>
  <conditionalFormatting sqref="AD34:AD40">
    <cfRule type="containsBlanks" dxfId="429" priority="422" stopIfTrue="1">
      <formula>LEN(TRIM(AD34))=0</formula>
    </cfRule>
  </conditionalFormatting>
  <conditionalFormatting sqref="AD34:AD40">
    <cfRule type="expression" dxfId="428" priority="423" stopIfTrue="1">
      <formula>SUM($AD$34:$AD$40)&lt;&gt;1</formula>
    </cfRule>
  </conditionalFormatting>
  <conditionalFormatting sqref="AD34:AD40">
    <cfRule type="notContainsBlanks" dxfId="427" priority="424" stopIfTrue="1">
      <formula>LEN(TRIM(AD34))&gt;0</formula>
    </cfRule>
  </conditionalFormatting>
  <conditionalFormatting sqref="AE34:AE40">
    <cfRule type="containsBlanks" dxfId="426" priority="425" stopIfTrue="1">
      <formula>LEN(TRIM(AE34))=0</formula>
    </cfRule>
  </conditionalFormatting>
  <conditionalFormatting sqref="AE34:AE40">
    <cfRule type="expression" dxfId="425" priority="426" stopIfTrue="1">
      <formula>SUM($AE$34:$AE$40)&lt;&gt;1</formula>
    </cfRule>
  </conditionalFormatting>
  <conditionalFormatting sqref="AE34:AE40">
    <cfRule type="notContainsBlanks" dxfId="424" priority="427" stopIfTrue="1">
      <formula>LEN(TRIM(AE34))&gt;0</formula>
    </cfRule>
  </conditionalFormatting>
  <conditionalFormatting sqref="AF34:AF40">
    <cfRule type="containsBlanks" dxfId="423" priority="428" stopIfTrue="1">
      <formula>LEN(TRIM(AF34))=0</formula>
    </cfRule>
  </conditionalFormatting>
  <conditionalFormatting sqref="AF34:AF40">
    <cfRule type="expression" dxfId="422" priority="429" stopIfTrue="1">
      <formula>SUM($AF$34:$AF$40)&lt;&gt;1</formula>
    </cfRule>
  </conditionalFormatting>
  <conditionalFormatting sqref="AF34:AF40">
    <cfRule type="notContainsBlanks" dxfId="421" priority="430" stopIfTrue="1">
      <formula>LEN(TRIM(AF34))&gt;0</formula>
    </cfRule>
  </conditionalFormatting>
  <conditionalFormatting sqref="AG34:AG40">
    <cfRule type="containsBlanks" dxfId="420" priority="431" stopIfTrue="1">
      <formula>LEN(TRIM(AG34))=0</formula>
    </cfRule>
  </conditionalFormatting>
  <conditionalFormatting sqref="AG34:AG40">
    <cfRule type="expression" dxfId="419" priority="432" stopIfTrue="1">
      <formula>SUM($AG$34:$AG$40)&lt;&gt;1</formula>
    </cfRule>
  </conditionalFormatting>
  <conditionalFormatting sqref="AG34:AG40">
    <cfRule type="notContainsBlanks" dxfId="418" priority="433" stopIfTrue="1">
      <formula>LEN(TRIM(AG34))&gt;0</formula>
    </cfRule>
  </conditionalFormatting>
  <conditionalFormatting sqref="AH34:AH40">
    <cfRule type="containsBlanks" dxfId="417" priority="434" stopIfTrue="1">
      <formula>LEN(TRIM(AH34))=0</formula>
    </cfRule>
  </conditionalFormatting>
  <conditionalFormatting sqref="AH34:AH40">
    <cfRule type="expression" dxfId="416" priority="435" stopIfTrue="1">
      <formula>SUM($AH$34:$AH$40)&lt;&gt;1</formula>
    </cfRule>
  </conditionalFormatting>
  <conditionalFormatting sqref="AH34:AH40">
    <cfRule type="notContainsBlanks" dxfId="415" priority="436" stopIfTrue="1">
      <formula>LEN(TRIM(AH34))&gt;0</formula>
    </cfRule>
  </conditionalFormatting>
  <conditionalFormatting sqref="AI34:AI40">
    <cfRule type="containsBlanks" dxfId="414" priority="437" stopIfTrue="1">
      <formula>LEN(TRIM(AI34))=0</formula>
    </cfRule>
  </conditionalFormatting>
  <conditionalFormatting sqref="AI34:AI40">
    <cfRule type="expression" dxfId="413" priority="438" stopIfTrue="1">
      <formula>SUM($AI$34:$AI$40)&lt;&gt;1</formula>
    </cfRule>
  </conditionalFormatting>
  <conditionalFormatting sqref="AI34:AI40">
    <cfRule type="notContainsBlanks" dxfId="412" priority="439" stopIfTrue="1">
      <formula>LEN(TRIM(AI34))&gt;0</formula>
    </cfRule>
  </conditionalFormatting>
  <conditionalFormatting sqref="AJ34:AJ40">
    <cfRule type="containsBlanks" dxfId="411" priority="440" stopIfTrue="1">
      <formula>LEN(TRIM(AJ34))=0</formula>
    </cfRule>
  </conditionalFormatting>
  <conditionalFormatting sqref="AJ34:AJ40">
    <cfRule type="expression" dxfId="410" priority="441" stopIfTrue="1">
      <formula>SUM($AJ$34:$AJ$40)&lt;&gt;1</formula>
    </cfRule>
  </conditionalFormatting>
  <conditionalFormatting sqref="AJ34:AJ40">
    <cfRule type="notContainsBlanks" dxfId="409" priority="442" stopIfTrue="1">
      <formula>LEN(TRIM(AJ34))&gt;0</formula>
    </cfRule>
  </conditionalFormatting>
  <conditionalFormatting sqref="AK34:AK40">
    <cfRule type="containsBlanks" dxfId="408" priority="443" stopIfTrue="1">
      <formula>LEN(TRIM(AK34))=0</formula>
    </cfRule>
  </conditionalFormatting>
  <conditionalFormatting sqref="AK34:AK40">
    <cfRule type="expression" dxfId="407" priority="444" stopIfTrue="1">
      <formula>SUM($AK$34:$AK$40)&lt;&gt;1</formula>
    </cfRule>
  </conditionalFormatting>
  <conditionalFormatting sqref="AK34:AK40">
    <cfRule type="notContainsBlanks" dxfId="406" priority="445" stopIfTrue="1">
      <formula>LEN(TRIM(AK34))&gt;0</formula>
    </cfRule>
  </conditionalFormatting>
  <conditionalFormatting sqref="AL34:AL40">
    <cfRule type="containsBlanks" dxfId="405" priority="446" stopIfTrue="1">
      <formula>LEN(TRIM(AL34))=0</formula>
    </cfRule>
  </conditionalFormatting>
  <conditionalFormatting sqref="AL34:AL40">
    <cfRule type="expression" dxfId="404" priority="447" stopIfTrue="1">
      <formula>SUM($AL$34:$AL$40)&lt;&gt;1</formula>
    </cfRule>
  </conditionalFormatting>
  <conditionalFormatting sqref="AL34:AL40">
    <cfRule type="notContainsBlanks" dxfId="403" priority="448" stopIfTrue="1">
      <formula>LEN(TRIM(AL34))&gt;0</formula>
    </cfRule>
  </conditionalFormatting>
  <conditionalFormatting sqref="E30">
    <cfRule type="containsBlanks" dxfId="402" priority="449" stopIfTrue="1">
      <formula>LEN(TRIM(E30))=0</formula>
    </cfRule>
  </conditionalFormatting>
  <conditionalFormatting sqref="E30">
    <cfRule type="notContainsBlanks" dxfId="401" priority="450" stopIfTrue="1">
      <formula>LEN(TRIM(E30))&gt;0</formula>
    </cfRule>
  </conditionalFormatting>
  <conditionalFormatting sqref="E6:AL6">
    <cfRule type="containsBlanks" dxfId="400" priority="451" stopIfTrue="1">
      <formula>LEN(TRIM(E6))=0</formula>
    </cfRule>
  </conditionalFormatting>
  <conditionalFormatting sqref="E6:AL6">
    <cfRule type="notContainsBlanks" dxfId="399" priority="452" stopIfTrue="1">
      <formula>LEN(TRIM(E6))&gt;0</formula>
    </cfRule>
  </conditionalFormatting>
  <conditionalFormatting sqref="E11:AL11">
    <cfRule type="containsBlanks" dxfId="398" priority="459" stopIfTrue="1">
      <formula>LEN(TRIM(E11))=0</formula>
    </cfRule>
  </conditionalFormatting>
  <conditionalFormatting sqref="E11:AL11">
    <cfRule type="notContainsBlanks" dxfId="397" priority="460" stopIfTrue="1">
      <formula>LEN(TRIM(E11))&gt;0</formula>
    </cfRule>
  </conditionalFormatting>
  <conditionalFormatting sqref="E12:AL12">
    <cfRule type="containsBlanks" dxfId="396" priority="461" stopIfTrue="1">
      <formula>LEN(TRIM(E12))=0</formula>
    </cfRule>
  </conditionalFormatting>
  <conditionalFormatting sqref="E12:AL12">
    <cfRule type="notContainsBlanks" dxfId="395" priority="462" stopIfTrue="1">
      <formula>LEN(TRIM(E12))&gt;0</formula>
    </cfRule>
  </conditionalFormatting>
  <conditionalFormatting sqref="E13:AL13">
    <cfRule type="containsBlanks" dxfId="394" priority="463" stopIfTrue="1">
      <formula>LEN(TRIM(E13))=0</formula>
    </cfRule>
  </conditionalFormatting>
  <conditionalFormatting sqref="E13:AL13">
    <cfRule type="notContainsBlanks" dxfId="393" priority="464" stopIfTrue="1">
      <formula>LEN(TRIM(E13))&gt;0</formula>
    </cfRule>
  </conditionalFormatting>
  <conditionalFormatting sqref="E14:AL14">
    <cfRule type="containsBlanks" dxfId="392" priority="465" stopIfTrue="1">
      <formula>LEN(TRIM(E14))=0</formula>
    </cfRule>
  </conditionalFormatting>
  <conditionalFormatting sqref="E14:AL14">
    <cfRule type="notContainsBlanks" dxfId="391" priority="466" stopIfTrue="1">
      <formula>LEN(TRIM(E14))&gt;0</formula>
    </cfRule>
  </conditionalFormatting>
  <conditionalFormatting sqref="E15:AL15">
    <cfRule type="containsBlanks" dxfId="390" priority="467" stopIfTrue="1">
      <formula>LEN(TRIM(E15))=0</formula>
    </cfRule>
  </conditionalFormatting>
  <conditionalFormatting sqref="E15:AL15">
    <cfRule type="notContainsBlanks" dxfId="389" priority="468" stopIfTrue="1">
      <formula>LEN(TRIM(E15))&gt;0</formula>
    </cfRule>
  </conditionalFormatting>
  <conditionalFormatting sqref="E16:AL16">
    <cfRule type="containsBlanks" dxfId="388" priority="469" stopIfTrue="1">
      <formula>LEN(TRIM(E16))=0</formula>
    </cfRule>
  </conditionalFormatting>
  <conditionalFormatting sqref="E16:AL16">
    <cfRule type="notContainsBlanks" dxfId="387" priority="470" stopIfTrue="1">
      <formula>LEN(TRIM(E16))&gt;0</formula>
    </cfRule>
  </conditionalFormatting>
  <conditionalFormatting sqref="E17:AL17">
    <cfRule type="containsBlanks" dxfId="386" priority="471" stopIfTrue="1">
      <formula>LEN(TRIM(E17))=0</formula>
    </cfRule>
  </conditionalFormatting>
  <conditionalFormatting sqref="E17:AL17">
    <cfRule type="notContainsBlanks" dxfId="385" priority="472" stopIfTrue="1">
      <formula>LEN(TRIM(E17))&gt;0</formula>
    </cfRule>
  </conditionalFormatting>
  <conditionalFormatting sqref="E19:AL19">
    <cfRule type="containsBlanks" dxfId="384" priority="473" stopIfTrue="1">
      <formula>LEN(TRIM(E19))=0</formula>
    </cfRule>
  </conditionalFormatting>
  <conditionalFormatting sqref="E19:AL19">
    <cfRule type="notContainsBlanks" dxfId="383" priority="474" stopIfTrue="1">
      <formula>LEN(TRIM(E19))&gt;0</formula>
    </cfRule>
  </conditionalFormatting>
  <conditionalFormatting sqref="E21:AL21">
    <cfRule type="containsBlanks" dxfId="382" priority="475" stopIfTrue="1">
      <formula>LEN(TRIM(E21))=0</formula>
    </cfRule>
  </conditionalFormatting>
  <conditionalFormatting sqref="E21:AL21">
    <cfRule type="notContainsBlanks" dxfId="381" priority="476" stopIfTrue="1">
      <formula>LEN(TRIM(E21))&gt;0</formula>
    </cfRule>
  </conditionalFormatting>
  <conditionalFormatting sqref="E22:AL22">
    <cfRule type="containsBlanks" dxfId="380" priority="477" stopIfTrue="1">
      <formula>LEN(TRIM(E22))=0</formula>
    </cfRule>
  </conditionalFormatting>
  <conditionalFormatting sqref="E22:AL22">
    <cfRule type="notContainsBlanks" dxfId="379" priority="478" stopIfTrue="1">
      <formula>LEN(TRIM(E22))&gt;0</formula>
    </cfRule>
  </conditionalFormatting>
  <conditionalFormatting sqref="E23:AL23">
    <cfRule type="containsBlanks" dxfId="378" priority="479" stopIfTrue="1">
      <formula>LEN(TRIM(E23))=0</formula>
    </cfRule>
  </conditionalFormatting>
  <conditionalFormatting sqref="E23:AL23">
    <cfRule type="notContainsBlanks" dxfId="377" priority="480" stopIfTrue="1">
      <formula>LEN(TRIM(E23))&gt;0</formula>
    </cfRule>
  </conditionalFormatting>
  <conditionalFormatting sqref="E24:AL24">
    <cfRule type="containsBlanks" dxfId="376" priority="481" stopIfTrue="1">
      <formula>LEN(TRIM(E24))=0</formula>
    </cfRule>
  </conditionalFormatting>
  <conditionalFormatting sqref="E24:AL24">
    <cfRule type="notContainsBlanks" dxfId="375" priority="482" stopIfTrue="1">
      <formula>LEN(TRIM(E24))&gt;0</formula>
    </cfRule>
  </conditionalFormatting>
  <conditionalFormatting sqref="E25:AL25">
    <cfRule type="containsBlanks" dxfId="374" priority="483" stopIfTrue="1">
      <formula>LEN(TRIM(E25))=0</formula>
    </cfRule>
  </conditionalFormatting>
  <conditionalFormatting sqref="E25:AL25">
    <cfRule type="notContainsBlanks" dxfId="373" priority="484" stopIfTrue="1">
      <formula>LEN(TRIM(E25))&gt;0</formula>
    </cfRule>
  </conditionalFormatting>
  <conditionalFormatting sqref="E26:AL26">
    <cfRule type="containsBlanks" dxfId="372" priority="485" stopIfTrue="1">
      <formula>LEN(TRIM(E26))=0</formula>
    </cfRule>
  </conditionalFormatting>
  <conditionalFormatting sqref="E26:AL26">
    <cfRule type="notContainsBlanks" dxfId="371" priority="486" stopIfTrue="1">
      <formula>LEN(TRIM(E26))&gt;0</formula>
    </cfRule>
  </conditionalFormatting>
  <conditionalFormatting sqref="E27:AL27">
    <cfRule type="containsBlanks" dxfId="370" priority="487" stopIfTrue="1">
      <formula>LEN(TRIM(E27))=0</formula>
    </cfRule>
  </conditionalFormatting>
  <conditionalFormatting sqref="E27:AL27">
    <cfRule type="notContainsBlanks" dxfId="369" priority="488" stopIfTrue="1">
      <formula>LEN(TRIM(E27))&gt;0</formula>
    </cfRule>
  </conditionalFormatting>
  <conditionalFormatting sqref="E8">
    <cfRule type="containsBlanks" dxfId="368" priority="17" stopIfTrue="1">
      <formula>LEN(TRIM(E8))=0</formula>
    </cfRule>
  </conditionalFormatting>
  <conditionalFormatting sqref="E8">
    <cfRule type="notContainsBlanks" dxfId="367" priority="18" stopIfTrue="1">
      <formula>LEN(TRIM(E8))&gt;0</formula>
    </cfRule>
  </conditionalFormatting>
  <conditionalFormatting sqref="E7:AL7 F8:AL9">
    <cfRule type="containsBlanks" dxfId="366" priority="21" stopIfTrue="1">
      <formula>LEN(TRIM(E7))=0</formula>
    </cfRule>
    <cfRule type="notContainsBlanks" dxfId="365" priority="22" stopIfTrue="1">
      <formula>LEN(TRIM(E7))&gt;0</formula>
    </cfRule>
  </conditionalFormatting>
  <conditionalFormatting sqref="E9">
    <cfRule type="containsBlanks" dxfId="364" priority="19" stopIfTrue="1">
      <formula>LEN(TRIM(E9))=0</formula>
    </cfRule>
  </conditionalFormatting>
  <conditionalFormatting sqref="E9">
    <cfRule type="notContainsBlanks" dxfId="363" priority="20" stopIfTrue="1">
      <formula>LEN(TRIM(E9))&gt;0</formula>
    </cfRule>
  </conditionalFormatting>
  <conditionalFormatting sqref="E9">
    <cfRule type="containsBlanks" dxfId="362" priority="15" stopIfTrue="1">
      <formula>LEN(TRIM(E9))=0</formula>
    </cfRule>
  </conditionalFormatting>
  <conditionalFormatting sqref="E9">
    <cfRule type="notContainsBlanks" dxfId="361" priority="16" stopIfTrue="1">
      <formula>LEN(TRIM(E9))&gt;0</formula>
    </cfRule>
  </conditionalFormatting>
  <conditionalFormatting sqref="E84:J90">
    <cfRule type="containsBlanks" dxfId="360" priority="6" stopIfTrue="1">
      <formula>LEN(TRIM(E84))=0</formula>
    </cfRule>
  </conditionalFormatting>
  <conditionalFormatting sqref="E84:J90">
    <cfRule type="expression" dxfId="359" priority="7" stopIfTrue="1">
      <formula>SUM($F$34:$F$40)&lt;&gt;1</formula>
    </cfRule>
  </conditionalFormatting>
  <conditionalFormatting sqref="E84:J90">
    <cfRule type="notContainsBlanks" dxfId="358" priority="8" stopIfTrue="1">
      <formula>LEN(TRIM(E84))&gt;0</formula>
    </cfRule>
  </conditionalFormatting>
  <conditionalFormatting sqref="E65:J65">
    <cfRule type="containsBlanks" dxfId="357" priority="4" stopIfTrue="1">
      <formula>LEN(TRIM(E65))=0</formula>
    </cfRule>
    <cfRule type="notContainsBlanks" dxfId="356" priority="5" stopIfTrue="1">
      <formula>LEN(TRIM(E65))&gt;0</formula>
    </cfRule>
  </conditionalFormatting>
  <conditionalFormatting sqref="E34:E40">
    <cfRule type="containsBlanks" dxfId="355" priority="1" stopIfTrue="1">
      <formula>LEN(TRIM(E34))=0</formula>
    </cfRule>
    <cfRule type="expression" dxfId="354" priority="2" stopIfTrue="1">
      <formula>SUM($E$75:$E$81)&lt;&gt;1</formula>
    </cfRule>
    <cfRule type="notContainsBlanks" dxfId="353" priority="3" stopIfTrue="1">
      <formula>LEN(TRIM(E34))&gt;0</formula>
    </cfRule>
  </conditionalFormatting>
  <pageMargins left="0.7" right="0.7" top="0.75" bottom="0.75" header="0.3" footer="0.3"/>
  <customProperties>
    <customPr name="IsPC"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dimension ref="A2:Y200"/>
  <sheetViews>
    <sheetView showGridLines="0" topLeftCell="C34" zoomScale="85" zoomScaleNormal="85" zoomScalePageLayoutView="85" workbookViewId="0">
      <selection activeCell="D200" sqref="D200"/>
    </sheetView>
  </sheetViews>
  <sheetFormatPr defaultColWidth="8.77734375" defaultRowHeight="12" customHeight="1"/>
  <cols>
    <col min="1" max="1" width="8.77734375" style="160"/>
    <col min="2" max="2" width="10.109375" style="160" customWidth="1"/>
    <col min="3" max="3" width="43" style="160" customWidth="1"/>
    <col min="4" max="4" width="17.109375" style="160" customWidth="1"/>
    <col min="5" max="5" width="17.33203125" style="160" customWidth="1"/>
    <col min="6" max="6" width="17" style="160" customWidth="1"/>
    <col min="7" max="7" width="25.44140625" style="160" customWidth="1"/>
    <col min="8" max="10" width="21.6640625" style="160" customWidth="1"/>
    <col min="11" max="11" width="18" style="160" customWidth="1"/>
    <col min="12" max="12" width="14.33203125" style="160" customWidth="1"/>
    <col min="13" max="17" width="10.6640625" style="160" customWidth="1"/>
    <col min="18" max="23" width="10.6640625" style="159" customWidth="1"/>
    <col min="24" max="24" width="9.44140625" style="159" customWidth="1"/>
    <col min="25" max="25" width="12.44140625" style="159" customWidth="1"/>
    <col min="26" max="16384" width="8.77734375" style="160"/>
  </cols>
  <sheetData>
    <row r="2" spans="2:17" ht="12" customHeight="1">
      <c r="B2" s="168"/>
      <c r="C2" s="168"/>
      <c r="D2" s="168"/>
      <c r="E2" s="168"/>
      <c r="F2" s="168"/>
      <c r="G2" s="168"/>
      <c r="H2" s="168"/>
      <c r="I2" s="168"/>
      <c r="J2" s="168"/>
      <c r="K2" s="168"/>
      <c r="L2" s="168"/>
      <c r="M2" s="159"/>
      <c r="N2" s="159"/>
      <c r="O2" s="159"/>
      <c r="P2" s="159"/>
      <c r="Q2" s="159"/>
    </row>
    <row r="3" spans="2:17" ht="12" customHeight="1">
      <c r="B3" s="168"/>
      <c r="C3" s="182" t="s">
        <v>156</v>
      </c>
      <c r="D3" s="168"/>
      <c r="E3" s="168"/>
      <c r="F3" s="168"/>
      <c r="G3" s="168"/>
      <c r="H3" s="168"/>
      <c r="I3" s="168"/>
      <c r="J3" s="168"/>
      <c r="K3" s="168"/>
      <c r="L3" s="168"/>
      <c r="M3" s="159"/>
      <c r="N3" s="159"/>
      <c r="O3" s="159"/>
      <c r="P3" s="159"/>
      <c r="Q3" s="159"/>
    </row>
    <row r="4" spans="2:17" ht="12" customHeight="1">
      <c r="B4" s="168"/>
      <c r="C4" s="169">
        <v>2012</v>
      </c>
      <c r="D4" s="168"/>
      <c r="E4" s="168"/>
      <c r="F4" s="168"/>
      <c r="G4" s="168"/>
      <c r="H4" s="168"/>
      <c r="I4" s="168"/>
      <c r="J4" s="168"/>
      <c r="K4" s="168"/>
      <c r="L4" s="168"/>
      <c r="M4" s="159"/>
      <c r="N4" s="159"/>
      <c r="O4" s="159"/>
      <c r="P4" s="159"/>
      <c r="Q4" s="159"/>
    </row>
    <row r="5" spans="2:17" ht="12" customHeight="1">
      <c r="B5" s="168"/>
      <c r="C5" s="168"/>
      <c r="D5" s="168"/>
      <c r="E5" s="168"/>
      <c r="F5" s="168"/>
      <c r="G5" s="168"/>
      <c r="H5" s="168"/>
      <c r="I5" s="168"/>
      <c r="J5" s="168"/>
      <c r="K5" s="168"/>
      <c r="L5" s="168"/>
      <c r="M5" s="159"/>
      <c r="N5" s="159"/>
      <c r="O5" s="159"/>
      <c r="P5" s="159"/>
      <c r="Q5" s="159"/>
    </row>
    <row r="6" spans="2:17" ht="12" customHeight="1">
      <c r="B6" s="168"/>
      <c r="C6" s="181"/>
      <c r="D6" s="172"/>
      <c r="E6" s="323" t="s">
        <v>157</v>
      </c>
      <c r="F6" s="323"/>
      <c r="G6" s="182" t="s">
        <v>206</v>
      </c>
      <c r="H6" s="172"/>
      <c r="I6" s="168"/>
      <c r="J6" s="168"/>
      <c r="K6" s="168"/>
      <c r="L6" s="168"/>
      <c r="M6" s="159"/>
      <c r="N6" s="159"/>
      <c r="O6" s="159"/>
      <c r="P6" s="159"/>
      <c r="Q6" s="159"/>
    </row>
    <row r="7" spans="2:17" ht="15">
      <c r="B7" s="168"/>
      <c r="C7" s="184" t="s">
        <v>198</v>
      </c>
      <c r="D7" s="109" t="s">
        <v>158</v>
      </c>
      <c r="E7" s="109" t="s">
        <v>195</v>
      </c>
      <c r="F7" s="109" t="s">
        <v>199</v>
      </c>
      <c r="G7" s="109" t="s">
        <v>200</v>
      </c>
      <c r="H7" s="185" t="s">
        <v>109</v>
      </c>
      <c r="I7" s="292" t="s">
        <v>251</v>
      </c>
      <c r="J7" s="168" t="s">
        <v>248</v>
      </c>
      <c r="K7" s="168"/>
      <c r="L7" s="168"/>
      <c r="M7" s="159"/>
      <c r="N7" s="159"/>
      <c r="O7" s="159"/>
      <c r="P7" s="159"/>
      <c r="Q7" s="159"/>
    </row>
    <row r="8" spans="2:17" ht="12" customHeight="1">
      <c r="B8" s="168"/>
      <c r="C8" s="324" t="s">
        <v>125</v>
      </c>
      <c r="D8" s="183" t="s">
        <v>159</v>
      </c>
      <c r="E8" s="180">
        <f>F25</f>
        <v>12443.25</v>
      </c>
      <c r="F8" s="180">
        <f>G25</f>
        <v>11056.75</v>
      </c>
      <c r="G8" s="180">
        <v>0</v>
      </c>
      <c r="H8" s="186">
        <f>E8+F8+G8</f>
        <v>23500</v>
      </c>
      <c r="I8" s="168"/>
      <c r="J8" s="281">
        <f>K60/H8</f>
        <v>0</v>
      </c>
      <c r="K8" s="168"/>
      <c r="L8" s="168"/>
      <c r="M8" s="159"/>
      <c r="N8" s="159"/>
      <c r="O8" s="159"/>
      <c r="P8" s="159"/>
      <c r="Q8" s="176"/>
    </row>
    <row r="9" spans="2:17" ht="12" customHeight="1">
      <c r="B9" s="168"/>
      <c r="C9" s="324"/>
      <c r="D9" s="183" t="s">
        <v>160</v>
      </c>
      <c r="E9" s="180">
        <f t="shared" ref="E9:E19" si="0">F26</f>
        <v>5295</v>
      </c>
      <c r="F9" s="180">
        <f t="shared" ref="F9:F19" si="1">G26</f>
        <v>4705</v>
      </c>
      <c r="G9" s="180">
        <f>K61</f>
        <v>742.5</v>
      </c>
      <c r="H9" s="186">
        <f>E9+F9+G9</f>
        <v>10742.5</v>
      </c>
      <c r="I9" s="255">
        <f>SUM(H8:H9)/H$20</f>
        <v>5.0918733198330797E-2</v>
      </c>
      <c r="J9" s="281">
        <f t="shared" ref="J9:J19" si="2">K61/H9</f>
        <v>6.911798929485688E-2</v>
      </c>
      <c r="K9" s="168"/>
      <c r="L9" s="168"/>
      <c r="M9" s="159"/>
      <c r="N9" s="159"/>
      <c r="O9" s="159"/>
      <c r="P9" s="159"/>
      <c r="Q9" s="176"/>
    </row>
    <row r="10" spans="2:17" ht="12" customHeight="1">
      <c r="B10" s="168"/>
      <c r="C10" s="187" t="s">
        <v>9</v>
      </c>
      <c r="D10" s="183" t="s">
        <v>161</v>
      </c>
      <c r="E10" s="180">
        <f t="shared" si="0"/>
        <v>97680</v>
      </c>
      <c r="F10" s="180">
        <f t="shared" si="1"/>
        <v>50320</v>
      </c>
      <c r="G10" s="180">
        <f>K62-F10</f>
        <v>133822</v>
      </c>
      <c r="H10" s="186">
        <f t="shared" ref="H10:H19" si="3">E10+F10+G10</f>
        <v>281822</v>
      </c>
      <c r="I10" s="255">
        <f>H10/H20</f>
        <v>0.41907043082193124</v>
      </c>
      <c r="J10" s="281">
        <f t="shared" si="2"/>
        <v>0.65339824428185167</v>
      </c>
      <c r="K10" s="168"/>
      <c r="L10" s="168"/>
      <c r="M10" s="159"/>
      <c r="N10" s="159"/>
      <c r="O10" s="159"/>
      <c r="P10" s="159"/>
      <c r="Q10" s="176"/>
    </row>
    <row r="11" spans="2:17" ht="12" customHeight="1">
      <c r="B11" s="168"/>
      <c r="C11" s="322" t="s">
        <v>162</v>
      </c>
      <c r="D11" s="183" t="s">
        <v>163</v>
      </c>
      <c r="E11" s="180">
        <f t="shared" si="0"/>
        <v>16892.5</v>
      </c>
      <c r="F11" s="180">
        <f t="shared" si="1"/>
        <v>8107.4999999999991</v>
      </c>
      <c r="G11" s="180">
        <f>K63-F11</f>
        <v>5833.141962499999</v>
      </c>
      <c r="H11" s="186">
        <f>E11+F11+G11</f>
        <v>30833.141962499998</v>
      </c>
      <c r="I11" s="255">
        <f>SUM(H11)/H$20</f>
        <v>4.584900428575002E-2</v>
      </c>
      <c r="J11" s="281">
        <f t="shared" si="2"/>
        <v>0.45213173472411405</v>
      </c>
      <c r="K11" s="168"/>
      <c r="L11" s="168"/>
      <c r="M11" s="159"/>
      <c r="N11" s="159"/>
      <c r="O11" s="159"/>
      <c r="P11" s="159"/>
      <c r="Q11" s="176"/>
    </row>
    <row r="12" spans="2:17" ht="12" customHeight="1">
      <c r="B12" s="168"/>
      <c r="C12" s="322"/>
      <c r="D12" s="183" t="s">
        <v>164</v>
      </c>
      <c r="E12" s="180">
        <f t="shared" si="0"/>
        <v>33109.300000000003</v>
      </c>
      <c r="F12" s="180">
        <f t="shared" si="1"/>
        <v>15890.699999999999</v>
      </c>
      <c r="G12" s="180">
        <f>K64-F12</f>
        <v>-11643.050447499998</v>
      </c>
      <c r="H12" s="186">
        <f t="shared" si="3"/>
        <v>37356.949552500002</v>
      </c>
      <c r="I12" s="168"/>
      <c r="J12" s="281">
        <f t="shared" si="2"/>
        <v>0.11370440047655708</v>
      </c>
      <c r="K12" s="281"/>
      <c r="L12" s="168"/>
      <c r="M12" s="159"/>
      <c r="N12" s="159"/>
      <c r="O12" s="159"/>
      <c r="P12" s="159"/>
      <c r="Q12" s="176"/>
    </row>
    <row r="13" spans="2:17" ht="12" customHeight="1">
      <c r="B13" s="168"/>
      <c r="C13" s="322"/>
      <c r="D13" s="183" t="s">
        <v>165</v>
      </c>
      <c r="E13" s="180">
        <f t="shared" si="0"/>
        <v>9459.7999999999993</v>
      </c>
      <c r="F13" s="180">
        <f t="shared" si="1"/>
        <v>4540.2</v>
      </c>
      <c r="G13" s="180">
        <f>K65-F13</f>
        <v>36309.822574999998</v>
      </c>
      <c r="H13" s="186">
        <f t="shared" si="3"/>
        <v>50309.822574999998</v>
      </c>
      <c r="I13" s="255">
        <f>SUM(H12:H13)/H$20</f>
        <v>0.13036083756498607</v>
      </c>
      <c r="J13" s="281">
        <f t="shared" si="2"/>
        <v>0.81196912420238243</v>
      </c>
      <c r="K13" s="168"/>
      <c r="L13" s="168"/>
      <c r="M13" s="159"/>
      <c r="N13" s="159"/>
      <c r="O13" s="159"/>
      <c r="P13" s="159"/>
      <c r="Q13" s="176"/>
    </row>
    <row r="14" spans="2:17" ht="12" customHeight="1">
      <c r="B14" s="168"/>
      <c r="C14" s="187" t="s">
        <v>166</v>
      </c>
      <c r="D14" s="183" t="s">
        <v>167</v>
      </c>
      <c r="E14" s="180">
        <f t="shared" si="0"/>
        <v>39000</v>
      </c>
      <c r="F14" s="180">
        <f t="shared" si="1"/>
        <v>26000</v>
      </c>
      <c r="G14" s="180">
        <f>K66-F14</f>
        <v>42928.75</v>
      </c>
      <c r="H14" s="186">
        <f t="shared" si="3"/>
        <v>107928.75</v>
      </c>
      <c r="I14" s="255">
        <f>H14/H$20</f>
        <v>0.16049047895683272</v>
      </c>
      <c r="J14" s="281">
        <f t="shared" si="2"/>
        <v>0.63865049859282164</v>
      </c>
      <c r="K14" s="168"/>
      <c r="L14" s="168"/>
      <c r="M14" s="159"/>
      <c r="N14" s="159"/>
      <c r="O14" s="159"/>
      <c r="P14" s="159"/>
      <c r="Q14" s="176"/>
    </row>
    <row r="15" spans="2:17" ht="12" customHeight="1">
      <c r="B15" s="168"/>
      <c r="C15" s="322" t="s">
        <v>168</v>
      </c>
      <c r="D15" s="183" t="s">
        <v>169</v>
      </c>
      <c r="E15" s="180">
        <f t="shared" si="0"/>
        <v>17480</v>
      </c>
      <c r="F15" s="180">
        <f t="shared" si="1"/>
        <v>1520</v>
      </c>
      <c r="G15" s="180">
        <v>0</v>
      </c>
      <c r="H15" s="186">
        <f t="shared" si="3"/>
        <v>19000</v>
      </c>
      <c r="I15" s="168"/>
      <c r="J15" s="281">
        <f t="shared" si="2"/>
        <v>0</v>
      </c>
      <c r="K15" s="168"/>
      <c r="L15" s="168"/>
      <c r="M15" s="159"/>
      <c r="N15" s="159"/>
      <c r="O15" s="159"/>
      <c r="P15" s="159"/>
      <c r="Q15" s="176"/>
    </row>
    <row r="16" spans="2:17" ht="12" customHeight="1">
      <c r="B16" s="168"/>
      <c r="C16" s="322"/>
      <c r="D16" s="183" t="s">
        <v>170</v>
      </c>
      <c r="E16" s="180">
        <f t="shared" si="0"/>
        <v>6900</v>
      </c>
      <c r="F16" s="180">
        <f t="shared" si="1"/>
        <v>600</v>
      </c>
      <c r="G16" s="180">
        <v>0</v>
      </c>
      <c r="H16" s="186">
        <f t="shared" si="3"/>
        <v>7500</v>
      </c>
      <c r="I16" s="255">
        <f>SUM(H15:H16)/H$20</f>
        <v>3.9405605015865257E-2</v>
      </c>
      <c r="J16" s="281">
        <f t="shared" si="2"/>
        <v>0</v>
      </c>
      <c r="K16" s="168"/>
      <c r="L16" s="168"/>
      <c r="M16" s="159"/>
      <c r="N16" s="159"/>
      <c r="O16" s="159"/>
      <c r="P16" s="159"/>
      <c r="Q16" s="176"/>
    </row>
    <row r="17" spans="2:17" ht="12" customHeight="1">
      <c r="B17" s="168"/>
      <c r="C17" s="187" t="s">
        <v>13</v>
      </c>
      <c r="D17" s="183" t="s">
        <v>171</v>
      </c>
      <c r="E17" s="180">
        <f t="shared" si="0"/>
        <v>34164</v>
      </c>
      <c r="F17" s="180">
        <f t="shared" si="1"/>
        <v>1835.9999999999998</v>
      </c>
      <c r="G17" s="180">
        <v>0</v>
      </c>
      <c r="H17" s="186">
        <f t="shared" si="3"/>
        <v>36000</v>
      </c>
      <c r="I17" s="255">
        <f>H17/H$20</f>
        <v>5.3532142663062235E-2</v>
      </c>
      <c r="J17" s="281">
        <f t="shared" si="2"/>
        <v>0</v>
      </c>
      <c r="K17" s="168"/>
      <c r="L17" s="168"/>
      <c r="M17" s="159"/>
      <c r="N17" s="159"/>
      <c r="O17" s="159"/>
      <c r="P17" s="159"/>
      <c r="Q17" s="176"/>
    </row>
    <row r="18" spans="2:17" ht="12" customHeight="1">
      <c r="B18" s="168"/>
      <c r="C18" s="322" t="s">
        <v>172</v>
      </c>
      <c r="D18" s="183" t="s">
        <v>173</v>
      </c>
      <c r="E18" s="180">
        <f t="shared" si="0"/>
        <v>14259</v>
      </c>
      <c r="F18" s="180">
        <f t="shared" si="1"/>
        <v>741</v>
      </c>
      <c r="G18" s="180">
        <v>0</v>
      </c>
      <c r="H18" s="186">
        <f t="shared" si="3"/>
        <v>15000</v>
      </c>
      <c r="I18" s="168"/>
      <c r="J18" s="281">
        <f t="shared" si="2"/>
        <v>0</v>
      </c>
      <c r="K18" s="168"/>
      <c r="L18" s="168"/>
      <c r="M18" s="159"/>
      <c r="N18" s="159"/>
      <c r="O18" s="159"/>
      <c r="P18" s="159"/>
      <c r="Q18" s="176"/>
    </row>
    <row r="19" spans="2:17" ht="12" customHeight="1">
      <c r="B19" s="168"/>
      <c r="C19" s="322"/>
      <c r="D19" s="183" t="s">
        <v>174</v>
      </c>
      <c r="E19" s="180">
        <f t="shared" si="0"/>
        <v>49906.5</v>
      </c>
      <c r="F19" s="180">
        <f t="shared" si="1"/>
        <v>2593.5</v>
      </c>
      <c r="G19" s="180">
        <v>0</v>
      </c>
      <c r="H19" s="186">
        <f t="shared" si="3"/>
        <v>52500</v>
      </c>
      <c r="I19" s="255">
        <f>SUM(H18:H19)/H$20</f>
        <v>0.10037276749324169</v>
      </c>
      <c r="J19" s="281">
        <f t="shared" si="2"/>
        <v>0</v>
      </c>
      <c r="K19" s="168"/>
      <c r="L19" s="168"/>
      <c r="M19" s="159"/>
      <c r="N19" s="159"/>
      <c r="O19" s="159"/>
      <c r="P19" s="159"/>
      <c r="Q19" s="176"/>
    </row>
    <row r="20" spans="2:17" ht="12" customHeight="1">
      <c r="B20" s="168"/>
      <c r="C20" s="188" t="s">
        <v>109</v>
      </c>
      <c r="D20" s="189" t="s">
        <v>176</v>
      </c>
      <c r="E20" s="190">
        <f>SUM(E8:E19)</f>
        <v>336589.35</v>
      </c>
      <c r="F20" s="190">
        <f>SUM(F8:F19)</f>
        <v>127910.65</v>
      </c>
      <c r="G20" s="190">
        <f>SUM(G8:G19)</f>
        <v>207993.16409000001</v>
      </c>
      <c r="H20" s="191">
        <f>SUM(H8:H19)</f>
        <v>672493.16408999998</v>
      </c>
      <c r="I20" s="256">
        <f>SUM(I8:I19)</f>
        <v>0.99999999999999989</v>
      </c>
      <c r="J20" s="168"/>
      <c r="K20" s="168"/>
      <c r="L20" s="168"/>
      <c r="M20" s="159"/>
      <c r="N20" s="159"/>
      <c r="O20" s="159"/>
      <c r="P20" s="159"/>
      <c r="Q20" s="176"/>
    </row>
    <row r="21" spans="2:17" ht="12" customHeight="1">
      <c r="B21" s="168"/>
      <c r="C21" s="317" t="s">
        <v>207</v>
      </c>
      <c r="D21" s="317"/>
      <c r="E21" s="317"/>
      <c r="F21" s="317"/>
      <c r="G21" s="317"/>
      <c r="H21" s="317"/>
      <c r="I21" s="168"/>
      <c r="J21" s="168"/>
      <c r="K21" s="168"/>
      <c r="L21" s="168"/>
      <c r="M21" s="159"/>
      <c r="N21" s="159"/>
      <c r="O21" s="159"/>
      <c r="P21" s="159"/>
      <c r="Q21" s="176"/>
    </row>
    <row r="22" spans="2:17" ht="12" customHeight="1">
      <c r="B22" s="168"/>
      <c r="C22" s="317"/>
      <c r="D22" s="317"/>
      <c r="E22" s="317"/>
      <c r="F22" s="317"/>
      <c r="G22" s="317"/>
      <c r="H22" s="317"/>
      <c r="I22" s="168"/>
      <c r="J22" s="168"/>
      <c r="K22" s="168"/>
      <c r="L22" s="168"/>
      <c r="M22" s="159"/>
      <c r="N22" s="159"/>
      <c r="O22" s="159"/>
      <c r="P22" s="159"/>
      <c r="Q22" s="176"/>
    </row>
    <row r="23" spans="2:17" ht="12" customHeight="1">
      <c r="B23" s="168"/>
      <c r="C23" s="170"/>
      <c r="D23" s="168"/>
      <c r="E23" s="168"/>
      <c r="F23" s="168"/>
      <c r="G23" s="168"/>
      <c r="H23" s="168"/>
      <c r="I23" s="168"/>
      <c r="J23" s="168"/>
      <c r="K23" s="168"/>
      <c r="L23" s="168"/>
      <c r="M23" s="159"/>
      <c r="N23" s="159"/>
      <c r="O23" s="159"/>
      <c r="P23" s="159"/>
      <c r="Q23" s="159"/>
    </row>
    <row r="24" spans="2:17" ht="30">
      <c r="B24" s="168"/>
      <c r="C24" s="194" t="s">
        <v>197</v>
      </c>
      <c r="D24" s="195" t="s">
        <v>158</v>
      </c>
      <c r="E24" s="196" t="s">
        <v>194</v>
      </c>
      <c r="F24" s="196" t="s">
        <v>195</v>
      </c>
      <c r="G24" s="196" t="s">
        <v>196</v>
      </c>
      <c r="H24" s="197" t="s">
        <v>208</v>
      </c>
      <c r="I24" s="168"/>
      <c r="J24" s="168"/>
      <c r="K24" s="168"/>
      <c r="L24" s="168"/>
      <c r="M24" s="159"/>
      <c r="N24" s="159"/>
      <c r="O24" s="159"/>
      <c r="P24" s="159"/>
      <c r="Q24" s="159"/>
    </row>
    <row r="25" spans="2:17" ht="12" customHeight="1">
      <c r="B25" s="168"/>
      <c r="C25" s="324" t="s">
        <v>125</v>
      </c>
      <c r="D25" s="172" t="s">
        <v>159</v>
      </c>
      <c r="E25" s="193">
        <v>23500</v>
      </c>
      <c r="F25" s="180">
        <f>E25-G25</f>
        <v>12443.25</v>
      </c>
      <c r="G25" s="180">
        <f t="shared" ref="G25:G36" si="4">E25*H25</f>
        <v>11056.75</v>
      </c>
      <c r="H25" s="198">
        <v>0.47049999999999997</v>
      </c>
      <c r="I25" s="168"/>
      <c r="J25" s="168"/>
      <c r="K25" s="168"/>
      <c r="L25" s="168"/>
      <c r="M25" s="159"/>
      <c r="N25" s="159"/>
      <c r="O25" s="159"/>
      <c r="P25" s="159"/>
      <c r="Q25" s="159"/>
    </row>
    <row r="26" spans="2:17" ht="12" customHeight="1">
      <c r="B26" s="168"/>
      <c r="C26" s="324"/>
      <c r="D26" s="172" t="s">
        <v>160</v>
      </c>
      <c r="E26" s="193">
        <v>10000</v>
      </c>
      <c r="F26" s="180">
        <f t="shared" ref="F26:F36" si="5">E26-G26</f>
        <v>5295</v>
      </c>
      <c r="G26" s="180">
        <f t="shared" si="4"/>
        <v>4705</v>
      </c>
      <c r="H26" s="198">
        <v>0.47049999999999997</v>
      </c>
      <c r="I26" s="168"/>
      <c r="J26" s="168"/>
      <c r="K26" s="168"/>
      <c r="L26" s="168"/>
      <c r="M26" s="159"/>
      <c r="N26" s="159"/>
      <c r="O26" s="159"/>
      <c r="P26" s="159"/>
      <c r="Q26" s="159"/>
    </row>
    <row r="27" spans="2:17" ht="12" customHeight="1">
      <c r="B27" s="168"/>
      <c r="C27" s="187" t="s">
        <v>9</v>
      </c>
      <c r="D27" s="172" t="s">
        <v>161</v>
      </c>
      <c r="E27" s="193">
        <v>148000</v>
      </c>
      <c r="F27" s="180">
        <f t="shared" si="5"/>
        <v>97680</v>
      </c>
      <c r="G27" s="180">
        <f t="shared" si="4"/>
        <v>50320</v>
      </c>
      <c r="H27" s="198">
        <v>0.34</v>
      </c>
      <c r="I27" s="168"/>
      <c r="J27" s="168"/>
      <c r="K27" s="168"/>
      <c r="L27" s="168"/>
      <c r="M27" s="159"/>
      <c r="N27" s="159"/>
      <c r="O27" s="159"/>
      <c r="P27" s="159"/>
      <c r="Q27" s="159"/>
    </row>
    <row r="28" spans="2:17" ht="12" customHeight="1">
      <c r="B28" s="168"/>
      <c r="C28" s="322" t="s">
        <v>162</v>
      </c>
      <c r="D28" s="172" t="s">
        <v>163</v>
      </c>
      <c r="E28" s="193">
        <v>25000</v>
      </c>
      <c r="F28" s="180">
        <f t="shared" si="5"/>
        <v>16892.5</v>
      </c>
      <c r="G28" s="180">
        <f t="shared" si="4"/>
        <v>8107.4999999999991</v>
      </c>
      <c r="H28" s="198">
        <v>0.32429999999999998</v>
      </c>
      <c r="I28" s="168"/>
      <c r="J28" s="168"/>
      <c r="K28" s="168"/>
      <c r="L28" s="168"/>
      <c r="M28" s="159"/>
      <c r="N28" s="159"/>
      <c r="O28" s="159"/>
      <c r="P28" s="159"/>
      <c r="Q28" s="159"/>
    </row>
    <row r="29" spans="2:17" ht="12" customHeight="1">
      <c r="B29" s="168"/>
      <c r="C29" s="322"/>
      <c r="D29" s="172" t="s">
        <v>164</v>
      </c>
      <c r="E29" s="193">
        <v>49000</v>
      </c>
      <c r="F29" s="180">
        <f t="shared" si="5"/>
        <v>33109.300000000003</v>
      </c>
      <c r="G29" s="180">
        <f t="shared" si="4"/>
        <v>15890.699999999999</v>
      </c>
      <c r="H29" s="198">
        <v>0.32429999999999998</v>
      </c>
      <c r="I29" s="168"/>
      <c r="J29" s="168"/>
      <c r="K29" s="168"/>
      <c r="L29" s="168"/>
      <c r="M29" s="159"/>
      <c r="N29" s="159"/>
      <c r="O29" s="159"/>
      <c r="P29" s="159"/>
      <c r="Q29" s="159"/>
    </row>
    <row r="30" spans="2:17" ht="12" customHeight="1">
      <c r="B30" s="168"/>
      <c r="C30" s="322"/>
      <c r="D30" s="172" t="s">
        <v>165</v>
      </c>
      <c r="E30" s="193">
        <v>14000</v>
      </c>
      <c r="F30" s="180">
        <f t="shared" si="5"/>
        <v>9459.7999999999993</v>
      </c>
      <c r="G30" s="180">
        <f t="shared" si="4"/>
        <v>4540.2</v>
      </c>
      <c r="H30" s="198">
        <v>0.32429999999999998</v>
      </c>
      <c r="I30" s="168"/>
      <c r="J30" s="168"/>
      <c r="K30" s="168"/>
      <c r="L30" s="168"/>
      <c r="M30" s="159"/>
      <c r="N30" s="159"/>
      <c r="O30" s="159"/>
      <c r="P30" s="159"/>
      <c r="Q30" s="159"/>
    </row>
    <row r="31" spans="2:17" ht="12" customHeight="1">
      <c r="B31" s="168"/>
      <c r="C31" s="187" t="s">
        <v>166</v>
      </c>
      <c r="D31" s="172" t="s">
        <v>167</v>
      </c>
      <c r="E31" s="193">
        <v>65000</v>
      </c>
      <c r="F31" s="180">
        <f t="shared" si="5"/>
        <v>39000</v>
      </c>
      <c r="G31" s="180">
        <f t="shared" si="4"/>
        <v>26000</v>
      </c>
      <c r="H31" s="198">
        <v>0.4</v>
      </c>
      <c r="I31" s="168"/>
      <c r="J31" s="168"/>
      <c r="K31" s="168"/>
      <c r="L31" s="168"/>
      <c r="M31" s="159"/>
      <c r="N31" s="159"/>
      <c r="O31" s="159"/>
      <c r="P31" s="159"/>
      <c r="Q31" s="159"/>
    </row>
    <row r="32" spans="2:17" ht="12" customHeight="1">
      <c r="B32" s="168"/>
      <c r="C32" s="322" t="s">
        <v>168</v>
      </c>
      <c r="D32" s="172" t="s">
        <v>169</v>
      </c>
      <c r="E32" s="193">
        <v>19000</v>
      </c>
      <c r="F32" s="180">
        <f t="shared" si="5"/>
        <v>17480</v>
      </c>
      <c r="G32" s="180">
        <f t="shared" si="4"/>
        <v>1520</v>
      </c>
      <c r="H32" s="198">
        <v>0.08</v>
      </c>
      <c r="I32" s="168"/>
      <c r="J32" s="168"/>
      <c r="K32" s="168"/>
      <c r="L32" s="168"/>
      <c r="M32" s="159"/>
      <c r="N32" s="159"/>
      <c r="O32" s="159"/>
      <c r="P32" s="159"/>
      <c r="Q32" s="159"/>
    </row>
    <row r="33" spans="2:21" ht="12" customHeight="1">
      <c r="B33" s="168"/>
      <c r="C33" s="322"/>
      <c r="D33" s="172" t="s">
        <v>170</v>
      </c>
      <c r="E33" s="193">
        <v>7500</v>
      </c>
      <c r="F33" s="180">
        <f t="shared" si="5"/>
        <v>6900</v>
      </c>
      <c r="G33" s="180">
        <f t="shared" si="4"/>
        <v>600</v>
      </c>
      <c r="H33" s="198">
        <v>0.08</v>
      </c>
      <c r="I33" s="168"/>
      <c r="J33" s="168"/>
      <c r="K33" s="168"/>
      <c r="L33" s="168"/>
      <c r="M33" s="159"/>
      <c r="N33" s="159"/>
      <c r="O33" s="159"/>
      <c r="P33" s="159"/>
      <c r="Q33" s="159"/>
    </row>
    <row r="34" spans="2:21" ht="12" customHeight="1">
      <c r="B34" s="168"/>
      <c r="C34" s="187" t="s">
        <v>13</v>
      </c>
      <c r="D34" s="172" t="s">
        <v>171</v>
      </c>
      <c r="E34" s="193">
        <v>36000</v>
      </c>
      <c r="F34" s="180">
        <f t="shared" si="5"/>
        <v>34164</v>
      </c>
      <c r="G34" s="180">
        <f t="shared" si="4"/>
        <v>1835.9999999999998</v>
      </c>
      <c r="H34" s="198">
        <v>5.0999999999999997E-2</v>
      </c>
      <c r="I34" s="168"/>
      <c r="J34" s="168"/>
      <c r="K34" s="168"/>
      <c r="L34" s="168"/>
      <c r="M34" s="159"/>
      <c r="N34" s="159"/>
      <c r="O34" s="159"/>
      <c r="P34" s="159"/>
      <c r="Q34" s="159"/>
    </row>
    <row r="35" spans="2:21" ht="12" customHeight="1">
      <c r="B35" s="168"/>
      <c r="C35" s="322" t="s">
        <v>172</v>
      </c>
      <c r="D35" s="172" t="s">
        <v>173</v>
      </c>
      <c r="E35" s="193">
        <v>15000</v>
      </c>
      <c r="F35" s="180">
        <f t="shared" si="5"/>
        <v>14259</v>
      </c>
      <c r="G35" s="180">
        <f t="shared" si="4"/>
        <v>741</v>
      </c>
      <c r="H35" s="198">
        <v>4.9399999999999999E-2</v>
      </c>
      <c r="I35" s="168"/>
      <c r="J35" s="168"/>
      <c r="K35" s="168"/>
      <c r="L35" s="168"/>
      <c r="M35" s="159"/>
      <c r="N35" s="159"/>
      <c r="O35" s="159"/>
      <c r="P35" s="159"/>
      <c r="Q35" s="159"/>
    </row>
    <row r="36" spans="2:21" ht="12" customHeight="1">
      <c r="B36" s="168"/>
      <c r="C36" s="322"/>
      <c r="D36" s="172" t="s">
        <v>174</v>
      </c>
      <c r="E36" s="193">
        <v>52500</v>
      </c>
      <c r="F36" s="180">
        <f t="shared" si="5"/>
        <v>49906.5</v>
      </c>
      <c r="G36" s="180">
        <f t="shared" si="4"/>
        <v>2593.5</v>
      </c>
      <c r="H36" s="198">
        <v>4.9399999999999999E-2</v>
      </c>
      <c r="I36" s="168"/>
      <c r="J36" s="168"/>
      <c r="K36" s="168"/>
      <c r="L36" s="168"/>
      <c r="M36" s="159"/>
      <c r="N36" s="159"/>
      <c r="O36" s="159"/>
      <c r="P36" s="159"/>
      <c r="Q36" s="159"/>
    </row>
    <row r="37" spans="2:21" ht="12" customHeight="1">
      <c r="B37" s="168"/>
      <c r="C37" s="188" t="s">
        <v>175</v>
      </c>
      <c r="D37" s="199" t="s">
        <v>176</v>
      </c>
      <c r="E37" s="200">
        <f>SUM(E25:E36)</f>
        <v>464500</v>
      </c>
      <c r="F37" s="190">
        <f>SUM(F25:F36)</f>
        <v>336589.35</v>
      </c>
      <c r="G37" s="190">
        <f>SUM(G25:G36)</f>
        <v>127910.65</v>
      </c>
      <c r="H37" s="201" t="s">
        <v>176</v>
      </c>
      <c r="I37" s="168"/>
      <c r="J37" s="168"/>
      <c r="K37" s="168"/>
      <c r="L37" s="168"/>
      <c r="M37" s="159"/>
      <c r="N37" s="159"/>
      <c r="O37" s="159"/>
      <c r="P37" s="159"/>
      <c r="Q37" s="159"/>
    </row>
    <row r="38" spans="2:21" ht="12" customHeight="1">
      <c r="B38" s="168"/>
      <c r="C38" s="317" t="s">
        <v>202</v>
      </c>
      <c r="D38" s="317"/>
      <c r="E38" s="317"/>
      <c r="F38" s="317"/>
      <c r="G38" s="317"/>
      <c r="H38" s="317"/>
      <c r="I38" s="179"/>
      <c r="J38" s="179"/>
      <c r="K38" s="168"/>
      <c r="L38" s="168"/>
      <c r="M38" s="159"/>
      <c r="N38" s="159"/>
      <c r="O38" s="159"/>
      <c r="P38" s="159"/>
      <c r="Q38" s="159"/>
    </row>
    <row r="39" spans="2:21" ht="12" customHeight="1">
      <c r="B39" s="168"/>
      <c r="C39" s="317"/>
      <c r="D39" s="317"/>
      <c r="E39" s="317"/>
      <c r="F39" s="317"/>
      <c r="G39" s="317"/>
      <c r="H39" s="317"/>
      <c r="I39" s="179"/>
      <c r="J39" s="179"/>
      <c r="K39" s="168"/>
      <c r="L39" s="168"/>
      <c r="M39" s="159"/>
      <c r="N39" s="159"/>
      <c r="O39" s="159"/>
      <c r="P39" s="159"/>
      <c r="Q39" s="159"/>
    </row>
    <row r="40" spans="2:21" ht="12" customHeight="1">
      <c r="B40" s="168"/>
      <c r="C40" s="170"/>
      <c r="D40" s="170"/>
      <c r="E40" s="170"/>
      <c r="F40" s="170"/>
      <c r="G40" s="170"/>
      <c r="H40" s="170"/>
      <c r="I40" s="170"/>
      <c r="J40" s="179"/>
      <c r="K40" s="170"/>
      <c r="L40" s="170"/>
      <c r="M40" s="161"/>
      <c r="N40" s="161"/>
      <c r="O40" s="161"/>
      <c r="P40" s="161"/>
      <c r="Q40" s="161"/>
      <c r="R40" s="161"/>
      <c r="S40" s="161"/>
      <c r="T40" s="161"/>
      <c r="U40" s="161"/>
    </row>
    <row r="41" spans="2:21" ht="12" customHeight="1">
      <c r="B41" s="168"/>
      <c r="C41" s="313" t="s">
        <v>220</v>
      </c>
      <c r="D41" s="315" t="s">
        <v>209</v>
      </c>
      <c r="E41" s="315"/>
      <c r="F41" s="315"/>
      <c r="G41" s="315"/>
      <c r="H41" s="315" t="s">
        <v>238</v>
      </c>
      <c r="I41" s="311" t="s">
        <v>181</v>
      </c>
      <c r="J41" s="179"/>
      <c r="K41" s="170"/>
      <c r="L41" s="170"/>
      <c r="M41" s="161"/>
      <c r="N41" s="161"/>
      <c r="O41" s="161"/>
      <c r="P41" s="161"/>
      <c r="Q41" s="161"/>
      <c r="R41" s="161"/>
      <c r="S41" s="161"/>
      <c r="T41" s="161"/>
      <c r="U41" s="161"/>
    </row>
    <row r="42" spans="2:21" ht="30" customHeight="1">
      <c r="B42" s="168"/>
      <c r="C42" s="314"/>
      <c r="D42" s="192" t="s">
        <v>211</v>
      </c>
      <c r="E42" s="192" t="s">
        <v>211</v>
      </c>
      <c r="F42" s="192" t="s">
        <v>211</v>
      </c>
      <c r="G42" s="192" t="s">
        <v>210</v>
      </c>
      <c r="H42" s="316"/>
      <c r="I42" s="312"/>
      <c r="J42" s="179"/>
      <c r="K42" s="168"/>
      <c r="L42" s="168"/>
      <c r="M42" s="159"/>
      <c r="N42" s="159"/>
      <c r="O42" s="159"/>
      <c r="P42" s="159"/>
      <c r="Q42" s="159"/>
    </row>
    <row r="43" spans="2:21" ht="12" customHeight="1">
      <c r="B43" s="168"/>
      <c r="C43" s="208" t="s">
        <v>182</v>
      </c>
      <c r="D43" s="202" t="s">
        <v>183</v>
      </c>
      <c r="E43" s="202" t="s">
        <v>184</v>
      </c>
      <c r="F43" s="202" t="s">
        <v>185</v>
      </c>
      <c r="G43" s="202" t="s">
        <v>249</v>
      </c>
      <c r="H43" s="202" t="s">
        <v>187</v>
      </c>
      <c r="I43" s="207" t="s">
        <v>187</v>
      </c>
      <c r="J43" s="179"/>
      <c r="K43" s="168"/>
      <c r="L43" s="168"/>
      <c r="M43" s="159"/>
      <c r="N43" s="159"/>
      <c r="O43" s="159"/>
      <c r="P43" s="159"/>
      <c r="Q43" s="159"/>
    </row>
    <row r="44" spans="2:21" ht="12" customHeight="1">
      <c r="B44" s="168"/>
      <c r="C44" s="208" t="s">
        <v>219</v>
      </c>
      <c r="D44" s="203">
        <v>165627.93599999999</v>
      </c>
      <c r="E44" s="203">
        <v>63369.625999999997</v>
      </c>
      <c r="F44" s="203">
        <v>20792.531999999999</v>
      </c>
      <c r="G44" s="203">
        <v>1396.673</v>
      </c>
      <c r="H44" s="203">
        <v>66000</v>
      </c>
      <c r="I44" s="209">
        <v>26306</v>
      </c>
      <c r="J44" s="179"/>
      <c r="K44" s="168"/>
      <c r="L44" s="168"/>
      <c r="M44" s="159"/>
      <c r="N44" s="159"/>
      <c r="O44" s="159"/>
      <c r="P44" s="159"/>
      <c r="Q44" s="159"/>
    </row>
    <row r="45" spans="2:21" ht="12" customHeight="1">
      <c r="B45" s="168"/>
      <c r="C45" s="208" t="s">
        <v>201</v>
      </c>
      <c r="D45" s="204">
        <f>SUM(D46:D49)</f>
        <v>0.06</v>
      </c>
      <c r="E45" s="204">
        <f>SUM(E46:E49)</f>
        <v>0.08</v>
      </c>
      <c r="F45" s="204">
        <f>SUM(F46:F49)</f>
        <v>0.65</v>
      </c>
      <c r="G45" s="204">
        <f>SUM(G46:G49)</f>
        <v>0.85</v>
      </c>
      <c r="H45" s="204">
        <f>SUM(H46:H49)</f>
        <v>1.5</v>
      </c>
      <c r="I45" s="210">
        <v>7</v>
      </c>
      <c r="J45" s="179"/>
      <c r="K45" s="168"/>
      <c r="L45" s="168"/>
      <c r="M45" s="159"/>
      <c r="N45" s="159"/>
      <c r="O45" s="159"/>
      <c r="P45" s="159"/>
      <c r="Q45" s="159"/>
    </row>
    <row r="46" spans="2:21" ht="12" customHeight="1">
      <c r="B46" s="171" t="s">
        <v>188</v>
      </c>
      <c r="C46" s="187" t="s">
        <v>205</v>
      </c>
      <c r="D46" s="205">
        <v>0</v>
      </c>
      <c r="E46" s="205">
        <v>0</v>
      </c>
      <c r="F46" s="205">
        <v>0</v>
      </c>
      <c r="G46" s="205">
        <v>0</v>
      </c>
      <c r="H46" s="205">
        <v>1</v>
      </c>
      <c r="I46" s="211">
        <v>0</v>
      </c>
      <c r="J46" s="179"/>
      <c r="K46" s="168"/>
      <c r="L46" s="168"/>
      <c r="M46" s="159"/>
      <c r="N46" s="159"/>
      <c r="O46" s="159"/>
      <c r="P46" s="159"/>
      <c r="Q46" s="159"/>
    </row>
    <row r="47" spans="2:21" ht="12" customHeight="1">
      <c r="B47" s="171" t="s">
        <v>189</v>
      </c>
      <c r="C47" s="187" t="s">
        <v>190</v>
      </c>
      <c r="D47" s="205">
        <v>0</v>
      </c>
      <c r="E47" s="205">
        <v>0</v>
      </c>
      <c r="F47" s="205">
        <v>0</v>
      </c>
      <c r="G47" s="205">
        <v>0</v>
      </c>
      <c r="H47" s="205">
        <v>0</v>
      </c>
      <c r="I47" s="211">
        <v>1</v>
      </c>
      <c r="J47" s="179"/>
      <c r="K47" s="168"/>
      <c r="L47" s="168"/>
      <c r="M47" s="159"/>
      <c r="N47" s="159"/>
      <c r="O47" s="159"/>
      <c r="P47" s="159"/>
      <c r="Q47" s="159"/>
    </row>
    <row r="48" spans="2:21" ht="12" customHeight="1">
      <c r="B48" s="171" t="s">
        <v>191</v>
      </c>
      <c r="C48" s="187" t="s">
        <v>203</v>
      </c>
      <c r="D48" s="205">
        <v>0.06</v>
      </c>
      <c r="E48" s="205">
        <v>0.08</v>
      </c>
      <c r="F48" s="205">
        <v>0.65</v>
      </c>
      <c r="G48" s="205">
        <v>0.85</v>
      </c>
      <c r="H48" s="205">
        <v>0.25</v>
      </c>
      <c r="I48" s="211">
        <v>0</v>
      </c>
      <c r="J48" s="179"/>
      <c r="K48" s="168"/>
      <c r="L48" s="168"/>
      <c r="M48" s="159"/>
      <c r="N48" s="159"/>
      <c r="O48" s="159"/>
      <c r="P48" s="159"/>
      <c r="Q48" s="159"/>
    </row>
    <row r="49" spans="2:17" ht="12" customHeight="1">
      <c r="B49" s="171" t="s">
        <v>192</v>
      </c>
      <c r="C49" s="187" t="s">
        <v>204</v>
      </c>
      <c r="D49" s="205">
        <v>0</v>
      </c>
      <c r="E49" s="205">
        <v>0</v>
      </c>
      <c r="F49" s="205">
        <v>0</v>
      </c>
      <c r="G49" s="205">
        <v>0</v>
      </c>
      <c r="H49" s="205">
        <v>0.25</v>
      </c>
      <c r="I49" s="211">
        <v>0</v>
      </c>
      <c r="J49" s="179"/>
      <c r="K49" s="168"/>
      <c r="L49" s="168"/>
      <c r="M49" s="159"/>
      <c r="N49" s="159"/>
      <c r="O49" s="159"/>
      <c r="P49" s="159"/>
      <c r="Q49" s="159"/>
    </row>
    <row r="50" spans="2:17" ht="12" customHeight="1">
      <c r="B50" s="171" t="s">
        <v>193</v>
      </c>
      <c r="C50" s="208" t="s">
        <v>212</v>
      </c>
      <c r="D50" s="180">
        <f t="shared" ref="D50:I50" si="6">SUM(D51:D54)</f>
        <v>9937.6761599999991</v>
      </c>
      <c r="E50" s="180">
        <f t="shared" si="6"/>
        <v>5069.5700799999995</v>
      </c>
      <c r="F50" s="180">
        <f t="shared" si="6"/>
        <v>13515.1458</v>
      </c>
      <c r="G50" s="180">
        <f t="shared" si="6"/>
        <v>1187.1720499999999</v>
      </c>
      <c r="H50" s="180">
        <f>SUM(H51:H54)</f>
        <v>99000</v>
      </c>
      <c r="I50" s="186">
        <f t="shared" si="6"/>
        <v>184142</v>
      </c>
      <c r="J50" s="216">
        <f t="shared" ref="J50:J52" si="7">SUM(D50:I50)</f>
        <v>312851.56409</v>
      </c>
      <c r="K50" s="168"/>
      <c r="L50" s="168"/>
      <c r="M50" s="159"/>
      <c r="N50" s="159"/>
      <c r="O50" s="159"/>
      <c r="P50" s="159"/>
      <c r="Q50" s="159"/>
    </row>
    <row r="51" spans="2:17" ht="12" customHeight="1">
      <c r="B51" s="171"/>
      <c r="C51" s="187" t="s">
        <v>213</v>
      </c>
      <c r="D51" s="180">
        <f>D$44*D46</f>
        <v>0</v>
      </c>
      <c r="E51" s="180">
        <f t="shared" ref="E51:G51" si="8">E$44*E46</f>
        <v>0</v>
      </c>
      <c r="F51" s="180">
        <f t="shared" si="8"/>
        <v>0</v>
      </c>
      <c r="G51" s="180">
        <f t="shared" si="8"/>
        <v>0</v>
      </c>
      <c r="H51" s="180">
        <f>H$44*H46</f>
        <v>66000</v>
      </c>
      <c r="I51" s="186">
        <f>I$44*I46*14</f>
        <v>0</v>
      </c>
      <c r="J51" s="216">
        <f t="shared" si="7"/>
        <v>66000</v>
      </c>
      <c r="K51" s="283"/>
      <c r="L51" s="168"/>
      <c r="M51" s="159"/>
      <c r="N51" s="159"/>
      <c r="O51" s="159"/>
      <c r="P51" s="159"/>
      <c r="Q51" s="159"/>
    </row>
    <row r="52" spans="2:17" ht="12" customHeight="1">
      <c r="B52" s="171"/>
      <c r="C52" s="187" t="s">
        <v>214</v>
      </c>
      <c r="D52" s="180">
        <f>D$44*D47</f>
        <v>0</v>
      </c>
      <c r="E52" s="180">
        <f t="shared" ref="E52:H53" si="9">E$44*E47</f>
        <v>0</v>
      </c>
      <c r="F52" s="180">
        <f t="shared" si="9"/>
        <v>0</v>
      </c>
      <c r="G52" s="180">
        <f t="shared" si="9"/>
        <v>0</v>
      </c>
      <c r="H52" s="180">
        <f t="shared" si="9"/>
        <v>0</v>
      </c>
      <c r="I52" s="186">
        <f>I$44*I47*I45</f>
        <v>184142</v>
      </c>
      <c r="J52" s="216">
        <f t="shared" si="7"/>
        <v>184142</v>
      </c>
      <c r="K52" s="168"/>
      <c r="L52" s="168"/>
      <c r="M52" s="159"/>
      <c r="N52" s="159"/>
      <c r="O52" s="159"/>
      <c r="P52" s="159"/>
      <c r="Q52" s="159"/>
    </row>
    <row r="53" spans="2:17" ht="12" customHeight="1">
      <c r="B53" s="171"/>
      <c r="C53" s="187" t="s">
        <v>215</v>
      </c>
      <c r="D53" s="180">
        <f>D$44*D48</f>
        <v>9937.6761599999991</v>
      </c>
      <c r="E53" s="180">
        <f t="shared" si="9"/>
        <v>5069.5700799999995</v>
      </c>
      <c r="F53" s="180">
        <f t="shared" si="9"/>
        <v>13515.1458</v>
      </c>
      <c r="G53" s="180">
        <f t="shared" si="9"/>
        <v>1187.1720499999999</v>
      </c>
      <c r="H53" s="180">
        <f t="shared" si="9"/>
        <v>16500</v>
      </c>
      <c r="I53" s="186">
        <f>I$44*I48*14</f>
        <v>0</v>
      </c>
      <c r="J53" s="216">
        <f>SUM(D53:I53)</f>
        <v>46209.56409</v>
      </c>
      <c r="K53" s="168"/>
      <c r="L53" s="168"/>
      <c r="M53" s="159"/>
      <c r="N53" s="159"/>
      <c r="O53" s="159"/>
      <c r="P53" s="159"/>
      <c r="Q53" s="159"/>
    </row>
    <row r="54" spans="2:17" ht="12" customHeight="1">
      <c r="B54" s="171"/>
      <c r="C54" s="188" t="s">
        <v>216</v>
      </c>
      <c r="D54" s="190">
        <f>D$44*D49</f>
        <v>0</v>
      </c>
      <c r="E54" s="190">
        <f>E$44*E49</f>
        <v>0</v>
      </c>
      <c r="F54" s="190">
        <f>F$44*F49</f>
        <v>0</v>
      </c>
      <c r="G54" s="190">
        <f>G$44*G49</f>
        <v>0</v>
      </c>
      <c r="H54" s="190">
        <f>H$44*H49</f>
        <v>16500</v>
      </c>
      <c r="I54" s="191">
        <f>I$44*I49*14</f>
        <v>0</v>
      </c>
      <c r="J54" s="216">
        <f t="shared" ref="J54:J55" si="10">SUM(D54:I54)</f>
        <v>16500</v>
      </c>
      <c r="K54" s="282"/>
      <c r="L54" s="168"/>
      <c r="M54" s="159"/>
      <c r="N54" s="159"/>
      <c r="O54" s="159"/>
      <c r="P54" s="159"/>
      <c r="Q54" s="159"/>
    </row>
    <row r="55" spans="2:17" ht="12" customHeight="1">
      <c r="B55" s="171"/>
      <c r="C55" s="171"/>
      <c r="D55" s="171"/>
      <c r="E55" s="171"/>
      <c r="F55" s="171"/>
      <c r="G55" s="282">
        <f>SUM(D53:G54)</f>
        <v>29709.56409</v>
      </c>
      <c r="H55" s="171"/>
      <c r="I55" s="171"/>
      <c r="J55" s="216">
        <f t="shared" si="10"/>
        <v>29709.56409</v>
      </c>
      <c r="K55" s="171"/>
      <c r="L55" s="171"/>
      <c r="M55" s="159"/>
      <c r="N55" s="159"/>
      <c r="O55" s="159"/>
      <c r="P55" s="159"/>
      <c r="Q55" s="159"/>
    </row>
    <row r="56" spans="2:17" ht="13.95" customHeight="1">
      <c r="B56" s="171"/>
      <c r="C56" s="173" t="s">
        <v>244</v>
      </c>
      <c r="D56" s="206" t="s">
        <v>193</v>
      </c>
      <c r="E56" s="168"/>
      <c r="F56" s="168"/>
      <c r="G56" s="168"/>
      <c r="H56" s="168"/>
      <c r="I56" s="168"/>
      <c r="J56" s="168"/>
      <c r="K56" s="168"/>
      <c r="L56" s="168"/>
      <c r="M56" s="159"/>
      <c r="N56" s="159"/>
      <c r="O56" s="159"/>
      <c r="P56" s="159"/>
      <c r="Q56" s="159"/>
    </row>
    <row r="57" spans="2:17" ht="13.95" customHeight="1">
      <c r="B57" s="168"/>
      <c r="C57" s="168"/>
      <c r="D57" s="168"/>
      <c r="E57" s="168"/>
      <c r="F57" s="168"/>
      <c r="G57" s="168"/>
      <c r="H57" s="168"/>
      <c r="I57" s="168"/>
      <c r="J57" s="168"/>
      <c r="K57" s="168"/>
      <c r="L57" s="168"/>
      <c r="M57" s="159"/>
      <c r="N57" s="159"/>
      <c r="O57" s="159"/>
      <c r="P57" s="159"/>
      <c r="Q57" s="159"/>
    </row>
    <row r="58" spans="2:17" ht="13.95" customHeight="1">
      <c r="B58" s="168"/>
      <c r="C58" s="313" t="s">
        <v>243</v>
      </c>
      <c r="D58" s="315" t="s">
        <v>209</v>
      </c>
      <c r="E58" s="315"/>
      <c r="F58" s="315"/>
      <c r="G58" s="315"/>
      <c r="H58" s="315" t="s">
        <v>238</v>
      </c>
      <c r="I58" s="315" t="s">
        <v>181</v>
      </c>
      <c r="J58" s="315" t="s">
        <v>218</v>
      </c>
      <c r="K58" s="311" t="s">
        <v>217</v>
      </c>
      <c r="L58" s="168"/>
      <c r="M58" s="159"/>
      <c r="N58" s="159"/>
      <c r="O58" s="159"/>
      <c r="P58" s="159"/>
      <c r="Q58" s="159"/>
    </row>
    <row r="59" spans="2:17" ht="36" customHeight="1">
      <c r="B59" s="168"/>
      <c r="C59" s="314"/>
      <c r="D59" s="192" t="s">
        <v>211</v>
      </c>
      <c r="E59" s="192" t="s">
        <v>211</v>
      </c>
      <c r="F59" s="192" t="s">
        <v>211</v>
      </c>
      <c r="G59" s="192" t="s">
        <v>210</v>
      </c>
      <c r="H59" s="316"/>
      <c r="I59" s="316"/>
      <c r="J59" s="316"/>
      <c r="K59" s="312"/>
      <c r="L59" s="168"/>
      <c r="M59" s="159"/>
      <c r="N59" s="159"/>
      <c r="O59" s="159"/>
      <c r="P59" s="159"/>
      <c r="Q59" s="159"/>
    </row>
    <row r="60" spans="2:17" ht="12" customHeight="1">
      <c r="B60" s="168"/>
      <c r="C60" s="212" t="s">
        <v>159</v>
      </c>
      <c r="D60" s="205">
        <f t="array" ref="D60:I71">IF(D56=C126,D127:I138,IF(D56=C140,D141:I152,IF(D56=C154,D155:I166,IF(D56=C168, D169:I180, D113:I124))))</f>
        <v>0</v>
      </c>
      <c r="E60" s="205">
        <v>0</v>
      </c>
      <c r="F60" s="205">
        <v>0</v>
      </c>
      <c r="G60" s="205">
        <v>0</v>
      </c>
      <c r="H60" s="205">
        <v>0</v>
      </c>
      <c r="I60" s="205">
        <v>0</v>
      </c>
      <c r="J60" s="204">
        <f t="shared" ref="J60:J71" si="11">IF($D$56=$B$50, SUMPRODUCT($D$50:$I$50,D60:I60),
  IF($D$56=$B$46,SUMPRODUCT($D$51:$I$51,D113:I113),
  IF($D$56=$B$47,SUMPRODUCT($D$52:$I$52,D113:I113),
  IF($D$56=$B$48,SUMPRODUCT($D$53:$I$53,D113:I113),
  SUMPRODUCT($D$54:$I$54,D113:I113)))))</f>
        <v>0</v>
      </c>
      <c r="K60" s="210">
        <f t="shared" ref="K60:K71" si="12">SUMPRODUCT($D$50:$I$50,D113:I113)</f>
        <v>0</v>
      </c>
      <c r="L60" s="168"/>
      <c r="M60" s="159"/>
      <c r="N60" s="159"/>
      <c r="O60" s="159"/>
      <c r="P60" s="159"/>
      <c r="Q60" s="159"/>
    </row>
    <row r="61" spans="2:17" ht="12" customHeight="1">
      <c r="B61" s="168"/>
      <c r="C61" s="212" t="s">
        <v>160</v>
      </c>
      <c r="D61" s="205">
        <v>0</v>
      </c>
      <c r="E61" s="205">
        <v>0</v>
      </c>
      <c r="F61" s="205">
        <v>0</v>
      </c>
      <c r="G61" s="205">
        <v>0</v>
      </c>
      <c r="H61" s="205">
        <v>7.4999999999999997E-3</v>
      </c>
      <c r="I61" s="205">
        <v>0</v>
      </c>
      <c r="J61" s="204">
        <f t="shared" si="11"/>
        <v>742.5</v>
      </c>
      <c r="K61" s="210">
        <f t="shared" si="12"/>
        <v>742.5</v>
      </c>
      <c r="L61" s="168"/>
      <c r="M61" s="159"/>
      <c r="N61" s="159"/>
      <c r="O61" s="159"/>
      <c r="P61" s="159"/>
      <c r="Q61" s="159"/>
    </row>
    <row r="62" spans="2:17" ht="12" customHeight="1">
      <c r="B62" s="168"/>
      <c r="C62" s="212" t="s">
        <v>161</v>
      </c>
      <c r="D62" s="205">
        <v>0</v>
      </c>
      <c r="E62" s="205">
        <v>0</v>
      </c>
      <c r="F62" s="205">
        <v>0</v>
      </c>
      <c r="G62" s="205">
        <v>0</v>
      </c>
      <c r="H62" s="205">
        <v>0</v>
      </c>
      <c r="I62" s="205">
        <v>1</v>
      </c>
      <c r="J62" s="204">
        <f t="shared" si="11"/>
        <v>184142</v>
      </c>
      <c r="K62" s="210">
        <f t="shared" si="12"/>
        <v>184142</v>
      </c>
      <c r="L62" s="168"/>
      <c r="M62" s="159"/>
      <c r="N62" s="159"/>
      <c r="O62" s="159"/>
      <c r="P62" s="159"/>
      <c r="Q62" s="159"/>
    </row>
    <row r="63" spans="2:17" ht="12" customHeight="1">
      <c r="B63" s="168"/>
      <c r="C63" s="212" t="s">
        <v>163</v>
      </c>
      <c r="D63" s="205">
        <v>0</v>
      </c>
      <c r="E63" s="205">
        <v>0</v>
      </c>
      <c r="F63" s="205">
        <v>0.25</v>
      </c>
      <c r="G63" s="205">
        <v>0.25</v>
      </c>
      <c r="H63" s="205">
        <v>0.10368749999999999</v>
      </c>
      <c r="I63" s="205">
        <v>0</v>
      </c>
      <c r="J63" s="204">
        <f t="shared" si="11"/>
        <v>13940.641962499998</v>
      </c>
      <c r="K63" s="210">
        <f t="shared" si="12"/>
        <v>13940.641962499998</v>
      </c>
      <c r="L63" s="168"/>
      <c r="M63" s="159"/>
      <c r="N63" s="159"/>
      <c r="O63" s="159"/>
      <c r="P63" s="159"/>
      <c r="Q63" s="159"/>
    </row>
    <row r="64" spans="2:17" ht="12" customHeight="1">
      <c r="B64" s="168"/>
      <c r="C64" s="212" t="s">
        <v>164</v>
      </c>
      <c r="D64" s="205">
        <v>0.25</v>
      </c>
      <c r="E64" s="205">
        <v>0</v>
      </c>
      <c r="F64" s="205">
        <v>0</v>
      </c>
      <c r="G64" s="205">
        <v>0.25</v>
      </c>
      <c r="H64" s="205">
        <v>1.4812500000000003E-2</v>
      </c>
      <c r="I64" s="205">
        <v>0</v>
      </c>
      <c r="J64" s="204">
        <f t="shared" si="11"/>
        <v>4247.6495525</v>
      </c>
      <c r="K64" s="210">
        <f t="shared" si="12"/>
        <v>4247.6495525</v>
      </c>
      <c r="L64" s="168"/>
      <c r="M64" s="159"/>
      <c r="N64" s="159"/>
      <c r="O64" s="159"/>
      <c r="P64" s="159"/>
      <c r="Q64" s="159"/>
    </row>
    <row r="65" spans="1:25" ht="12" customHeight="1">
      <c r="B65" s="168"/>
      <c r="C65" s="212" t="s">
        <v>165</v>
      </c>
      <c r="D65" s="205">
        <v>0.75</v>
      </c>
      <c r="E65" s="205">
        <v>1</v>
      </c>
      <c r="F65" s="205">
        <v>0.75</v>
      </c>
      <c r="G65" s="205">
        <v>0.5</v>
      </c>
      <c r="H65" s="205">
        <v>0.17774999999999999</v>
      </c>
      <c r="I65" s="205">
        <v>0</v>
      </c>
      <c r="J65" s="204">
        <f t="shared" si="11"/>
        <v>40850.022574999995</v>
      </c>
      <c r="K65" s="210">
        <f t="shared" si="12"/>
        <v>40850.022574999995</v>
      </c>
      <c r="L65" s="168"/>
      <c r="M65" s="159"/>
      <c r="N65" s="159"/>
      <c r="O65" s="159"/>
      <c r="P65" s="159"/>
      <c r="Q65" s="159"/>
    </row>
    <row r="66" spans="1:25" s="163" customFormat="1" ht="12" customHeight="1">
      <c r="A66" s="160"/>
      <c r="B66" s="168"/>
      <c r="C66" s="212" t="s">
        <v>167</v>
      </c>
      <c r="D66" s="205">
        <v>0</v>
      </c>
      <c r="E66" s="205">
        <v>0</v>
      </c>
      <c r="F66" s="205">
        <v>0</v>
      </c>
      <c r="G66" s="205">
        <v>0</v>
      </c>
      <c r="H66" s="205">
        <v>0.69625000000000004</v>
      </c>
      <c r="I66" s="205">
        <v>0</v>
      </c>
      <c r="J66" s="204">
        <f t="shared" si="11"/>
        <v>68928.75</v>
      </c>
      <c r="K66" s="210">
        <f t="shared" si="12"/>
        <v>68928.75</v>
      </c>
      <c r="L66" s="175"/>
      <c r="M66" s="162"/>
      <c r="N66" s="162"/>
      <c r="O66" s="162"/>
      <c r="P66" s="162"/>
      <c r="Q66" s="162"/>
      <c r="R66" s="162"/>
      <c r="S66" s="162"/>
      <c r="T66" s="162"/>
      <c r="U66" s="162"/>
      <c r="V66" s="162"/>
      <c r="W66" s="162"/>
      <c r="X66" s="162"/>
      <c r="Y66" s="162"/>
    </row>
    <row r="67" spans="1:25" ht="12" customHeight="1">
      <c r="B67" s="168"/>
      <c r="C67" s="212" t="s">
        <v>169</v>
      </c>
      <c r="D67" s="205">
        <v>0</v>
      </c>
      <c r="E67" s="205">
        <v>0</v>
      </c>
      <c r="F67" s="205">
        <v>0</v>
      </c>
      <c r="G67" s="205">
        <v>0</v>
      </c>
      <c r="H67" s="205">
        <v>0</v>
      </c>
      <c r="I67" s="205">
        <v>0</v>
      </c>
      <c r="J67" s="204">
        <f t="shared" si="11"/>
        <v>0</v>
      </c>
      <c r="K67" s="210">
        <f t="shared" si="12"/>
        <v>0</v>
      </c>
      <c r="L67" s="168"/>
      <c r="M67" s="159"/>
      <c r="N67" s="159"/>
      <c r="O67" s="159"/>
      <c r="P67" s="159"/>
      <c r="Q67" s="159"/>
    </row>
    <row r="68" spans="1:25" ht="12" customHeight="1">
      <c r="B68" s="168"/>
      <c r="C68" s="212" t="s">
        <v>170</v>
      </c>
      <c r="D68" s="205">
        <v>0</v>
      </c>
      <c r="E68" s="205">
        <v>0</v>
      </c>
      <c r="F68" s="205">
        <v>0</v>
      </c>
      <c r="G68" s="205">
        <v>0</v>
      </c>
      <c r="H68" s="205">
        <v>0</v>
      </c>
      <c r="I68" s="205">
        <v>0</v>
      </c>
      <c r="J68" s="204">
        <f t="shared" si="11"/>
        <v>0</v>
      </c>
      <c r="K68" s="210">
        <f t="shared" si="12"/>
        <v>0</v>
      </c>
      <c r="L68" s="168"/>
      <c r="M68" s="159"/>
      <c r="N68" s="159"/>
      <c r="O68" s="159"/>
      <c r="P68" s="159"/>
      <c r="Q68" s="159"/>
    </row>
    <row r="69" spans="1:25" ht="12" customHeight="1">
      <c r="B69" s="168"/>
      <c r="C69" s="212" t="s">
        <v>171</v>
      </c>
      <c r="D69" s="205">
        <v>0</v>
      </c>
      <c r="E69" s="205">
        <v>0</v>
      </c>
      <c r="F69" s="205">
        <v>0</v>
      </c>
      <c r="G69" s="205">
        <v>0</v>
      </c>
      <c r="H69" s="205">
        <v>0</v>
      </c>
      <c r="I69" s="205">
        <v>0</v>
      </c>
      <c r="J69" s="204">
        <f t="shared" si="11"/>
        <v>0</v>
      </c>
      <c r="K69" s="210">
        <f t="shared" si="12"/>
        <v>0</v>
      </c>
      <c r="L69" s="168"/>
      <c r="M69" s="159"/>
      <c r="N69" s="159"/>
      <c r="O69" s="159"/>
      <c r="P69" s="159"/>
      <c r="Q69" s="159"/>
    </row>
    <row r="70" spans="1:25" ht="12" customHeight="1">
      <c r="B70" s="168"/>
      <c r="C70" s="212" t="s">
        <v>173</v>
      </c>
      <c r="D70" s="205">
        <v>0</v>
      </c>
      <c r="E70" s="205">
        <v>0</v>
      </c>
      <c r="F70" s="205">
        <v>0</v>
      </c>
      <c r="G70" s="205">
        <v>0</v>
      </c>
      <c r="H70" s="205">
        <v>0</v>
      </c>
      <c r="I70" s="205">
        <v>0</v>
      </c>
      <c r="J70" s="204">
        <f t="shared" si="11"/>
        <v>0</v>
      </c>
      <c r="K70" s="210">
        <f t="shared" si="12"/>
        <v>0</v>
      </c>
      <c r="L70" s="168"/>
      <c r="M70" s="159"/>
      <c r="N70" s="159"/>
      <c r="O70" s="159"/>
      <c r="P70" s="159"/>
      <c r="Q70" s="159"/>
    </row>
    <row r="71" spans="1:25" ht="12" customHeight="1">
      <c r="B71" s="168"/>
      <c r="C71" s="212" t="s">
        <v>174</v>
      </c>
      <c r="D71" s="205">
        <v>0</v>
      </c>
      <c r="E71" s="205">
        <v>0</v>
      </c>
      <c r="F71" s="205">
        <v>0</v>
      </c>
      <c r="G71" s="205">
        <v>0</v>
      </c>
      <c r="H71" s="205">
        <v>0</v>
      </c>
      <c r="I71" s="205">
        <v>0</v>
      </c>
      <c r="J71" s="204">
        <f t="shared" si="11"/>
        <v>0</v>
      </c>
      <c r="K71" s="210">
        <f t="shared" si="12"/>
        <v>0</v>
      </c>
      <c r="L71" s="168"/>
      <c r="M71" s="159"/>
      <c r="N71" s="159"/>
      <c r="O71" s="159"/>
      <c r="P71" s="159"/>
      <c r="Q71" s="159"/>
    </row>
    <row r="72" spans="1:25" ht="12" customHeight="1">
      <c r="B72" s="168"/>
      <c r="C72" s="174" t="s">
        <v>109</v>
      </c>
      <c r="D72" s="213"/>
      <c r="E72" s="213"/>
      <c r="F72" s="213"/>
      <c r="G72" s="213"/>
      <c r="H72" s="213"/>
      <c r="I72" s="213"/>
      <c r="J72" s="215">
        <f>SUM(J60:J71)</f>
        <v>312851.56409</v>
      </c>
      <c r="K72" s="214">
        <f>SUM(K60:K71)</f>
        <v>312851.56409</v>
      </c>
      <c r="L72" s="168"/>
      <c r="M72" s="159"/>
      <c r="N72" s="159"/>
      <c r="O72" s="159"/>
      <c r="P72" s="159"/>
      <c r="Q72" s="159"/>
    </row>
    <row r="73" spans="1:25" ht="12" customHeight="1">
      <c r="B73" s="168"/>
      <c r="C73" s="168"/>
      <c r="D73" s="168"/>
      <c r="E73" s="168"/>
      <c r="F73" s="168"/>
      <c r="G73" s="168"/>
      <c r="H73" s="168"/>
      <c r="I73" s="168"/>
      <c r="J73" s="168"/>
      <c r="K73" s="168"/>
      <c r="L73" s="168"/>
      <c r="M73" s="159"/>
      <c r="N73" s="159"/>
      <c r="O73" s="159"/>
      <c r="P73" s="159"/>
      <c r="Q73" s="159"/>
    </row>
    <row r="74" spans="1:25" ht="12" customHeight="1">
      <c r="B74" s="159"/>
      <c r="C74" s="159"/>
      <c r="D74" s="159"/>
      <c r="E74" s="159"/>
      <c r="F74" s="159"/>
      <c r="G74" s="159"/>
      <c r="H74" s="159"/>
      <c r="I74" s="159"/>
      <c r="J74" s="159"/>
      <c r="K74" s="159"/>
      <c r="L74" s="159"/>
      <c r="M74" s="159"/>
      <c r="N74" s="159"/>
      <c r="O74" s="159"/>
      <c r="P74" s="159"/>
      <c r="Q74" s="159"/>
    </row>
    <row r="75" spans="1:25" ht="12" customHeight="1">
      <c r="B75" s="178" t="s">
        <v>126</v>
      </c>
      <c r="C75" s="177"/>
      <c r="D75" s="177"/>
      <c r="E75" s="177"/>
      <c r="F75" s="177"/>
      <c r="G75" s="177"/>
      <c r="H75" s="177"/>
      <c r="I75" s="177"/>
      <c r="J75" s="177"/>
      <c r="K75" s="177"/>
      <c r="L75" s="159"/>
      <c r="M75" s="159"/>
      <c r="N75" s="159"/>
      <c r="O75" s="159"/>
      <c r="P75" s="159"/>
      <c r="Q75" s="159"/>
    </row>
    <row r="76" spans="1:25" ht="12" customHeight="1">
      <c r="B76" s="318" t="s">
        <v>223</v>
      </c>
      <c r="C76" s="318"/>
      <c r="D76" s="318"/>
      <c r="E76" s="318"/>
      <c r="F76" s="318"/>
      <c r="G76" s="318"/>
      <c r="H76" s="318"/>
      <c r="I76" s="318"/>
      <c r="J76" s="318"/>
      <c r="K76" s="318"/>
      <c r="L76" s="159"/>
      <c r="M76" s="159"/>
      <c r="N76" s="159"/>
      <c r="O76" s="159"/>
      <c r="P76" s="159"/>
      <c r="Q76" s="159"/>
    </row>
    <row r="77" spans="1:25" ht="12" customHeight="1">
      <c r="B77" s="318"/>
      <c r="C77" s="318"/>
      <c r="D77" s="318"/>
      <c r="E77" s="318"/>
      <c r="F77" s="318"/>
      <c r="G77" s="318"/>
      <c r="H77" s="318"/>
      <c r="I77" s="318"/>
      <c r="J77" s="318"/>
      <c r="K77" s="318"/>
      <c r="L77" s="159"/>
      <c r="M77" s="159"/>
      <c r="N77" s="159"/>
      <c r="O77" s="159"/>
      <c r="P77" s="159"/>
      <c r="Q77" s="159"/>
    </row>
    <row r="78" spans="1:25" ht="12" customHeight="1">
      <c r="B78" s="318"/>
      <c r="C78" s="318"/>
      <c r="D78" s="318"/>
      <c r="E78" s="318"/>
      <c r="F78" s="318"/>
      <c r="G78" s="318"/>
      <c r="H78" s="318"/>
      <c r="I78" s="318"/>
      <c r="J78" s="318"/>
      <c r="K78" s="318"/>
      <c r="L78" s="159"/>
      <c r="M78" s="159"/>
      <c r="N78" s="159"/>
      <c r="O78" s="159"/>
      <c r="P78" s="159"/>
      <c r="Q78" s="159"/>
    </row>
    <row r="79" spans="1:25" ht="12" customHeight="1">
      <c r="B79" s="318"/>
      <c r="C79" s="318"/>
      <c r="D79" s="318"/>
      <c r="E79" s="318"/>
      <c r="F79" s="318"/>
      <c r="G79" s="318"/>
      <c r="H79" s="318"/>
      <c r="I79" s="318"/>
      <c r="J79" s="318"/>
      <c r="K79" s="318"/>
      <c r="L79" s="159"/>
      <c r="M79" s="159"/>
      <c r="N79" s="159"/>
      <c r="O79" s="159"/>
      <c r="P79" s="159"/>
      <c r="Q79" s="159"/>
    </row>
    <row r="80" spans="1:25" ht="12" customHeight="1">
      <c r="B80" s="318"/>
      <c r="C80" s="318"/>
      <c r="D80" s="318"/>
      <c r="E80" s="318"/>
      <c r="F80" s="318"/>
      <c r="G80" s="318"/>
      <c r="H80" s="318"/>
      <c r="I80" s="318"/>
      <c r="J80" s="318"/>
      <c r="K80" s="318"/>
      <c r="L80" s="159"/>
      <c r="M80" s="159"/>
      <c r="N80" s="159"/>
      <c r="O80" s="159"/>
      <c r="P80" s="159"/>
      <c r="Q80" s="159"/>
    </row>
    <row r="81" spans="2:17" ht="12" customHeight="1">
      <c r="B81" s="318"/>
      <c r="C81" s="318"/>
      <c r="D81" s="318"/>
      <c r="E81" s="318"/>
      <c r="F81" s="318"/>
      <c r="G81" s="318"/>
      <c r="H81" s="318"/>
      <c r="I81" s="318"/>
      <c r="J81" s="318"/>
      <c r="K81" s="318"/>
      <c r="L81" s="159"/>
      <c r="M81" s="159"/>
      <c r="N81" s="159"/>
      <c r="O81" s="159"/>
      <c r="P81" s="159"/>
      <c r="Q81" s="159"/>
    </row>
    <row r="82" spans="2:17" ht="12" customHeight="1">
      <c r="B82" s="318"/>
      <c r="C82" s="318"/>
      <c r="D82" s="318"/>
      <c r="E82" s="318"/>
      <c r="F82" s="318"/>
      <c r="G82" s="318"/>
      <c r="H82" s="318"/>
      <c r="I82" s="318"/>
      <c r="J82" s="318"/>
      <c r="K82" s="318"/>
      <c r="L82" s="159"/>
      <c r="M82" s="159"/>
      <c r="N82" s="159"/>
      <c r="O82" s="159"/>
      <c r="P82" s="159"/>
      <c r="Q82" s="159"/>
    </row>
    <row r="83" spans="2:17" ht="12" customHeight="1">
      <c r="B83" s="318"/>
      <c r="C83" s="318"/>
      <c r="D83" s="318"/>
      <c r="E83" s="318"/>
      <c r="F83" s="318"/>
      <c r="G83" s="318"/>
      <c r="H83" s="318"/>
      <c r="I83" s="318"/>
      <c r="J83" s="318"/>
      <c r="K83" s="318"/>
      <c r="L83" s="159"/>
      <c r="M83" s="159"/>
      <c r="N83" s="159"/>
      <c r="O83" s="159"/>
      <c r="P83" s="159"/>
      <c r="Q83" s="159"/>
    </row>
    <row r="84" spans="2:17" ht="12" customHeight="1">
      <c r="B84" s="318"/>
      <c r="C84" s="318"/>
      <c r="D84" s="318"/>
      <c r="E84" s="318"/>
      <c r="F84" s="318"/>
      <c r="G84" s="318"/>
      <c r="H84" s="318"/>
      <c r="I84" s="318"/>
      <c r="J84" s="318"/>
      <c r="K84" s="318"/>
      <c r="L84" s="159"/>
      <c r="M84" s="159"/>
      <c r="N84" s="159"/>
      <c r="O84" s="159"/>
      <c r="P84" s="159"/>
      <c r="Q84" s="159"/>
    </row>
    <row r="85" spans="2:17" ht="12" customHeight="1">
      <c r="B85" s="318"/>
      <c r="C85" s="318"/>
      <c r="D85" s="318"/>
      <c r="E85" s="318"/>
      <c r="F85" s="318"/>
      <c r="G85" s="318"/>
      <c r="H85" s="318"/>
      <c r="I85" s="318"/>
      <c r="J85" s="318"/>
      <c r="K85" s="318"/>
      <c r="L85" s="159"/>
      <c r="M85" s="159"/>
      <c r="N85" s="159"/>
      <c r="O85" s="159"/>
      <c r="P85" s="159"/>
      <c r="Q85" s="159"/>
    </row>
    <row r="86" spans="2:17" ht="12" customHeight="1">
      <c r="B86" s="318"/>
      <c r="C86" s="318"/>
      <c r="D86" s="318"/>
      <c r="E86" s="318"/>
      <c r="F86" s="318"/>
      <c r="G86" s="318"/>
      <c r="H86" s="318"/>
      <c r="I86" s="318"/>
      <c r="J86" s="318"/>
      <c r="K86" s="318"/>
      <c r="L86" s="159"/>
      <c r="M86" s="159"/>
      <c r="N86" s="159"/>
      <c r="O86" s="159"/>
      <c r="P86" s="159"/>
      <c r="Q86" s="159"/>
    </row>
    <row r="87" spans="2:17" ht="12" customHeight="1">
      <c r="B87" s="318"/>
      <c r="C87" s="318"/>
      <c r="D87" s="318"/>
      <c r="E87" s="318"/>
      <c r="F87" s="318"/>
      <c r="G87" s="318"/>
      <c r="H87" s="318"/>
      <c r="I87" s="318"/>
      <c r="J87" s="318"/>
      <c r="K87" s="318"/>
      <c r="L87" s="159"/>
      <c r="M87" s="159"/>
      <c r="N87" s="159"/>
      <c r="O87" s="159"/>
      <c r="P87" s="159"/>
      <c r="Q87" s="159"/>
    </row>
    <row r="88" spans="2:17" ht="12" customHeight="1">
      <c r="B88" s="318"/>
      <c r="C88" s="318"/>
      <c r="D88" s="318"/>
      <c r="E88" s="318"/>
      <c r="F88" s="318"/>
      <c r="G88" s="318"/>
      <c r="H88" s="318"/>
      <c r="I88" s="318"/>
      <c r="J88" s="318"/>
      <c r="K88" s="318"/>
      <c r="L88" s="159"/>
      <c r="M88" s="159"/>
      <c r="N88" s="159"/>
      <c r="O88" s="159"/>
      <c r="P88" s="159"/>
      <c r="Q88" s="159"/>
    </row>
    <row r="89" spans="2:17" ht="12" customHeight="1">
      <c r="B89" s="318"/>
      <c r="C89" s="318"/>
      <c r="D89" s="318"/>
      <c r="E89" s="318"/>
      <c r="F89" s="318"/>
      <c r="G89" s="318"/>
      <c r="H89" s="318"/>
      <c r="I89" s="318"/>
      <c r="J89" s="318"/>
      <c r="K89" s="318"/>
      <c r="L89" s="159"/>
      <c r="M89" s="159"/>
      <c r="N89" s="159"/>
      <c r="O89" s="159"/>
      <c r="P89" s="159"/>
      <c r="Q89" s="159"/>
    </row>
    <row r="90" spans="2:17" ht="12" customHeight="1">
      <c r="B90" s="318"/>
      <c r="C90" s="318"/>
      <c r="D90" s="318"/>
      <c r="E90" s="318"/>
      <c r="F90" s="318"/>
      <c r="G90" s="318"/>
      <c r="H90" s="318"/>
      <c r="I90" s="318"/>
      <c r="J90" s="318"/>
      <c r="K90" s="318"/>
      <c r="L90" s="159"/>
      <c r="M90" s="159"/>
      <c r="N90" s="159"/>
      <c r="O90" s="159"/>
      <c r="P90" s="159"/>
      <c r="Q90" s="159"/>
    </row>
    <row r="91" spans="2:17" ht="12" customHeight="1">
      <c r="B91" s="318"/>
      <c r="C91" s="318"/>
      <c r="D91" s="318"/>
      <c r="E91" s="318"/>
      <c r="F91" s="318"/>
      <c r="G91" s="318"/>
      <c r="H91" s="318"/>
      <c r="I91" s="318"/>
      <c r="J91" s="318"/>
      <c r="K91" s="318"/>
      <c r="L91" s="159"/>
      <c r="M91" s="159"/>
      <c r="N91" s="159"/>
      <c r="O91" s="159"/>
      <c r="P91" s="159"/>
      <c r="Q91" s="159"/>
    </row>
    <row r="92" spans="2:17" s="159" customFormat="1" ht="12" customHeight="1">
      <c r="B92" s="318"/>
      <c r="C92" s="318"/>
      <c r="D92" s="318"/>
      <c r="E92" s="318"/>
      <c r="F92" s="318"/>
      <c r="G92" s="318"/>
      <c r="H92" s="318"/>
      <c r="I92" s="318"/>
      <c r="J92" s="318"/>
      <c r="K92" s="318"/>
    </row>
    <row r="93" spans="2:17" s="159" customFormat="1" ht="12" customHeight="1">
      <c r="B93" s="318"/>
      <c r="C93" s="318"/>
      <c r="D93" s="318"/>
      <c r="E93" s="318"/>
      <c r="F93" s="318"/>
      <c r="G93" s="318"/>
      <c r="H93" s="318"/>
      <c r="I93" s="318"/>
      <c r="J93" s="318"/>
      <c r="K93" s="318"/>
    </row>
    <row r="94" spans="2:17" s="159" customFormat="1" ht="12" customHeight="1">
      <c r="B94" s="318"/>
      <c r="C94" s="318"/>
      <c r="D94" s="318"/>
      <c r="E94" s="318"/>
      <c r="F94" s="318"/>
      <c r="G94" s="318"/>
      <c r="H94" s="318"/>
      <c r="I94" s="318"/>
      <c r="J94" s="318"/>
      <c r="K94" s="318"/>
    </row>
    <row r="95" spans="2:17" s="159" customFormat="1" ht="12" customHeight="1">
      <c r="B95" s="318"/>
      <c r="C95" s="318"/>
      <c r="D95" s="318"/>
      <c r="E95" s="318"/>
      <c r="F95" s="318"/>
      <c r="G95" s="318"/>
      <c r="H95" s="318"/>
      <c r="I95" s="318"/>
      <c r="J95" s="318"/>
      <c r="K95" s="318"/>
    </row>
    <row r="96" spans="2:17" s="159" customFormat="1" ht="12" customHeight="1">
      <c r="B96" s="318"/>
      <c r="C96" s="318"/>
      <c r="D96" s="318"/>
      <c r="E96" s="318"/>
      <c r="F96" s="318"/>
      <c r="G96" s="318"/>
      <c r="H96" s="318"/>
      <c r="I96" s="318"/>
      <c r="J96" s="318"/>
      <c r="K96" s="318"/>
    </row>
    <row r="97" spans="2:17" s="159" customFormat="1" ht="12" customHeight="1">
      <c r="B97" s="318"/>
      <c r="C97" s="318"/>
      <c r="D97" s="318"/>
      <c r="E97" s="318"/>
      <c r="F97" s="318"/>
      <c r="G97" s="318"/>
      <c r="H97" s="318"/>
      <c r="I97" s="318"/>
      <c r="J97" s="318"/>
      <c r="K97" s="318"/>
    </row>
    <row r="98" spans="2:17" s="159" customFormat="1" ht="12" customHeight="1">
      <c r="B98" s="318"/>
      <c r="C98" s="318"/>
      <c r="D98" s="318"/>
      <c r="E98" s="318"/>
      <c r="F98" s="318"/>
      <c r="G98" s="318"/>
      <c r="H98" s="318"/>
      <c r="I98" s="318"/>
      <c r="J98" s="318"/>
      <c r="K98" s="318"/>
    </row>
    <row r="99" spans="2:17" s="159" customFormat="1" ht="12" customHeight="1">
      <c r="B99" s="318"/>
      <c r="C99" s="318"/>
      <c r="D99" s="318"/>
      <c r="E99" s="318"/>
      <c r="F99" s="318"/>
      <c r="G99" s="318"/>
      <c r="H99" s="318"/>
      <c r="I99" s="318"/>
      <c r="J99" s="318"/>
      <c r="K99" s="318"/>
    </row>
    <row r="100" spans="2:17" s="159" customFormat="1" ht="12" customHeight="1">
      <c r="B100" s="318"/>
      <c r="C100" s="318"/>
      <c r="D100" s="318"/>
      <c r="E100" s="318"/>
      <c r="F100" s="318"/>
      <c r="G100" s="318"/>
      <c r="H100" s="318"/>
      <c r="I100" s="318"/>
      <c r="J100" s="318"/>
      <c r="K100" s="318"/>
    </row>
    <row r="101" spans="2:17" s="159" customFormat="1" ht="12" customHeight="1">
      <c r="B101" s="318"/>
      <c r="C101" s="318"/>
      <c r="D101" s="318"/>
      <c r="E101" s="318"/>
      <c r="F101" s="318"/>
      <c r="G101" s="318"/>
      <c r="H101" s="318"/>
      <c r="I101" s="318"/>
      <c r="J101" s="318"/>
      <c r="K101" s="318"/>
    </row>
    <row r="102" spans="2:17" s="159" customFormat="1" ht="12" customHeight="1">
      <c r="B102" s="318"/>
      <c r="C102" s="318"/>
      <c r="D102" s="318"/>
      <c r="E102" s="318"/>
      <c r="F102" s="318"/>
      <c r="G102" s="318"/>
      <c r="H102" s="318"/>
      <c r="I102" s="318"/>
      <c r="J102" s="318"/>
      <c r="K102" s="318"/>
    </row>
    <row r="103" spans="2:17" s="159" customFormat="1" ht="12" customHeight="1">
      <c r="B103" s="318"/>
      <c r="C103" s="318"/>
      <c r="D103" s="318"/>
      <c r="E103" s="318"/>
      <c r="F103" s="318"/>
      <c r="G103" s="318"/>
      <c r="H103" s="318"/>
      <c r="I103" s="318"/>
      <c r="J103" s="318"/>
      <c r="K103" s="318"/>
    </row>
    <row r="104" spans="2:17" s="159" customFormat="1" ht="12" customHeight="1">
      <c r="B104" s="318"/>
      <c r="C104" s="318"/>
      <c r="D104" s="318"/>
      <c r="E104" s="318"/>
      <c r="F104" s="318"/>
      <c r="G104" s="318"/>
      <c r="H104" s="318"/>
      <c r="I104" s="318"/>
      <c r="J104" s="318"/>
      <c r="K104" s="318"/>
    </row>
    <row r="105" spans="2:17" s="159" customFormat="1" ht="12" customHeight="1">
      <c r="B105" s="318"/>
      <c r="C105" s="318"/>
      <c r="D105" s="318"/>
      <c r="E105" s="318"/>
      <c r="F105" s="318"/>
      <c r="G105" s="318"/>
      <c r="H105" s="318"/>
      <c r="I105" s="318"/>
      <c r="J105" s="318"/>
      <c r="K105" s="318"/>
    </row>
    <row r="106" spans="2:17" s="159" customFormat="1" ht="12" customHeight="1">
      <c r="B106" s="318"/>
      <c r="C106" s="318"/>
      <c r="D106" s="318"/>
      <c r="E106" s="318"/>
      <c r="F106" s="318"/>
      <c r="G106" s="318"/>
      <c r="H106" s="318"/>
      <c r="I106" s="318"/>
      <c r="J106" s="318"/>
      <c r="K106" s="318"/>
    </row>
    <row r="107" spans="2:17" s="159" customFormat="1" ht="12" customHeight="1"/>
    <row r="108" spans="2:17" s="159" customFormat="1" ht="12" customHeight="1">
      <c r="B108" s="259"/>
      <c r="C108" s="259"/>
      <c r="D108" s="259"/>
      <c r="E108" s="259"/>
      <c r="F108" s="259"/>
      <c r="G108" s="259"/>
      <c r="H108" s="259"/>
      <c r="I108" s="259"/>
      <c r="J108" s="259"/>
      <c r="K108" s="164"/>
      <c r="L108" s="164"/>
      <c r="M108" s="164"/>
      <c r="N108" s="164"/>
      <c r="O108" s="164"/>
      <c r="P108" s="164"/>
      <c r="Q108" s="164"/>
    </row>
    <row r="109" spans="2:17" s="159" customFormat="1" ht="12" customHeight="1">
      <c r="B109" s="259"/>
      <c r="C109" s="260" t="s">
        <v>240</v>
      </c>
      <c r="D109" s="260"/>
      <c r="E109" s="259"/>
      <c r="F109" s="259"/>
      <c r="G109" s="259"/>
      <c r="H109" s="259"/>
      <c r="I109" s="259"/>
      <c r="J109" s="259"/>
      <c r="K109" s="164"/>
      <c r="L109" s="164"/>
      <c r="M109" s="164"/>
      <c r="N109" s="164"/>
      <c r="O109" s="164"/>
      <c r="P109" s="164"/>
      <c r="Q109" s="164"/>
    </row>
    <row r="110" spans="2:17" s="159" customFormat="1" ht="12" customHeight="1">
      <c r="B110" s="259"/>
      <c r="C110" s="261" t="s">
        <v>177</v>
      </c>
      <c r="D110" s="319" t="s">
        <v>178</v>
      </c>
      <c r="E110" s="320"/>
      <c r="F110" s="321"/>
      <c r="G110" s="262" t="s">
        <v>179</v>
      </c>
      <c r="H110" s="262" t="s">
        <v>180</v>
      </c>
      <c r="I110" s="262" t="s">
        <v>181</v>
      </c>
      <c r="J110" s="259"/>
      <c r="K110" s="164"/>
      <c r="L110" s="164"/>
      <c r="M110" s="164"/>
      <c r="N110" s="164"/>
      <c r="O110" s="164"/>
      <c r="P110" s="164"/>
      <c r="Q110" s="164"/>
    </row>
    <row r="111" spans="2:17" s="159" customFormat="1" ht="12" customHeight="1">
      <c r="B111" s="259"/>
      <c r="C111" s="263" t="s">
        <v>182</v>
      </c>
      <c r="D111" s="262" t="s">
        <v>183</v>
      </c>
      <c r="E111" s="262" t="s">
        <v>184</v>
      </c>
      <c r="F111" s="262" t="s">
        <v>185</v>
      </c>
      <c r="G111" s="262" t="s">
        <v>186</v>
      </c>
      <c r="H111" s="262" t="s">
        <v>187</v>
      </c>
      <c r="I111" s="262" t="s">
        <v>187</v>
      </c>
      <c r="J111" s="259"/>
      <c r="K111" s="164"/>
      <c r="L111" s="164"/>
      <c r="M111" s="164"/>
      <c r="N111" s="164"/>
      <c r="O111" s="164"/>
      <c r="P111" s="164"/>
      <c r="Q111" s="164"/>
    </row>
    <row r="112" spans="2:17" s="159" customFormat="1" ht="12" customHeight="1">
      <c r="B112" s="259"/>
      <c r="C112" s="264" t="s">
        <v>193</v>
      </c>
      <c r="D112" s="261"/>
      <c r="E112" s="265"/>
      <c r="F112" s="265"/>
      <c r="G112" s="265"/>
      <c r="H112" s="265"/>
      <c r="I112" s="266"/>
      <c r="J112" s="259"/>
      <c r="K112" s="164"/>
      <c r="L112" s="164"/>
      <c r="M112" s="164"/>
      <c r="N112" s="164"/>
      <c r="O112" s="164"/>
      <c r="P112" s="164"/>
      <c r="Q112" s="164"/>
    </row>
    <row r="113" spans="1:17" s="159" customFormat="1" ht="12" customHeight="1">
      <c r="B113" s="259"/>
      <c r="C113" s="264" t="s">
        <v>159</v>
      </c>
      <c r="D113" s="267">
        <f t="shared" ref="D113:I124" si="13">(D$51*D127+D$52*D141+D$53*D155+D$54*D169)/D$50</f>
        <v>0</v>
      </c>
      <c r="E113" s="268">
        <f t="shared" si="13"/>
        <v>0</v>
      </c>
      <c r="F113" s="268">
        <f t="shared" si="13"/>
        <v>0</v>
      </c>
      <c r="G113" s="268">
        <f t="shared" si="13"/>
        <v>0</v>
      </c>
      <c r="H113" s="268">
        <f t="shared" si="13"/>
        <v>0</v>
      </c>
      <c r="I113" s="269">
        <f t="shared" si="13"/>
        <v>0</v>
      </c>
      <c r="J113" s="270"/>
      <c r="K113" s="164"/>
      <c r="L113" s="164"/>
      <c r="M113" s="164"/>
      <c r="N113" s="164"/>
      <c r="O113" s="164"/>
      <c r="P113" s="164"/>
      <c r="Q113" s="164"/>
    </row>
    <row r="114" spans="1:17" s="159" customFormat="1" ht="12" customHeight="1">
      <c r="B114" s="259"/>
      <c r="C114" s="264" t="s">
        <v>160</v>
      </c>
      <c r="D114" s="267">
        <f t="shared" si="13"/>
        <v>0</v>
      </c>
      <c r="E114" s="268">
        <f t="shared" si="13"/>
        <v>0</v>
      </c>
      <c r="F114" s="268">
        <f t="shared" si="13"/>
        <v>0</v>
      </c>
      <c r="G114" s="268">
        <f t="shared" si="13"/>
        <v>0</v>
      </c>
      <c r="H114" s="271">
        <f t="shared" si="13"/>
        <v>7.4999999999999997E-3</v>
      </c>
      <c r="I114" s="269">
        <f t="shared" si="13"/>
        <v>0</v>
      </c>
      <c r="J114" s="259"/>
      <c r="K114" s="164"/>
      <c r="L114" s="164"/>
      <c r="M114" s="164"/>
      <c r="N114" s="164"/>
      <c r="O114" s="164"/>
      <c r="P114" s="164"/>
      <c r="Q114" s="164"/>
    </row>
    <row r="115" spans="1:17" s="159" customFormat="1" ht="12" customHeight="1">
      <c r="B115" s="259"/>
      <c r="C115" s="264" t="s">
        <v>161</v>
      </c>
      <c r="D115" s="267">
        <f t="shared" si="13"/>
        <v>0</v>
      </c>
      <c r="E115" s="268">
        <f t="shared" si="13"/>
        <v>0</v>
      </c>
      <c r="F115" s="268">
        <f t="shared" si="13"/>
        <v>0</v>
      </c>
      <c r="G115" s="268">
        <f t="shared" si="13"/>
        <v>0</v>
      </c>
      <c r="H115" s="268">
        <f t="shared" si="13"/>
        <v>0</v>
      </c>
      <c r="I115" s="269">
        <f t="shared" si="13"/>
        <v>1</v>
      </c>
      <c r="J115" s="259"/>
      <c r="K115" s="164"/>
      <c r="L115" s="164"/>
      <c r="M115" s="164"/>
      <c r="N115" s="164"/>
      <c r="O115" s="164"/>
      <c r="P115" s="164"/>
      <c r="Q115" s="164"/>
    </row>
    <row r="116" spans="1:17" s="159" customFormat="1" ht="12" customHeight="1">
      <c r="B116" s="259"/>
      <c r="C116" s="264" t="s">
        <v>163</v>
      </c>
      <c r="D116" s="267">
        <f t="shared" si="13"/>
        <v>0</v>
      </c>
      <c r="E116" s="268">
        <f t="shared" si="13"/>
        <v>0</v>
      </c>
      <c r="F116" s="268">
        <f t="shared" si="13"/>
        <v>0.25</v>
      </c>
      <c r="G116" s="268">
        <f t="shared" si="13"/>
        <v>0.25</v>
      </c>
      <c r="H116" s="268">
        <f t="shared" si="13"/>
        <v>0.10368749999999999</v>
      </c>
      <c r="I116" s="269">
        <f t="shared" si="13"/>
        <v>0</v>
      </c>
      <c r="J116" s="259"/>
      <c r="K116" s="164"/>
      <c r="L116" s="164"/>
      <c r="M116" s="164"/>
      <c r="N116" s="164"/>
      <c r="O116" s="164"/>
      <c r="P116" s="164"/>
      <c r="Q116" s="164"/>
    </row>
    <row r="117" spans="1:17" s="159" customFormat="1" ht="12" customHeight="1">
      <c r="B117" s="259"/>
      <c r="C117" s="264" t="s">
        <v>164</v>
      </c>
      <c r="D117" s="267">
        <f t="shared" si="13"/>
        <v>0.25</v>
      </c>
      <c r="E117" s="268">
        <f t="shared" si="13"/>
        <v>0</v>
      </c>
      <c r="F117" s="268">
        <f t="shared" si="13"/>
        <v>0</v>
      </c>
      <c r="G117" s="268">
        <f t="shared" si="13"/>
        <v>0.25</v>
      </c>
      <c r="H117" s="268">
        <f t="shared" si="13"/>
        <v>1.4812500000000003E-2</v>
      </c>
      <c r="I117" s="269">
        <f t="shared" si="13"/>
        <v>0</v>
      </c>
      <c r="J117" s="259"/>
      <c r="K117" s="164"/>
      <c r="L117" s="164"/>
      <c r="M117" s="164"/>
      <c r="N117" s="164"/>
      <c r="O117" s="164"/>
      <c r="P117" s="164"/>
      <c r="Q117" s="164"/>
    </row>
    <row r="118" spans="1:17" s="159" customFormat="1" ht="12" customHeight="1">
      <c r="B118" s="259"/>
      <c r="C118" s="264" t="s">
        <v>165</v>
      </c>
      <c r="D118" s="267">
        <f t="shared" si="13"/>
        <v>0.75</v>
      </c>
      <c r="E118" s="268">
        <f t="shared" si="13"/>
        <v>1</v>
      </c>
      <c r="F118" s="268">
        <f t="shared" si="13"/>
        <v>0.75</v>
      </c>
      <c r="G118" s="268">
        <f t="shared" si="13"/>
        <v>0.5</v>
      </c>
      <c r="H118" s="268">
        <f t="shared" si="13"/>
        <v>0.17774999999999999</v>
      </c>
      <c r="I118" s="269">
        <f t="shared" si="13"/>
        <v>0</v>
      </c>
      <c r="J118" s="259"/>
      <c r="K118" s="164"/>
      <c r="L118" s="164"/>
      <c r="M118" s="164"/>
      <c r="N118" s="164"/>
      <c r="O118" s="164"/>
      <c r="P118" s="164"/>
      <c r="Q118" s="164"/>
    </row>
    <row r="119" spans="1:17" s="159" customFormat="1" ht="12" customHeight="1">
      <c r="B119" s="259"/>
      <c r="C119" s="264" t="s">
        <v>167</v>
      </c>
      <c r="D119" s="267">
        <f t="shared" si="13"/>
        <v>0</v>
      </c>
      <c r="E119" s="268">
        <f t="shared" si="13"/>
        <v>0</v>
      </c>
      <c r="F119" s="268">
        <f t="shared" si="13"/>
        <v>0</v>
      </c>
      <c r="G119" s="268">
        <f t="shared" si="13"/>
        <v>0</v>
      </c>
      <c r="H119" s="268">
        <f t="shared" si="13"/>
        <v>0.69625000000000004</v>
      </c>
      <c r="I119" s="269">
        <f t="shared" si="13"/>
        <v>0</v>
      </c>
      <c r="J119" s="259"/>
      <c r="K119" s="164"/>
      <c r="L119" s="164"/>
      <c r="M119" s="164"/>
      <c r="N119" s="164"/>
      <c r="O119" s="164"/>
      <c r="P119" s="164"/>
      <c r="Q119" s="164"/>
    </row>
    <row r="120" spans="1:17" s="159" customFormat="1" ht="12" customHeight="1">
      <c r="B120" s="259"/>
      <c r="C120" s="264" t="s">
        <v>169</v>
      </c>
      <c r="D120" s="267">
        <f t="shared" si="13"/>
        <v>0</v>
      </c>
      <c r="E120" s="268">
        <f t="shared" si="13"/>
        <v>0</v>
      </c>
      <c r="F120" s="268">
        <f t="shared" si="13"/>
        <v>0</v>
      </c>
      <c r="G120" s="268">
        <f t="shared" si="13"/>
        <v>0</v>
      </c>
      <c r="H120" s="268">
        <f t="shared" si="13"/>
        <v>0</v>
      </c>
      <c r="I120" s="269">
        <f t="shared" si="13"/>
        <v>0</v>
      </c>
      <c r="J120" s="259"/>
      <c r="K120" s="164"/>
      <c r="L120" s="164"/>
      <c r="M120" s="164"/>
      <c r="N120" s="164"/>
      <c r="O120" s="164"/>
      <c r="P120" s="164"/>
      <c r="Q120" s="164"/>
    </row>
    <row r="121" spans="1:17" s="159" customFormat="1" ht="12" customHeight="1">
      <c r="B121" s="259"/>
      <c r="C121" s="264" t="s">
        <v>170</v>
      </c>
      <c r="D121" s="267">
        <f t="shared" si="13"/>
        <v>0</v>
      </c>
      <c r="E121" s="268">
        <f t="shared" si="13"/>
        <v>0</v>
      </c>
      <c r="F121" s="268">
        <f t="shared" si="13"/>
        <v>0</v>
      </c>
      <c r="G121" s="268">
        <f t="shared" si="13"/>
        <v>0</v>
      </c>
      <c r="H121" s="268">
        <f t="shared" si="13"/>
        <v>0</v>
      </c>
      <c r="I121" s="269">
        <f t="shared" si="13"/>
        <v>0</v>
      </c>
      <c r="J121" s="259"/>
      <c r="K121" s="164"/>
      <c r="L121" s="164"/>
      <c r="M121" s="164"/>
      <c r="N121" s="164"/>
      <c r="O121" s="164"/>
      <c r="P121" s="164"/>
      <c r="Q121" s="164"/>
    </row>
    <row r="122" spans="1:17" s="159" customFormat="1" ht="12" customHeight="1">
      <c r="B122" s="259"/>
      <c r="C122" s="264" t="s">
        <v>171</v>
      </c>
      <c r="D122" s="267">
        <f t="shared" si="13"/>
        <v>0</v>
      </c>
      <c r="E122" s="268">
        <f t="shared" si="13"/>
        <v>0</v>
      </c>
      <c r="F122" s="268">
        <f t="shared" si="13"/>
        <v>0</v>
      </c>
      <c r="G122" s="268">
        <f t="shared" si="13"/>
        <v>0</v>
      </c>
      <c r="H122" s="268">
        <f t="shared" si="13"/>
        <v>0</v>
      </c>
      <c r="I122" s="269">
        <f t="shared" si="13"/>
        <v>0</v>
      </c>
      <c r="J122" s="259"/>
      <c r="K122" s="164"/>
      <c r="L122" s="164"/>
      <c r="M122" s="164"/>
      <c r="N122" s="164"/>
      <c r="O122" s="164"/>
      <c r="P122" s="164"/>
      <c r="Q122" s="164"/>
    </row>
    <row r="123" spans="1:17" s="159" customFormat="1" ht="12" customHeight="1">
      <c r="B123" s="259"/>
      <c r="C123" s="264" t="s">
        <v>173</v>
      </c>
      <c r="D123" s="267">
        <f t="shared" si="13"/>
        <v>0</v>
      </c>
      <c r="E123" s="268">
        <f t="shared" si="13"/>
        <v>0</v>
      </c>
      <c r="F123" s="268">
        <f t="shared" si="13"/>
        <v>0</v>
      </c>
      <c r="G123" s="268">
        <f t="shared" si="13"/>
        <v>0</v>
      </c>
      <c r="H123" s="268">
        <f t="shared" si="13"/>
        <v>0</v>
      </c>
      <c r="I123" s="269">
        <f t="shared" si="13"/>
        <v>0</v>
      </c>
      <c r="J123" s="259"/>
      <c r="K123" s="164"/>
      <c r="L123" s="164"/>
      <c r="M123" s="164"/>
      <c r="N123" s="164"/>
      <c r="O123" s="164"/>
      <c r="P123" s="164"/>
      <c r="Q123" s="164"/>
    </row>
    <row r="124" spans="1:17" s="159" customFormat="1" ht="12" customHeight="1">
      <c r="B124" s="259"/>
      <c r="C124" s="264" t="s">
        <v>174</v>
      </c>
      <c r="D124" s="267">
        <f t="shared" si="13"/>
        <v>0</v>
      </c>
      <c r="E124" s="268">
        <f t="shared" si="13"/>
        <v>0</v>
      </c>
      <c r="F124" s="268">
        <f t="shared" si="13"/>
        <v>0</v>
      </c>
      <c r="G124" s="268">
        <f t="shared" si="13"/>
        <v>0</v>
      </c>
      <c r="H124" s="268">
        <f t="shared" si="13"/>
        <v>0</v>
      </c>
      <c r="I124" s="269">
        <f t="shared" si="13"/>
        <v>0</v>
      </c>
      <c r="J124" s="259"/>
      <c r="K124" s="164"/>
      <c r="L124" s="164"/>
      <c r="M124" s="164"/>
      <c r="N124" s="164"/>
      <c r="O124" s="164"/>
      <c r="P124" s="164"/>
      <c r="Q124" s="164"/>
    </row>
    <row r="125" spans="1:17" s="159" customFormat="1" ht="12" customHeight="1">
      <c r="B125" s="259"/>
      <c r="C125" s="264"/>
      <c r="D125" s="272"/>
      <c r="E125" s="273"/>
      <c r="F125" s="273"/>
      <c r="G125" s="273"/>
      <c r="H125" s="273"/>
      <c r="I125" s="274"/>
      <c r="J125" s="259"/>
      <c r="K125" s="164"/>
      <c r="L125" s="164"/>
      <c r="M125" s="164"/>
      <c r="N125" s="164"/>
      <c r="O125" s="164"/>
      <c r="P125" s="164"/>
      <c r="Q125" s="164"/>
    </row>
    <row r="126" spans="1:17" s="159" customFormat="1" ht="12" customHeight="1">
      <c r="B126" s="259"/>
      <c r="C126" s="275" t="s">
        <v>188</v>
      </c>
      <c r="D126" s="275"/>
      <c r="E126" s="276"/>
      <c r="F126" s="276"/>
      <c r="G126" s="276"/>
      <c r="H126" s="276"/>
      <c r="I126" s="277"/>
      <c r="J126" s="259"/>
      <c r="K126" s="164"/>
      <c r="L126" s="164"/>
      <c r="M126" s="164"/>
      <c r="N126" s="164"/>
      <c r="O126" s="164"/>
      <c r="P126" s="164"/>
      <c r="Q126" s="164"/>
    </row>
    <row r="127" spans="1:17" ht="12" customHeight="1">
      <c r="A127" s="165"/>
      <c r="B127" s="259"/>
      <c r="C127" s="264" t="s">
        <v>159</v>
      </c>
      <c r="D127" s="267">
        <v>0</v>
      </c>
      <c r="E127" s="268">
        <v>0</v>
      </c>
      <c r="F127" s="268">
        <v>0</v>
      </c>
      <c r="G127" s="268">
        <v>0</v>
      </c>
      <c r="H127" s="268">
        <v>0</v>
      </c>
      <c r="I127" s="269">
        <v>0</v>
      </c>
      <c r="J127" s="270"/>
      <c r="K127" s="166"/>
      <c r="L127" s="164"/>
      <c r="M127" s="164"/>
      <c r="N127" s="164"/>
      <c r="O127" s="164"/>
      <c r="P127" s="164"/>
      <c r="Q127" s="164"/>
    </row>
    <row r="128" spans="1:17" ht="12" customHeight="1">
      <c r="A128" s="165"/>
      <c r="B128" s="259"/>
      <c r="C128" s="264" t="s">
        <v>160</v>
      </c>
      <c r="D128" s="267">
        <v>0</v>
      </c>
      <c r="E128" s="268">
        <v>0</v>
      </c>
      <c r="F128" s="268">
        <v>0</v>
      </c>
      <c r="G128" s="268">
        <v>0</v>
      </c>
      <c r="H128" s="268">
        <v>7.4999999999999997E-3</v>
      </c>
      <c r="I128" s="269">
        <v>0</v>
      </c>
      <c r="J128" s="259"/>
      <c r="K128" s="164"/>
      <c r="L128" s="164"/>
      <c r="M128" s="164"/>
      <c r="N128" s="164"/>
      <c r="O128" s="164"/>
      <c r="P128" s="164"/>
      <c r="Q128" s="164"/>
    </row>
    <row r="129" spans="1:17" ht="12" customHeight="1">
      <c r="A129" s="165"/>
      <c r="B129" s="259"/>
      <c r="C129" s="264" t="s">
        <v>161</v>
      </c>
      <c r="D129" s="267">
        <v>0</v>
      </c>
      <c r="E129" s="268">
        <v>0</v>
      </c>
      <c r="F129" s="268">
        <v>0</v>
      </c>
      <c r="G129" s="268">
        <v>0</v>
      </c>
      <c r="H129" s="268">
        <v>0</v>
      </c>
      <c r="I129" s="269">
        <v>0</v>
      </c>
      <c r="J129" s="259"/>
      <c r="K129" s="164"/>
      <c r="L129" s="164"/>
      <c r="M129" s="164"/>
      <c r="N129" s="164"/>
      <c r="O129" s="164"/>
      <c r="P129" s="164"/>
      <c r="Q129" s="164"/>
    </row>
    <row r="130" spans="1:17" ht="12" customHeight="1">
      <c r="A130" s="165"/>
      <c r="B130" s="259"/>
      <c r="C130" s="264" t="s">
        <v>163</v>
      </c>
      <c r="D130" s="267">
        <v>0</v>
      </c>
      <c r="E130" s="268">
        <v>0</v>
      </c>
      <c r="F130" s="268">
        <v>0</v>
      </c>
      <c r="G130" s="268">
        <v>0</v>
      </c>
      <c r="H130" s="268">
        <v>0.10368749999999999</v>
      </c>
      <c r="I130" s="269">
        <v>0</v>
      </c>
      <c r="J130" s="259"/>
      <c r="K130" s="164"/>
      <c r="L130" s="164"/>
      <c r="M130" s="164"/>
      <c r="N130" s="164"/>
      <c r="O130" s="164"/>
      <c r="P130" s="164"/>
      <c r="Q130" s="164"/>
    </row>
    <row r="131" spans="1:17" ht="12" customHeight="1">
      <c r="A131" s="165"/>
      <c r="B131" s="259"/>
      <c r="C131" s="264" t="s">
        <v>164</v>
      </c>
      <c r="D131" s="267">
        <v>0</v>
      </c>
      <c r="E131" s="268">
        <v>0</v>
      </c>
      <c r="F131" s="268">
        <v>0</v>
      </c>
      <c r="G131" s="268">
        <v>0</v>
      </c>
      <c r="H131" s="268">
        <v>1.4812500000000003E-2</v>
      </c>
      <c r="I131" s="269">
        <v>0</v>
      </c>
      <c r="J131" s="259"/>
      <c r="K131" s="164"/>
      <c r="L131" s="164"/>
      <c r="M131" s="164"/>
      <c r="N131" s="164"/>
      <c r="O131" s="164"/>
      <c r="P131" s="164"/>
      <c r="Q131" s="164"/>
    </row>
    <row r="132" spans="1:17" ht="12" customHeight="1">
      <c r="A132" s="165"/>
      <c r="B132" s="259"/>
      <c r="C132" s="264" t="s">
        <v>165</v>
      </c>
      <c r="D132" s="267">
        <v>0</v>
      </c>
      <c r="E132" s="268">
        <v>0</v>
      </c>
      <c r="F132" s="268">
        <v>0</v>
      </c>
      <c r="G132" s="268">
        <v>0</v>
      </c>
      <c r="H132" s="268">
        <v>0.17774999999999999</v>
      </c>
      <c r="I132" s="269">
        <v>0</v>
      </c>
      <c r="J132" s="259"/>
      <c r="K132" s="164"/>
      <c r="L132" s="164"/>
      <c r="M132" s="164"/>
      <c r="N132" s="164"/>
      <c r="O132" s="164"/>
      <c r="P132" s="164"/>
      <c r="Q132" s="164"/>
    </row>
    <row r="133" spans="1:17" ht="12" customHeight="1">
      <c r="A133" s="165"/>
      <c r="B133" s="259"/>
      <c r="C133" s="264" t="s">
        <v>167</v>
      </c>
      <c r="D133" s="267">
        <v>0</v>
      </c>
      <c r="E133" s="268">
        <v>0</v>
      </c>
      <c r="F133" s="268">
        <v>0</v>
      </c>
      <c r="G133" s="268">
        <v>0</v>
      </c>
      <c r="H133" s="268">
        <v>0.69625000000000004</v>
      </c>
      <c r="I133" s="269">
        <v>0</v>
      </c>
      <c r="J133" s="259"/>
      <c r="K133" s="164"/>
      <c r="L133" s="164"/>
      <c r="M133" s="164"/>
      <c r="N133" s="164"/>
      <c r="O133" s="164"/>
      <c r="P133" s="164"/>
      <c r="Q133" s="164"/>
    </row>
    <row r="134" spans="1:17" ht="12" customHeight="1">
      <c r="A134" s="165"/>
      <c r="B134" s="259"/>
      <c r="C134" s="264" t="s">
        <v>169</v>
      </c>
      <c r="D134" s="267">
        <v>0</v>
      </c>
      <c r="E134" s="268">
        <v>0</v>
      </c>
      <c r="F134" s="268">
        <v>0</v>
      </c>
      <c r="G134" s="268">
        <v>0</v>
      </c>
      <c r="H134" s="268">
        <v>0</v>
      </c>
      <c r="I134" s="269">
        <v>0</v>
      </c>
      <c r="J134" s="259"/>
      <c r="K134" s="164"/>
      <c r="L134" s="164"/>
      <c r="M134" s="164"/>
      <c r="N134" s="164"/>
      <c r="O134" s="164"/>
      <c r="P134" s="164"/>
      <c r="Q134" s="164"/>
    </row>
    <row r="135" spans="1:17" ht="12" customHeight="1">
      <c r="A135" s="165"/>
      <c r="B135" s="259"/>
      <c r="C135" s="264" t="s">
        <v>170</v>
      </c>
      <c r="D135" s="267">
        <v>0</v>
      </c>
      <c r="E135" s="268">
        <v>0</v>
      </c>
      <c r="F135" s="268">
        <v>0</v>
      </c>
      <c r="G135" s="268">
        <v>0</v>
      </c>
      <c r="H135" s="268">
        <v>0</v>
      </c>
      <c r="I135" s="269">
        <v>0</v>
      </c>
      <c r="J135" s="259"/>
      <c r="K135" s="164"/>
      <c r="L135" s="164"/>
      <c r="M135" s="164"/>
      <c r="N135" s="164"/>
      <c r="O135" s="164"/>
      <c r="P135" s="164"/>
      <c r="Q135" s="164"/>
    </row>
    <row r="136" spans="1:17" ht="12" customHeight="1">
      <c r="A136" s="165"/>
      <c r="B136" s="259"/>
      <c r="C136" s="264" t="s">
        <v>171</v>
      </c>
      <c r="D136" s="267">
        <v>0</v>
      </c>
      <c r="E136" s="268">
        <v>0</v>
      </c>
      <c r="F136" s="268">
        <v>0</v>
      </c>
      <c r="G136" s="268">
        <v>0</v>
      </c>
      <c r="H136" s="268">
        <v>0</v>
      </c>
      <c r="I136" s="269">
        <v>0</v>
      </c>
      <c r="J136" s="259"/>
      <c r="K136" s="164"/>
      <c r="L136" s="164"/>
      <c r="M136" s="164"/>
      <c r="N136" s="164"/>
      <c r="O136" s="164"/>
      <c r="P136" s="164"/>
      <c r="Q136" s="164"/>
    </row>
    <row r="137" spans="1:17" ht="12" customHeight="1">
      <c r="B137" s="259"/>
      <c r="C137" s="264" t="s">
        <v>173</v>
      </c>
      <c r="D137" s="267">
        <v>0</v>
      </c>
      <c r="E137" s="268">
        <v>0</v>
      </c>
      <c r="F137" s="268">
        <v>0</v>
      </c>
      <c r="G137" s="268">
        <v>0</v>
      </c>
      <c r="H137" s="268">
        <v>0</v>
      </c>
      <c r="I137" s="269">
        <v>0</v>
      </c>
      <c r="J137" s="259"/>
      <c r="K137" s="164"/>
      <c r="L137" s="164"/>
      <c r="M137" s="164"/>
      <c r="N137" s="164"/>
      <c r="O137" s="164"/>
      <c r="P137" s="164"/>
      <c r="Q137" s="164"/>
    </row>
    <row r="138" spans="1:17" ht="12" customHeight="1">
      <c r="A138" s="165"/>
      <c r="B138" s="259"/>
      <c r="C138" s="264" t="s">
        <v>174</v>
      </c>
      <c r="D138" s="267">
        <v>0</v>
      </c>
      <c r="E138" s="268">
        <v>0</v>
      </c>
      <c r="F138" s="268">
        <v>0</v>
      </c>
      <c r="G138" s="268">
        <v>0</v>
      </c>
      <c r="H138" s="268">
        <v>0</v>
      </c>
      <c r="I138" s="269">
        <v>0</v>
      </c>
      <c r="J138" s="259"/>
      <c r="K138" s="164"/>
      <c r="L138" s="164"/>
      <c r="M138" s="164"/>
      <c r="N138" s="164"/>
      <c r="O138" s="164"/>
      <c r="P138" s="164"/>
      <c r="Q138" s="164"/>
    </row>
    <row r="139" spans="1:17" ht="12" customHeight="1">
      <c r="A139" s="165"/>
      <c r="B139" s="259"/>
      <c r="C139" s="278"/>
      <c r="D139" s="263"/>
      <c r="E139" s="279"/>
      <c r="F139" s="279"/>
      <c r="G139" s="279"/>
      <c r="H139" s="279"/>
      <c r="I139" s="280"/>
      <c r="J139" s="259"/>
      <c r="K139" s="164"/>
      <c r="L139" s="164"/>
      <c r="M139" s="164"/>
      <c r="N139" s="164"/>
      <c r="O139" s="164"/>
      <c r="P139" s="164"/>
      <c r="Q139" s="164"/>
    </row>
    <row r="140" spans="1:17" ht="12" customHeight="1">
      <c r="A140" s="165"/>
      <c r="B140" s="259"/>
      <c r="C140" s="264" t="s">
        <v>189</v>
      </c>
      <c r="D140" s="267"/>
      <c r="E140" s="268"/>
      <c r="F140" s="268"/>
      <c r="G140" s="268"/>
      <c r="H140" s="268"/>
      <c r="I140" s="269"/>
      <c r="J140" s="259"/>
      <c r="K140" s="164"/>
      <c r="L140" s="164"/>
      <c r="M140" s="164"/>
      <c r="N140" s="164"/>
      <c r="O140" s="164"/>
      <c r="P140" s="164"/>
      <c r="Q140" s="164"/>
    </row>
    <row r="141" spans="1:17" ht="12" customHeight="1">
      <c r="A141" s="165"/>
      <c r="B141" s="259"/>
      <c r="C141" s="264" t="s">
        <v>159</v>
      </c>
      <c r="D141" s="267">
        <v>0</v>
      </c>
      <c r="E141" s="268">
        <v>0</v>
      </c>
      <c r="F141" s="268">
        <v>0</v>
      </c>
      <c r="G141" s="268">
        <v>0</v>
      </c>
      <c r="H141" s="268">
        <v>0</v>
      </c>
      <c r="I141" s="269">
        <v>0</v>
      </c>
      <c r="J141" s="259"/>
      <c r="K141" s="164"/>
      <c r="L141" s="164"/>
      <c r="M141" s="164"/>
      <c r="N141" s="164"/>
      <c r="O141" s="164"/>
      <c r="P141" s="164"/>
      <c r="Q141" s="164"/>
    </row>
    <row r="142" spans="1:17" ht="12" customHeight="1">
      <c r="A142" s="165"/>
      <c r="B142" s="259"/>
      <c r="C142" s="264" t="s">
        <v>160</v>
      </c>
      <c r="D142" s="267">
        <v>0</v>
      </c>
      <c r="E142" s="268">
        <v>0</v>
      </c>
      <c r="F142" s="268">
        <v>0</v>
      </c>
      <c r="G142" s="268">
        <v>0</v>
      </c>
      <c r="H142" s="268">
        <v>0</v>
      </c>
      <c r="I142" s="269">
        <v>0</v>
      </c>
      <c r="J142" s="259"/>
      <c r="K142" s="164"/>
      <c r="L142" s="164"/>
      <c r="M142" s="164"/>
      <c r="N142" s="164"/>
      <c r="O142" s="164"/>
      <c r="P142" s="164"/>
      <c r="Q142" s="164"/>
    </row>
    <row r="143" spans="1:17" ht="12" customHeight="1">
      <c r="A143" s="165"/>
      <c r="B143" s="259"/>
      <c r="C143" s="264" t="s">
        <v>161</v>
      </c>
      <c r="D143" s="267">
        <v>0</v>
      </c>
      <c r="E143" s="268">
        <v>0</v>
      </c>
      <c r="F143" s="268">
        <v>0</v>
      </c>
      <c r="G143" s="268">
        <v>0</v>
      </c>
      <c r="H143" s="268">
        <v>0</v>
      </c>
      <c r="I143" s="269">
        <v>1</v>
      </c>
      <c r="J143" s="259"/>
      <c r="K143" s="164"/>
      <c r="L143" s="164"/>
      <c r="M143" s="164"/>
      <c r="N143" s="164"/>
      <c r="O143" s="164"/>
      <c r="P143" s="164"/>
      <c r="Q143" s="164"/>
    </row>
    <row r="144" spans="1:17" ht="12" customHeight="1">
      <c r="A144" s="165"/>
      <c r="B144" s="259"/>
      <c r="C144" s="264" t="s">
        <v>163</v>
      </c>
      <c r="D144" s="267">
        <v>0</v>
      </c>
      <c r="E144" s="268">
        <v>0</v>
      </c>
      <c r="F144" s="268">
        <v>0</v>
      </c>
      <c r="G144" s="268">
        <v>0</v>
      </c>
      <c r="H144" s="268">
        <v>0</v>
      </c>
      <c r="I144" s="269">
        <v>0</v>
      </c>
      <c r="J144" s="259"/>
      <c r="K144" s="164"/>
      <c r="L144" s="164"/>
      <c r="M144" s="164"/>
      <c r="N144" s="164"/>
      <c r="O144" s="164"/>
      <c r="P144" s="164"/>
      <c r="Q144" s="164"/>
    </row>
    <row r="145" spans="1:17" ht="12" customHeight="1">
      <c r="A145" s="165"/>
      <c r="B145" s="259"/>
      <c r="C145" s="264" t="s">
        <v>164</v>
      </c>
      <c r="D145" s="267">
        <v>0</v>
      </c>
      <c r="E145" s="268">
        <v>0</v>
      </c>
      <c r="F145" s="268">
        <v>0</v>
      </c>
      <c r="G145" s="268">
        <v>0</v>
      </c>
      <c r="H145" s="268">
        <v>0</v>
      </c>
      <c r="I145" s="269">
        <v>0</v>
      </c>
      <c r="J145" s="259"/>
      <c r="K145" s="164"/>
      <c r="L145" s="164"/>
      <c r="M145" s="164"/>
      <c r="N145" s="164"/>
      <c r="O145" s="164"/>
      <c r="P145" s="164"/>
      <c r="Q145" s="164"/>
    </row>
    <row r="146" spans="1:17" ht="12" customHeight="1">
      <c r="A146" s="165"/>
      <c r="B146" s="259"/>
      <c r="C146" s="264" t="s">
        <v>165</v>
      </c>
      <c r="D146" s="267">
        <v>0</v>
      </c>
      <c r="E146" s="268">
        <v>0</v>
      </c>
      <c r="F146" s="268">
        <v>0</v>
      </c>
      <c r="G146" s="268">
        <v>0</v>
      </c>
      <c r="H146" s="268">
        <v>0</v>
      </c>
      <c r="I146" s="269">
        <v>0</v>
      </c>
      <c r="J146" s="259"/>
      <c r="K146" s="164"/>
      <c r="L146" s="164"/>
      <c r="M146" s="164"/>
      <c r="N146" s="164"/>
      <c r="O146" s="164"/>
      <c r="P146" s="164"/>
      <c r="Q146" s="164"/>
    </row>
    <row r="147" spans="1:17" ht="12" customHeight="1">
      <c r="A147" s="165"/>
      <c r="B147" s="259"/>
      <c r="C147" s="264" t="s">
        <v>167</v>
      </c>
      <c r="D147" s="267">
        <v>0</v>
      </c>
      <c r="E147" s="268">
        <v>0</v>
      </c>
      <c r="F147" s="268">
        <v>0</v>
      </c>
      <c r="G147" s="268">
        <v>0</v>
      </c>
      <c r="H147" s="268">
        <v>0</v>
      </c>
      <c r="I147" s="269">
        <v>0</v>
      </c>
      <c r="J147" s="259"/>
      <c r="K147" s="164"/>
      <c r="L147" s="164"/>
      <c r="M147" s="164"/>
      <c r="N147" s="164"/>
      <c r="O147" s="164"/>
      <c r="P147" s="164"/>
      <c r="Q147" s="164"/>
    </row>
    <row r="148" spans="1:17" ht="12" customHeight="1">
      <c r="A148" s="165"/>
      <c r="B148" s="259"/>
      <c r="C148" s="264" t="s">
        <v>169</v>
      </c>
      <c r="D148" s="267">
        <v>0</v>
      </c>
      <c r="E148" s="268">
        <v>0</v>
      </c>
      <c r="F148" s="268">
        <v>0</v>
      </c>
      <c r="G148" s="268">
        <v>0</v>
      </c>
      <c r="H148" s="268">
        <v>0</v>
      </c>
      <c r="I148" s="269">
        <v>0</v>
      </c>
      <c r="J148" s="259"/>
      <c r="K148" s="164"/>
      <c r="L148" s="164"/>
      <c r="M148" s="164"/>
      <c r="N148" s="164"/>
      <c r="O148" s="164"/>
      <c r="P148" s="164"/>
      <c r="Q148" s="164"/>
    </row>
    <row r="149" spans="1:17" ht="12" customHeight="1">
      <c r="A149" s="165"/>
      <c r="B149" s="259"/>
      <c r="C149" s="264" t="s">
        <v>170</v>
      </c>
      <c r="D149" s="267">
        <v>0</v>
      </c>
      <c r="E149" s="268">
        <v>0</v>
      </c>
      <c r="F149" s="268">
        <v>0</v>
      </c>
      <c r="G149" s="268">
        <v>0</v>
      </c>
      <c r="H149" s="268">
        <v>0</v>
      </c>
      <c r="I149" s="269">
        <v>0</v>
      </c>
      <c r="J149" s="259"/>
      <c r="K149" s="164"/>
      <c r="L149" s="164"/>
      <c r="M149" s="164"/>
      <c r="N149" s="164"/>
      <c r="O149" s="164"/>
      <c r="P149" s="164"/>
      <c r="Q149" s="164"/>
    </row>
    <row r="150" spans="1:17" ht="12" customHeight="1">
      <c r="A150" s="165"/>
      <c r="B150" s="259"/>
      <c r="C150" s="264" t="s">
        <v>171</v>
      </c>
      <c r="D150" s="267">
        <v>0</v>
      </c>
      <c r="E150" s="268">
        <v>0</v>
      </c>
      <c r="F150" s="268">
        <v>0</v>
      </c>
      <c r="G150" s="268">
        <v>0</v>
      </c>
      <c r="H150" s="268">
        <v>0</v>
      </c>
      <c r="I150" s="269">
        <v>0</v>
      </c>
      <c r="J150" s="259"/>
      <c r="K150" s="164"/>
      <c r="L150" s="164"/>
      <c r="M150" s="164"/>
      <c r="N150" s="164"/>
      <c r="O150" s="164"/>
      <c r="P150" s="164"/>
      <c r="Q150" s="164"/>
    </row>
    <row r="151" spans="1:17" ht="12" customHeight="1">
      <c r="B151" s="259"/>
      <c r="C151" s="264" t="s">
        <v>173</v>
      </c>
      <c r="D151" s="267">
        <v>0</v>
      </c>
      <c r="E151" s="268">
        <v>0</v>
      </c>
      <c r="F151" s="268">
        <v>0</v>
      </c>
      <c r="G151" s="268">
        <v>0</v>
      </c>
      <c r="H151" s="268">
        <v>0</v>
      </c>
      <c r="I151" s="269">
        <v>0</v>
      </c>
      <c r="J151" s="259"/>
      <c r="K151" s="164"/>
      <c r="L151" s="164"/>
      <c r="M151" s="164"/>
      <c r="N151" s="164"/>
      <c r="O151" s="164"/>
      <c r="P151" s="164"/>
      <c r="Q151" s="164"/>
    </row>
    <row r="152" spans="1:17" ht="12" customHeight="1">
      <c r="A152" s="165"/>
      <c r="B152" s="259"/>
      <c r="C152" s="264" t="s">
        <v>174</v>
      </c>
      <c r="D152" s="267">
        <v>0</v>
      </c>
      <c r="E152" s="268">
        <v>0</v>
      </c>
      <c r="F152" s="268">
        <v>0</v>
      </c>
      <c r="G152" s="268">
        <v>0</v>
      </c>
      <c r="H152" s="268">
        <v>0</v>
      </c>
      <c r="I152" s="269">
        <v>0</v>
      </c>
      <c r="J152" s="259"/>
      <c r="K152" s="164"/>
      <c r="L152" s="164"/>
      <c r="M152" s="164"/>
      <c r="N152" s="164"/>
      <c r="O152" s="164"/>
      <c r="P152" s="164"/>
      <c r="Q152" s="164"/>
    </row>
    <row r="153" spans="1:17" ht="12" customHeight="1">
      <c r="A153" s="165"/>
      <c r="B153" s="259"/>
      <c r="C153" s="264"/>
      <c r="D153" s="264"/>
      <c r="E153" s="273"/>
      <c r="F153" s="273"/>
      <c r="G153" s="273"/>
      <c r="H153" s="273"/>
      <c r="I153" s="274"/>
      <c r="J153" s="259"/>
      <c r="K153" s="164"/>
      <c r="L153" s="164"/>
      <c r="M153" s="164"/>
      <c r="N153" s="164"/>
      <c r="O153" s="164"/>
      <c r="P153" s="164"/>
      <c r="Q153" s="164"/>
    </row>
    <row r="154" spans="1:17" ht="12" customHeight="1">
      <c r="A154" s="165"/>
      <c r="B154" s="259"/>
      <c r="C154" s="275" t="s">
        <v>191</v>
      </c>
      <c r="D154" s="261"/>
      <c r="E154" s="265"/>
      <c r="F154" s="265"/>
      <c r="G154" s="265"/>
      <c r="H154" s="265"/>
      <c r="I154" s="266"/>
      <c r="J154" s="259"/>
      <c r="K154" s="164"/>
      <c r="L154" s="164"/>
      <c r="M154" s="164"/>
      <c r="N154" s="164"/>
      <c r="O154" s="164"/>
      <c r="P154" s="164"/>
      <c r="Q154" s="164"/>
    </row>
    <row r="155" spans="1:17" ht="12" customHeight="1">
      <c r="A155" s="165"/>
      <c r="B155" s="259"/>
      <c r="C155" s="264" t="s">
        <v>159</v>
      </c>
      <c r="D155" s="267">
        <v>0</v>
      </c>
      <c r="E155" s="268">
        <v>0</v>
      </c>
      <c r="F155" s="268">
        <v>0</v>
      </c>
      <c r="G155" s="268">
        <v>0</v>
      </c>
      <c r="H155" s="268">
        <v>0</v>
      </c>
      <c r="I155" s="269">
        <v>0</v>
      </c>
      <c r="J155" s="259"/>
      <c r="K155" s="164"/>
      <c r="L155" s="164"/>
      <c r="M155" s="164"/>
      <c r="N155" s="164"/>
      <c r="O155" s="164"/>
      <c r="P155" s="164"/>
      <c r="Q155" s="164"/>
    </row>
    <row r="156" spans="1:17" ht="12" customHeight="1">
      <c r="A156" s="165"/>
      <c r="B156" s="259"/>
      <c r="C156" s="264" t="s">
        <v>160</v>
      </c>
      <c r="D156" s="267">
        <v>0</v>
      </c>
      <c r="E156" s="268">
        <v>0</v>
      </c>
      <c r="F156" s="268">
        <v>0</v>
      </c>
      <c r="G156" s="268">
        <v>0</v>
      </c>
      <c r="H156" s="268">
        <v>7.4999999999999997E-3</v>
      </c>
      <c r="I156" s="269">
        <v>0</v>
      </c>
      <c r="J156" s="259"/>
      <c r="K156" s="164"/>
      <c r="L156" s="164"/>
      <c r="M156" s="164"/>
      <c r="N156" s="164"/>
      <c r="O156" s="164"/>
      <c r="P156" s="164"/>
      <c r="Q156" s="164"/>
    </row>
    <row r="157" spans="1:17" ht="12" customHeight="1">
      <c r="A157" s="165"/>
      <c r="B157" s="259"/>
      <c r="C157" s="264" t="s">
        <v>161</v>
      </c>
      <c r="D157" s="267">
        <v>0</v>
      </c>
      <c r="E157" s="268">
        <v>0</v>
      </c>
      <c r="F157" s="268">
        <v>0</v>
      </c>
      <c r="G157" s="268">
        <v>0</v>
      </c>
      <c r="H157" s="268">
        <v>0</v>
      </c>
      <c r="I157" s="269">
        <v>0</v>
      </c>
      <c r="J157" s="259"/>
      <c r="K157" s="164"/>
      <c r="L157" s="164"/>
      <c r="M157" s="164"/>
      <c r="N157" s="164"/>
      <c r="O157" s="164"/>
      <c r="P157" s="164"/>
      <c r="Q157" s="164"/>
    </row>
    <row r="158" spans="1:17" ht="12" customHeight="1">
      <c r="A158" s="165"/>
      <c r="B158" s="259"/>
      <c r="C158" s="264" t="s">
        <v>163</v>
      </c>
      <c r="D158" s="267">
        <v>0</v>
      </c>
      <c r="E158" s="268">
        <v>0</v>
      </c>
      <c r="F158" s="268">
        <v>0.25</v>
      </c>
      <c r="G158" s="268">
        <v>0.25</v>
      </c>
      <c r="H158" s="268">
        <v>0.10368749999999999</v>
      </c>
      <c r="I158" s="269">
        <v>0</v>
      </c>
      <c r="J158" s="259"/>
      <c r="K158" s="164"/>
      <c r="L158" s="164"/>
      <c r="M158" s="164"/>
      <c r="N158" s="164"/>
      <c r="O158" s="164"/>
      <c r="P158" s="164"/>
      <c r="Q158" s="164"/>
    </row>
    <row r="159" spans="1:17" ht="12" customHeight="1">
      <c r="A159" s="165"/>
      <c r="B159" s="259"/>
      <c r="C159" s="264" t="s">
        <v>164</v>
      </c>
      <c r="D159" s="267">
        <v>0.25</v>
      </c>
      <c r="E159" s="268">
        <v>0</v>
      </c>
      <c r="F159" s="268">
        <v>0</v>
      </c>
      <c r="G159" s="268">
        <v>0.25</v>
      </c>
      <c r="H159" s="268">
        <v>1.4812500000000003E-2</v>
      </c>
      <c r="I159" s="269">
        <v>0</v>
      </c>
      <c r="J159" s="259"/>
      <c r="K159" s="164"/>
      <c r="L159" s="164"/>
      <c r="M159" s="164"/>
      <c r="N159" s="164"/>
      <c r="O159" s="164"/>
      <c r="P159" s="164"/>
      <c r="Q159" s="164"/>
    </row>
    <row r="160" spans="1:17" ht="12" customHeight="1">
      <c r="A160" s="165"/>
      <c r="B160" s="259"/>
      <c r="C160" s="264" t="s">
        <v>165</v>
      </c>
      <c r="D160" s="267">
        <v>0.75</v>
      </c>
      <c r="E160" s="268">
        <v>1</v>
      </c>
      <c r="F160" s="268">
        <v>0.75</v>
      </c>
      <c r="G160" s="268">
        <v>0.5</v>
      </c>
      <c r="H160" s="268">
        <v>0.17774999999999999</v>
      </c>
      <c r="I160" s="269">
        <v>0</v>
      </c>
      <c r="J160" s="259"/>
      <c r="K160" s="164"/>
      <c r="L160" s="164"/>
      <c r="M160" s="164"/>
      <c r="N160" s="164"/>
      <c r="O160" s="164"/>
      <c r="P160" s="164"/>
      <c r="Q160" s="164"/>
    </row>
    <row r="161" spans="1:17" ht="12" customHeight="1">
      <c r="A161" s="165"/>
      <c r="B161" s="259"/>
      <c r="C161" s="264" t="s">
        <v>167</v>
      </c>
      <c r="D161" s="267">
        <v>0</v>
      </c>
      <c r="E161" s="268">
        <v>0</v>
      </c>
      <c r="F161" s="268">
        <v>0</v>
      </c>
      <c r="G161" s="268">
        <v>0</v>
      </c>
      <c r="H161" s="268">
        <v>0.69625000000000004</v>
      </c>
      <c r="I161" s="269">
        <v>0</v>
      </c>
      <c r="J161" s="259"/>
      <c r="K161" s="164"/>
      <c r="L161" s="164"/>
      <c r="M161" s="164"/>
      <c r="N161" s="164"/>
      <c r="O161" s="164"/>
      <c r="P161" s="164"/>
      <c r="Q161" s="164"/>
    </row>
    <row r="162" spans="1:17" ht="12" customHeight="1">
      <c r="A162" s="165"/>
      <c r="B162" s="259"/>
      <c r="C162" s="264" t="s">
        <v>169</v>
      </c>
      <c r="D162" s="267">
        <v>0</v>
      </c>
      <c r="E162" s="268">
        <v>0</v>
      </c>
      <c r="F162" s="268">
        <v>0</v>
      </c>
      <c r="G162" s="268">
        <v>0</v>
      </c>
      <c r="H162" s="268">
        <v>0</v>
      </c>
      <c r="I162" s="269">
        <v>0</v>
      </c>
      <c r="J162" s="259"/>
      <c r="K162" s="164"/>
      <c r="L162" s="164"/>
      <c r="M162" s="164"/>
      <c r="N162" s="164"/>
      <c r="O162" s="164"/>
      <c r="P162" s="164"/>
      <c r="Q162" s="164"/>
    </row>
    <row r="163" spans="1:17" ht="12" customHeight="1">
      <c r="A163" s="165"/>
      <c r="B163" s="259"/>
      <c r="C163" s="264" t="s">
        <v>170</v>
      </c>
      <c r="D163" s="267">
        <v>0</v>
      </c>
      <c r="E163" s="268">
        <v>0</v>
      </c>
      <c r="F163" s="268">
        <v>0</v>
      </c>
      <c r="G163" s="268">
        <v>0</v>
      </c>
      <c r="H163" s="268">
        <v>0</v>
      </c>
      <c r="I163" s="269">
        <v>0</v>
      </c>
      <c r="J163" s="259"/>
      <c r="K163" s="164"/>
      <c r="L163" s="164"/>
      <c r="M163" s="164"/>
      <c r="N163" s="164"/>
      <c r="O163" s="164"/>
      <c r="P163" s="164"/>
      <c r="Q163" s="164"/>
    </row>
    <row r="164" spans="1:17" ht="12" customHeight="1">
      <c r="B164" s="259"/>
      <c r="C164" s="264" t="s">
        <v>171</v>
      </c>
      <c r="D164" s="267">
        <v>0</v>
      </c>
      <c r="E164" s="268">
        <v>0</v>
      </c>
      <c r="F164" s="268">
        <v>0</v>
      </c>
      <c r="G164" s="268">
        <v>0</v>
      </c>
      <c r="H164" s="268">
        <v>0</v>
      </c>
      <c r="I164" s="269">
        <v>0</v>
      </c>
      <c r="J164" s="259"/>
      <c r="K164" s="164"/>
      <c r="L164" s="164"/>
      <c r="M164" s="164"/>
      <c r="N164" s="164"/>
      <c r="O164" s="164"/>
      <c r="P164" s="164"/>
      <c r="Q164" s="164"/>
    </row>
    <row r="165" spans="1:17" ht="12" customHeight="1">
      <c r="A165" s="165"/>
      <c r="B165" s="259"/>
      <c r="C165" s="264" t="s">
        <v>173</v>
      </c>
      <c r="D165" s="267">
        <v>0</v>
      </c>
      <c r="E165" s="268">
        <v>0</v>
      </c>
      <c r="F165" s="268">
        <v>0</v>
      </c>
      <c r="G165" s="268">
        <v>0</v>
      </c>
      <c r="H165" s="268">
        <v>0</v>
      </c>
      <c r="I165" s="269">
        <v>0</v>
      </c>
      <c r="J165" s="259"/>
      <c r="K165" s="164"/>
      <c r="L165" s="164"/>
      <c r="M165" s="164"/>
      <c r="N165" s="164"/>
      <c r="O165" s="164"/>
      <c r="P165" s="164"/>
      <c r="Q165" s="164"/>
    </row>
    <row r="166" spans="1:17" ht="12" customHeight="1">
      <c r="A166" s="165"/>
      <c r="B166" s="259"/>
      <c r="C166" s="264" t="s">
        <v>174</v>
      </c>
      <c r="D166" s="267">
        <v>0</v>
      </c>
      <c r="E166" s="268">
        <v>0</v>
      </c>
      <c r="F166" s="268">
        <v>0</v>
      </c>
      <c r="G166" s="268">
        <v>0</v>
      </c>
      <c r="H166" s="268">
        <v>0</v>
      </c>
      <c r="I166" s="269">
        <v>0</v>
      </c>
      <c r="J166" s="259"/>
      <c r="K166" s="164"/>
      <c r="L166" s="164"/>
      <c r="M166" s="164"/>
      <c r="N166" s="164"/>
      <c r="O166" s="164"/>
      <c r="P166" s="164"/>
      <c r="Q166" s="164"/>
    </row>
    <row r="167" spans="1:17" ht="12" customHeight="1">
      <c r="A167" s="165"/>
      <c r="B167" s="259"/>
      <c r="C167" s="278"/>
      <c r="D167" s="263"/>
      <c r="E167" s="279"/>
      <c r="F167" s="279"/>
      <c r="G167" s="279"/>
      <c r="H167" s="279"/>
      <c r="I167" s="280"/>
      <c r="J167" s="259"/>
      <c r="K167" s="164"/>
      <c r="L167" s="164"/>
      <c r="M167" s="164"/>
      <c r="N167" s="164"/>
      <c r="O167" s="164"/>
      <c r="P167" s="164"/>
      <c r="Q167" s="164"/>
    </row>
    <row r="168" spans="1:17" ht="12" customHeight="1">
      <c r="A168" s="165"/>
      <c r="B168" s="259"/>
      <c r="C168" s="264" t="s">
        <v>192</v>
      </c>
      <c r="D168" s="267"/>
      <c r="E168" s="268"/>
      <c r="F168" s="268"/>
      <c r="G168" s="268"/>
      <c r="H168" s="268"/>
      <c r="I168" s="269"/>
      <c r="J168" s="259"/>
      <c r="K168" s="164"/>
      <c r="L168" s="164"/>
      <c r="M168" s="164"/>
      <c r="N168" s="164"/>
      <c r="O168" s="164"/>
      <c r="P168" s="164"/>
      <c r="Q168" s="164"/>
    </row>
    <row r="169" spans="1:17" ht="12" customHeight="1">
      <c r="A169" s="165"/>
      <c r="B169" s="259"/>
      <c r="C169" s="264" t="s">
        <v>159</v>
      </c>
      <c r="D169" s="267">
        <v>0</v>
      </c>
      <c r="E169" s="268">
        <v>0</v>
      </c>
      <c r="F169" s="268">
        <v>0</v>
      </c>
      <c r="G169" s="268">
        <v>0</v>
      </c>
      <c r="H169" s="268">
        <v>0</v>
      </c>
      <c r="I169" s="269">
        <v>0</v>
      </c>
      <c r="J169" s="259"/>
      <c r="K169" s="164"/>
      <c r="L169" s="164"/>
      <c r="M169" s="164"/>
      <c r="N169" s="164"/>
      <c r="O169" s="164"/>
      <c r="P169" s="164"/>
      <c r="Q169" s="164"/>
    </row>
    <row r="170" spans="1:17" ht="12" customHeight="1">
      <c r="A170" s="165"/>
      <c r="B170" s="259"/>
      <c r="C170" s="264" t="s">
        <v>160</v>
      </c>
      <c r="D170" s="267">
        <v>0</v>
      </c>
      <c r="E170" s="268">
        <v>0</v>
      </c>
      <c r="F170" s="268">
        <v>0</v>
      </c>
      <c r="G170" s="268">
        <v>0</v>
      </c>
      <c r="H170" s="268">
        <v>7.4999999999999997E-3</v>
      </c>
      <c r="I170" s="269">
        <v>0</v>
      </c>
      <c r="J170" s="259"/>
      <c r="K170" s="164"/>
      <c r="L170" s="164"/>
      <c r="M170" s="164"/>
      <c r="N170" s="164"/>
      <c r="O170" s="164"/>
      <c r="P170" s="164"/>
      <c r="Q170" s="164"/>
    </row>
    <row r="171" spans="1:17" ht="12" customHeight="1">
      <c r="A171" s="165"/>
      <c r="B171" s="259"/>
      <c r="C171" s="264" t="s">
        <v>161</v>
      </c>
      <c r="D171" s="267">
        <v>0</v>
      </c>
      <c r="E171" s="268">
        <v>0</v>
      </c>
      <c r="F171" s="268">
        <v>0</v>
      </c>
      <c r="G171" s="268">
        <v>0</v>
      </c>
      <c r="H171" s="268">
        <v>0</v>
      </c>
      <c r="I171" s="269">
        <v>0</v>
      </c>
      <c r="J171" s="259"/>
      <c r="K171" s="164"/>
      <c r="L171" s="164"/>
      <c r="M171" s="164"/>
      <c r="N171" s="164"/>
      <c r="O171" s="164"/>
      <c r="P171" s="164"/>
      <c r="Q171" s="164"/>
    </row>
    <row r="172" spans="1:17" ht="12" customHeight="1">
      <c r="A172" s="165"/>
      <c r="B172" s="259"/>
      <c r="C172" s="264" t="s">
        <v>163</v>
      </c>
      <c r="D172" s="267">
        <v>0</v>
      </c>
      <c r="E172" s="268">
        <v>0</v>
      </c>
      <c r="F172" s="268">
        <v>0</v>
      </c>
      <c r="G172" s="268">
        <v>0</v>
      </c>
      <c r="H172" s="268">
        <v>0.10368749999999999</v>
      </c>
      <c r="I172" s="269">
        <v>0</v>
      </c>
      <c r="J172" s="259"/>
      <c r="K172" s="164"/>
      <c r="L172" s="164"/>
      <c r="M172" s="164"/>
      <c r="N172" s="164"/>
      <c r="O172" s="164"/>
      <c r="P172" s="164"/>
      <c r="Q172" s="164"/>
    </row>
    <row r="173" spans="1:17" ht="12" customHeight="1">
      <c r="A173" s="165"/>
      <c r="B173" s="259"/>
      <c r="C173" s="264" t="s">
        <v>164</v>
      </c>
      <c r="D173" s="267">
        <v>0</v>
      </c>
      <c r="E173" s="268">
        <v>0</v>
      </c>
      <c r="F173" s="268">
        <v>0</v>
      </c>
      <c r="G173" s="268">
        <v>0</v>
      </c>
      <c r="H173" s="268">
        <v>1.4812500000000003E-2</v>
      </c>
      <c r="I173" s="269">
        <v>0</v>
      </c>
      <c r="J173" s="259"/>
      <c r="K173" s="164"/>
      <c r="L173" s="164"/>
      <c r="M173" s="164"/>
      <c r="N173" s="164"/>
      <c r="O173" s="164"/>
      <c r="P173" s="164"/>
      <c r="Q173" s="164"/>
    </row>
    <row r="174" spans="1:17" ht="12" customHeight="1">
      <c r="A174" s="165"/>
      <c r="B174" s="259"/>
      <c r="C174" s="264" t="s">
        <v>165</v>
      </c>
      <c r="D174" s="267">
        <v>0</v>
      </c>
      <c r="E174" s="268">
        <v>0</v>
      </c>
      <c r="F174" s="268">
        <v>1</v>
      </c>
      <c r="G174" s="268">
        <v>1</v>
      </c>
      <c r="H174" s="268">
        <v>0.17774999999999999</v>
      </c>
      <c r="I174" s="269">
        <v>0</v>
      </c>
      <c r="J174" s="259"/>
      <c r="K174" s="164"/>
      <c r="L174" s="164"/>
      <c r="M174" s="164"/>
      <c r="N174" s="164"/>
      <c r="O174" s="164"/>
      <c r="P174" s="164"/>
      <c r="Q174" s="164"/>
    </row>
    <row r="175" spans="1:17" ht="12" customHeight="1">
      <c r="A175" s="165"/>
      <c r="B175" s="259"/>
      <c r="C175" s="264" t="s">
        <v>167</v>
      </c>
      <c r="D175" s="267">
        <v>0</v>
      </c>
      <c r="E175" s="268">
        <v>0</v>
      </c>
      <c r="F175" s="268">
        <v>0</v>
      </c>
      <c r="G175" s="268">
        <v>0</v>
      </c>
      <c r="H175" s="268">
        <v>0.69625000000000004</v>
      </c>
      <c r="I175" s="269">
        <v>0</v>
      </c>
      <c r="J175" s="259"/>
      <c r="K175" s="164"/>
      <c r="L175" s="164"/>
      <c r="M175" s="164"/>
      <c r="N175" s="164"/>
      <c r="O175" s="164"/>
      <c r="P175" s="164"/>
      <c r="Q175" s="164"/>
    </row>
    <row r="176" spans="1:17" ht="12" customHeight="1">
      <c r="A176" s="165"/>
      <c r="B176" s="259"/>
      <c r="C176" s="264" t="s">
        <v>169</v>
      </c>
      <c r="D176" s="267">
        <v>0</v>
      </c>
      <c r="E176" s="268">
        <v>0</v>
      </c>
      <c r="F176" s="268">
        <v>0</v>
      </c>
      <c r="G176" s="268">
        <v>0</v>
      </c>
      <c r="H176" s="268">
        <v>0</v>
      </c>
      <c r="I176" s="269">
        <v>0</v>
      </c>
      <c r="J176" s="259"/>
      <c r="K176" s="164"/>
      <c r="L176" s="164"/>
      <c r="M176" s="164"/>
      <c r="N176" s="164"/>
      <c r="O176" s="164"/>
      <c r="P176" s="164"/>
      <c r="Q176" s="164"/>
    </row>
    <row r="177" spans="1:17" ht="12" customHeight="1">
      <c r="A177" s="165"/>
      <c r="B177" s="259"/>
      <c r="C177" s="264" t="s">
        <v>170</v>
      </c>
      <c r="D177" s="267">
        <v>0</v>
      </c>
      <c r="E177" s="268">
        <v>0</v>
      </c>
      <c r="F177" s="268">
        <v>0</v>
      </c>
      <c r="G177" s="268">
        <v>0</v>
      </c>
      <c r="H177" s="268">
        <v>0</v>
      </c>
      <c r="I177" s="269">
        <v>0</v>
      </c>
      <c r="J177" s="259"/>
      <c r="K177" s="164"/>
      <c r="L177" s="164"/>
      <c r="M177" s="164"/>
      <c r="N177" s="164"/>
      <c r="O177" s="164"/>
      <c r="P177" s="164"/>
      <c r="Q177" s="164"/>
    </row>
    <row r="178" spans="1:17" ht="12" customHeight="1">
      <c r="A178" s="165"/>
      <c r="B178" s="259"/>
      <c r="C178" s="264" t="s">
        <v>171</v>
      </c>
      <c r="D178" s="267">
        <v>0</v>
      </c>
      <c r="E178" s="268">
        <v>0</v>
      </c>
      <c r="F178" s="268">
        <v>0</v>
      </c>
      <c r="G178" s="268">
        <v>0</v>
      </c>
      <c r="H178" s="268">
        <v>0</v>
      </c>
      <c r="I178" s="269">
        <v>0</v>
      </c>
      <c r="J178" s="259"/>
      <c r="K178" s="164"/>
      <c r="L178" s="164"/>
      <c r="M178" s="164"/>
      <c r="N178" s="164"/>
      <c r="O178" s="164"/>
      <c r="P178" s="164"/>
      <c r="Q178" s="164"/>
    </row>
    <row r="179" spans="1:17" ht="12" customHeight="1">
      <c r="A179" s="165"/>
      <c r="B179" s="259"/>
      <c r="C179" s="264" t="s">
        <v>173</v>
      </c>
      <c r="D179" s="267">
        <v>0</v>
      </c>
      <c r="E179" s="268">
        <v>0</v>
      </c>
      <c r="F179" s="268">
        <v>0</v>
      </c>
      <c r="G179" s="268">
        <v>0</v>
      </c>
      <c r="H179" s="268">
        <v>0</v>
      </c>
      <c r="I179" s="269">
        <v>0</v>
      </c>
      <c r="J179" s="259"/>
      <c r="K179" s="164"/>
      <c r="L179" s="164"/>
      <c r="M179" s="164"/>
      <c r="N179" s="164"/>
      <c r="O179" s="164"/>
      <c r="P179" s="164"/>
      <c r="Q179" s="164"/>
    </row>
    <row r="180" spans="1:17" ht="12" customHeight="1">
      <c r="B180" s="259"/>
      <c r="C180" s="278" t="s">
        <v>174</v>
      </c>
      <c r="D180" s="263">
        <v>0</v>
      </c>
      <c r="E180" s="279">
        <v>0</v>
      </c>
      <c r="F180" s="279">
        <v>0</v>
      </c>
      <c r="G180" s="279">
        <v>0</v>
      </c>
      <c r="H180" s="279">
        <v>0</v>
      </c>
      <c r="I180" s="280">
        <v>0</v>
      </c>
      <c r="J180" s="259"/>
      <c r="K180" s="164"/>
      <c r="L180" s="164"/>
      <c r="M180" s="164"/>
      <c r="N180" s="164"/>
      <c r="O180" s="164"/>
      <c r="P180" s="164"/>
      <c r="Q180" s="164"/>
    </row>
    <row r="181" spans="1:17" ht="12" customHeight="1">
      <c r="A181" s="165"/>
      <c r="B181" s="259"/>
      <c r="C181" s="259"/>
      <c r="D181" s="259"/>
      <c r="E181" s="259"/>
      <c r="F181" s="259"/>
      <c r="G181" s="259"/>
      <c r="H181" s="259"/>
      <c r="I181" s="259"/>
      <c r="J181" s="259"/>
      <c r="K181" s="164"/>
      <c r="L181" s="164"/>
      <c r="M181" s="164"/>
      <c r="N181" s="164"/>
      <c r="O181" s="164"/>
      <c r="P181" s="164"/>
      <c r="Q181" s="164"/>
    </row>
    <row r="183" spans="1:17" ht="12" customHeight="1">
      <c r="K183" s="167"/>
    </row>
    <row r="184" spans="1:17" ht="12" customHeight="1">
      <c r="C184" s="313" t="s">
        <v>243</v>
      </c>
      <c r="D184" s="315" t="s">
        <v>209</v>
      </c>
      <c r="E184" s="315"/>
      <c r="F184" s="315"/>
      <c r="G184" s="315"/>
      <c r="H184" s="315" t="s">
        <v>238</v>
      </c>
      <c r="I184" s="315" t="s">
        <v>181</v>
      </c>
      <c r="J184" s="315" t="s">
        <v>218</v>
      </c>
      <c r="K184" s="311" t="s">
        <v>217</v>
      </c>
    </row>
    <row r="185" spans="1:17" ht="12" customHeight="1">
      <c r="C185" s="314"/>
      <c r="D185" s="290" t="s">
        <v>211</v>
      </c>
      <c r="E185" s="290" t="s">
        <v>211</v>
      </c>
      <c r="F185" s="290" t="s">
        <v>211</v>
      </c>
      <c r="G185" s="290" t="s">
        <v>210</v>
      </c>
      <c r="H185" s="316"/>
      <c r="I185" s="316"/>
      <c r="J185" s="316"/>
      <c r="K185" s="312"/>
    </row>
    <row r="186" spans="1:17" ht="12" customHeight="1">
      <c r="C186" s="212" t="s">
        <v>159</v>
      </c>
      <c r="D186" s="291">
        <f t="shared" ref="D186:G197" si="14">D$50*D60</f>
        <v>0</v>
      </c>
      <c r="E186" s="291">
        <f t="shared" si="14"/>
        <v>0</v>
      </c>
      <c r="F186" s="291">
        <f t="shared" si="14"/>
        <v>0</v>
      </c>
      <c r="G186" s="291">
        <f t="shared" si="14"/>
        <v>0</v>
      </c>
      <c r="H186" s="291">
        <f>H$50*H60</f>
        <v>0</v>
      </c>
      <c r="I186" s="291">
        <f t="shared" ref="I186" si="15">I$50*I60</f>
        <v>0</v>
      </c>
      <c r="J186" s="204">
        <f>J60</f>
        <v>0</v>
      </c>
      <c r="K186" s="210">
        <f t="shared" ref="K186:K197" si="16">SUMPRODUCT($D$50:$I$50,D239:I239)</f>
        <v>0</v>
      </c>
    </row>
    <row r="187" spans="1:17" ht="12" customHeight="1">
      <c r="C187" s="212" t="s">
        <v>160</v>
      </c>
      <c r="D187" s="291">
        <f t="shared" si="14"/>
        <v>0</v>
      </c>
      <c r="E187" s="291">
        <f t="shared" si="14"/>
        <v>0</v>
      </c>
      <c r="F187" s="291">
        <f t="shared" si="14"/>
        <v>0</v>
      </c>
      <c r="G187" s="291">
        <f t="shared" si="14"/>
        <v>0</v>
      </c>
      <c r="H187" s="291">
        <f t="shared" ref="H187:I197" si="17">H$50*H61</f>
        <v>742.5</v>
      </c>
      <c r="I187" s="291">
        <f t="shared" si="17"/>
        <v>0</v>
      </c>
      <c r="J187" s="204">
        <f t="shared" ref="J187:J198" si="18">J61</f>
        <v>742.5</v>
      </c>
      <c r="K187" s="210">
        <f t="shared" si="16"/>
        <v>0</v>
      </c>
    </row>
    <row r="188" spans="1:17" ht="12" customHeight="1">
      <c r="C188" s="212" t="s">
        <v>161</v>
      </c>
      <c r="D188" s="291">
        <f t="shared" si="14"/>
        <v>0</v>
      </c>
      <c r="E188" s="291">
        <f t="shared" si="14"/>
        <v>0</v>
      </c>
      <c r="F188" s="291">
        <f t="shared" si="14"/>
        <v>0</v>
      </c>
      <c r="G188" s="291">
        <f t="shared" si="14"/>
        <v>0</v>
      </c>
      <c r="H188" s="291">
        <f t="shared" si="17"/>
        <v>0</v>
      </c>
      <c r="I188" s="291">
        <f t="shared" si="17"/>
        <v>184142</v>
      </c>
      <c r="J188" s="204">
        <f t="shared" si="18"/>
        <v>184142</v>
      </c>
      <c r="K188" s="210">
        <f t="shared" si="16"/>
        <v>0</v>
      </c>
    </row>
    <row r="189" spans="1:17" ht="12" customHeight="1">
      <c r="C189" s="212" t="s">
        <v>163</v>
      </c>
      <c r="D189" s="291">
        <f t="shared" si="14"/>
        <v>0</v>
      </c>
      <c r="E189" s="291">
        <f t="shared" si="14"/>
        <v>0</v>
      </c>
      <c r="F189" s="291">
        <f t="shared" si="14"/>
        <v>3378.7864500000001</v>
      </c>
      <c r="G189" s="291">
        <f t="shared" si="14"/>
        <v>296.79301249999997</v>
      </c>
      <c r="H189" s="291">
        <f t="shared" si="17"/>
        <v>10265.062499999998</v>
      </c>
      <c r="I189" s="291">
        <f t="shared" si="17"/>
        <v>0</v>
      </c>
      <c r="J189" s="204">
        <f t="shared" si="18"/>
        <v>13940.641962499998</v>
      </c>
      <c r="K189" s="210">
        <f t="shared" si="16"/>
        <v>0</v>
      </c>
    </row>
    <row r="190" spans="1:17" ht="12" customHeight="1">
      <c r="C190" s="212" t="s">
        <v>164</v>
      </c>
      <c r="D190" s="291">
        <f t="shared" si="14"/>
        <v>2484.4190399999998</v>
      </c>
      <c r="E190" s="291">
        <f t="shared" si="14"/>
        <v>0</v>
      </c>
      <c r="F190" s="291">
        <f t="shared" si="14"/>
        <v>0</v>
      </c>
      <c r="G190" s="291">
        <f t="shared" si="14"/>
        <v>296.79301249999997</v>
      </c>
      <c r="H190" s="291">
        <f t="shared" si="17"/>
        <v>1466.4375000000002</v>
      </c>
      <c r="I190" s="291">
        <f t="shared" si="17"/>
        <v>0</v>
      </c>
      <c r="J190" s="204">
        <f t="shared" si="18"/>
        <v>4247.6495525</v>
      </c>
      <c r="K190" s="210">
        <f t="shared" si="16"/>
        <v>0</v>
      </c>
    </row>
    <row r="191" spans="1:17" ht="12" customHeight="1">
      <c r="C191" s="212" t="s">
        <v>165</v>
      </c>
      <c r="D191" s="291">
        <f t="shared" si="14"/>
        <v>7453.2571199999993</v>
      </c>
      <c r="E191" s="291">
        <f t="shared" si="14"/>
        <v>5069.5700799999995</v>
      </c>
      <c r="F191" s="291">
        <f t="shared" si="14"/>
        <v>10136.359350000001</v>
      </c>
      <c r="G191" s="291">
        <f t="shared" si="14"/>
        <v>593.58602499999995</v>
      </c>
      <c r="H191" s="291">
        <f t="shared" si="17"/>
        <v>17597.25</v>
      </c>
      <c r="I191" s="291">
        <f t="shared" si="17"/>
        <v>0</v>
      </c>
      <c r="J191" s="204">
        <f t="shared" si="18"/>
        <v>40850.022574999995</v>
      </c>
      <c r="K191" s="210">
        <f t="shared" si="16"/>
        <v>0</v>
      </c>
    </row>
    <row r="192" spans="1:17" ht="12" customHeight="1">
      <c r="C192" s="212" t="s">
        <v>167</v>
      </c>
      <c r="D192" s="291">
        <f t="shared" si="14"/>
        <v>0</v>
      </c>
      <c r="E192" s="291">
        <f t="shared" si="14"/>
        <v>0</v>
      </c>
      <c r="F192" s="291">
        <f t="shared" si="14"/>
        <v>0</v>
      </c>
      <c r="G192" s="291">
        <f t="shared" si="14"/>
        <v>0</v>
      </c>
      <c r="H192" s="291">
        <f t="shared" si="17"/>
        <v>68928.75</v>
      </c>
      <c r="I192" s="291">
        <f t="shared" si="17"/>
        <v>0</v>
      </c>
      <c r="J192" s="204">
        <f t="shared" si="18"/>
        <v>68928.75</v>
      </c>
      <c r="K192" s="210">
        <f t="shared" si="16"/>
        <v>0</v>
      </c>
    </row>
    <row r="193" spans="3:11" ht="12" customHeight="1">
      <c r="C193" s="212" t="s">
        <v>169</v>
      </c>
      <c r="D193" s="291">
        <f t="shared" si="14"/>
        <v>0</v>
      </c>
      <c r="E193" s="291">
        <f t="shared" si="14"/>
        <v>0</v>
      </c>
      <c r="F193" s="291">
        <f t="shared" si="14"/>
        <v>0</v>
      </c>
      <c r="G193" s="291">
        <f t="shared" si="14"/>
        <v>0</v>
      </c>
      <c r="H193" s="291">
        <f t="shared" si="17"/>
        <v>0</v>
      </c>
      <c r="I193" s="291">
        <f t="shared" si="17"/>
        <v>0</v>
      </c>
      <c r="J193" s="204">
        <f t="shared" si="18"/>
        <v>0</v>
      </c>
      <c r="K193" s="210">
        <f t="shared" si="16"/>
        <v>0</v>
      </c>
    </row>
    <row r="194" spans="3:11" ht="12" customHeight="1">
      <c r="C194" s="212" t="s">
        <v>170</v>
      </c>
      <c r="D194" s="291">
        <f t="shared" si="14"/>
        <v>0</v>
      </c>
      <c r="E194" s="291">
        <f t="shared" si="14"/>
        <v>0</v>
      </c>
      <c r="F194" s="291">
        <f t="shared" si="14"/>
        <v>0</v>
      </c>
      <c r="G194" s="291">
        <f t="shared" si="14"/>
        <v>0</v>
      </c>
      <c r="H194" s="291">
        <f t="shared" si="17"/>
        <v>0</v>
      </c>
      <c r="I194" s="291">
        <f t="shared" si="17"/>
        <v>0</v>
      </c>
      <c r="J194" s="204">
        <f t="shared" si="18"/>
        <v>0</v>
      </c>
      <c r="K194" s="210">
        <f t="shared" si="16"/>
        <v>0</v>
      </c>
    </row>
    <row r="195" spans="3:11" ht="12" customHeight="1">
      <c r="C195" s="212" t="s">
        <v>171</v>
      </c>
      <c r="D195" s="291">
        <f t="shared" si="14"/>
        <v>0</v>
      </c>
      <c r="E195" s="291">
        <f t="shared" si="14"/>
        <v>0</v>
      </c>
      <c r="F195" s="291">
        <f t="shared" si="14"/>
        <v>0</v>
      </c>
      <c r="G195" s="291">
        <f t="shared" si="14"/>
        <v>0</v>
      </c>
      <c r="H195" s="291">
        <f t="shared" si="17"/>
        <v>0</v>
      </c>
      <c r="I195" s="291">
        <f t="shared" si="17"/>
        <v>0</v>
      </c>
      <c r="J195" s="204">
        <f t="shared" si="18"/>
        <v>0</v>
      </c>
      <c r="K195" s="210">
        <f t="shared" si="16"/>
        <v>0</v>
      </c>
    </row>
    <row r="196" spans="3:11" ht="12" customHeight="1">
      <c r="C196" s="212" t="s">
        <v>173</v>
      </c>
      <c r="D196" s="291">
        <f t="shared" si="14"/>
        <v>0</v>
      </c>
      <c r="E196" s="291">
        <f t="shared" si="14"/>
        <v>0</v>
      </c>
      <c r="F196" s="291">
        <f t="shared" si="14"/>
        <v>0</v>
      </c>
      <c r="G196" s="291">
        <f t="shared" si="14"/>
        <v>0</v>
      </c>
      <c r="H196" s="291">
        <f t="shared" si="17"/>
        <v>0</v>
      </c>
      <c r="I196" s="291">
        <f t="shared" si="17"/>
        <v>0</v>
      </c>
      <c r="J196" s="204">
        <f t="shared" si="18"/>
        <v>0</v>
      </c>
      <c r="K196" s="210">
        <f t="shared" si="16"/>
        <v>0</v>
      </c>
    </row>
    <row r="197" spans="3:11" ht="12" customHeight="1">
      <c r="C197" s="212" t="s">
        <v>174</v>
      </c>
      <c r="D197" s="291">
        <f t="shared" si="14"/>
        <v>0</v>
      </c>
      <c r="E197" s="291">
        <f t="shared" si="14"/>
        <v>0</v>
      </c>
      <c r="F197" s="291">
        <f t="shared" si="14"/>
        <v>0</v>
      </c>
      <c r="G197" s="291">
        <f t="shared" si="14"/>
        <v>0</v>
      </c>
      <c r="H197" s="291">
        <f t="shared" si="17"/>
        <v>0</v>
      </c>
      <c r="I197" s="291">
        <f t="shared" si="17"/>
        <v>0</v>
      </c>
      <c r="J197" s="204">
        <f t="shared" si="18"/>
        <v>0</v>
      </c>
      <c r="K197" s="210">
        <f t="shared" si="16"/>
        <v>0</v>
      </c>
    </row>
    <row r="198" spans="3:11" ht="12" customHeight="1">
      <c r="C198" s="174" t="s">
        <v>109</v>
      </c>
      <c r="D198" s="291">
        <f>SUM(D186:D197)</f>
        <v>9937.6761599999991</v>
      </c>
      <c r="E198" s="291">
        <f t="shared" ref="E198:I198" si="19">SUM(E186:E197)</f>
        <v>5069.5700799999995</v>
      </c>
      <c r="F198" s="291">
        <f t="shared" si="19"/>
        <v>13515.1458</v>
      </c>
      <c r="G198" s="291">
        <f t="shared" si="19"/>
        <v>1187.1720499999999</v>
      </c>
      <c r="H198" s="291">
        <f t="shared" si="19"/>
        <v>99000</v>
      </c>
      <c r="I198" s="291">
        <f t="shared" si="19"/>
        <v>184142</v>
      </c>
      <c r="J198" s="204">
        <f t="shared" si="18"/>
        <v>312851.56409</v>
      </c>
      <c r="K198" s="214">
        <f>SUM(K186:K197)</f>
        <v>0</v>
      </c>
    </row>
    <row r="200" spans="3:11" ht="12" customHeight="1">
      <c r="C200" s="160" t="s">
        <v>250</v>
      </c>
      <c r="D200" s="167">
        <f>D191/$J191</f>
        <v>0.18245417383346452</v>
      </c>
      <c r="E200" s="167">
        <f t="shared" ref="E200:I200" si="20">E191/$J191</f>
        <v>0.12410201415904604</v>
      </c>
      <c r="F200" s="167">
        <f t="shared" si="20"/>
        <v>0.24813595467150124</v>
      </c>
      <c r="G200" s="167">
        <f t="shared" si="20"/>
        <v>1.4530861614829842E-2</v>
      </c>
      <c r="H200" s="167">
        <f t="shared" si="20"/>
        <v>0.43077699572115846</v>
      </c>
      <c r="I200" s="167">
        <f t="shared" si="20"/>
        <v>0</v>
      </c>
    </row>
  </sheetData>
  <mergeCells count="29">
    <mergeCell ref="E6:F6"/>
    <mergeCell ref="C15:C16"/>
    <mergeCell ref="C18:C19"/>
    <mergeCell ref="C25:C26"/>
    <mergeCell ref="C28:C30"/>
    <mergeCell ref="C8:C9"/>
    <mergeCell ref="C11:C13"/>
    <mergeCell ref="I41:I42"/>
    <mergeCell ref="C41:C42"/>
    <mergeCell ref="C21:H22"/>
    <mergeCell ref="B76:K106"/>
    <mergeCell ref="D110:F110"/>
    <mergeCell ref="I58:I59"/>
    <mergeCell ref="K58:K59"/>
    <mergeCell ref="J58:J59"/>
    <mergeCell ref="D58:G58"/>
    <mergeCell ref="H58:H59"/>
    <mergeCell ref="C58:C59"/>
    <mergeCell ref="C32:C33"/>
    <mergeCell ref="C35:C36"/>
    <mergeCell ref="C38:H39"/>
    <mergeCell ref="D41:G41"/>
    <mergeCell ref="H41:H42"/>
    <mergeCell ref="K184:K185"/>
    <mergeCell ref="C184:C185"/>
    <mergeCell ref="D184:G184"/>
    <mergeCell ref="H184:H185"/>
    <mergeCell ref="I184:I185"/>
    <mergeCell ref="J184:J185"/>
  </mergeCells>
  <conditionalFormatting sqref="D60:I72">
    <cfRule type="cellIs" dxfId="352" priority="17" operator="equal">
      <formula>0</formula>
    </cfRule>
  </conditionalFormatting>
  <conditionalFormatting sqref="D56">
    <cfRule type="notContainsBlanks" dxfId="351" priority="16" stopIfTrue="1">
      <formula>LEN(TRIM(D56))&gt;0</formula>
    </cfRule>
  </conditionalFormatting>
  <conditionalFormatting sqref="E8:H20">
    <cfRule type="notContainsBlanks" dxfId="350" priority="15" stopIfTrue="1">
      <formula>LEN(TRIM(E8))&gt;0</formula>
    </cfRule>
  </conditionalFormatting>
  <conditionalFormatting sqref="G25:G37">
    <cfRule type="notContainsBlanks" dxfId="349" priority="14" stopIfTrue="1">
      <formula>LEN(TRIM(G25))&gt;0</formula>
    </cfRule>
  </conditionalFormatting>
  <conditionalFormatting sqref="F25:F37">
    <cfRule type="notContainsBlanks" dxfId="348" priority="13" stopIfTrue="1">
      <formula>LEN(TRIM(F25))&gt;0</formula>
    </cfRule>
  </conditionalFormatting>
  <conditionalFormatting sqref="D45:I45">
    <cfRule type="notContainsBlanks" dxfId="347" priority="12" stopIfTrue="1">
      <formula>LEN(TRIM(D45))&gt;0</formula>
    </cfRule>
  </conditionalFormatting>
  <conditionalFormatting sqref="D50:I50">
    <cfRule type="notContainsBlanks" dxfId="346" priority="11" stopIfTrue="1">
      <formula>LEN(TRIM(D50))&gt;0</formula>
    </cfRule>
  </conditionalFormatting>
  <conditionalFormatting sqref="D51:I53">
    <cfRule type="notContainsBlanks" dxfId="345" priority="10" stopIfTrue="1">
      <formula>LEN(TRIM(D51))&gt;0</formula>
    </cfRule>
  </conditionalFormatting>
  <conditionalFormatting sqref="D54:I54">
    <cfRule type="notContainsBlanks" dxfId="344" priority="9" stopIfTrue="1">
      <formula>LEN(TRIM(D54))&gt;0</formula>
    </cfRule>
  </conditionalFormatting>
  <conditionalFormatting sqref="K60:K71">
    <cfRule type="notContainsBlanks" dxfId="343" priority="8" stopIfTrue="1">
      <formula>LEN(TRIM(K60))&gt;0</formula>
    </cfRule>
  </conditionalFormatting>
  <conditionalFormatting sqref="J60:J72">
    <cfRule type="notContainsBlanks" dxfId="342" priority="6" stopIfTrue="1">
      <formula>LEN(TRIM(J60))&gt;0</formula>
    </cfRule>
  </conditionalFormatting>
  <conditionalFormatting sqref="K72">
    <cfRule type="notContainsBlanks" dxfId="341" priority="5" stopIfTrue="1">
      <formula>LEN(TRIM(K72))&gt;0</formula>
    </cfRule>
  </conditionalFormatting>
  <conditionalFormatting sqref="D186:I198">
    <cfRule type="cellIs" dxfId="340" priority="4" operator="equal">
      <formula>0</formula>
    </cfRule>
  </conditionalFormatting>
  <conditionalFormatting sqref="K186:K197">
    <cfRule type="notContainsBlanks" dxfId="339" priority="3" stopIfTrue="1">
      <formula>LEN(TRIM(K186))&gt;0</formula>
    </cfRule>
  </conditionalFormatting>
  <conditionalFormatting sqref="J186:J198">
    <cfRule type="notContainsBlanks" dxfId="338" priority="2" stopIfTrue="1">
      <formula>LEN(TRIM(J186))&gt;0</formula>
    </cfRule>
  </conditionalFormatting>
  <conditionalFormatting sqref="K198">
    <cfRule type="notContainsBlanks" dxfId="337" priority="1" stopIfTrue="1">
      <formula>LEN(TRIM(K198))&gt;0</formula>
    </cfRule>
  </conditionalFormatting>
  <dataValidations count="1">
    <dataValidation type="list" allowBlank="1" showInputMessage="1" showErrorMessage="1" sqref="D56">
      <formula1>$B$46:$B$50</formula1>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B1:AL28"/>
  <sheetViews>
    <sheetView zoomScale="85" zoomScaleNormal="85" zoomScalePageLayoutView="85" workbookViewId="0">
      <selection activeCell="B1" sqref="B1"/>
    </sheetView>
  </sheetViews>
  <sheetFormatPr defaultColWidth="8.77734375" defaultRowHeight="14.4"/>
  <cols>
    <col min="1" max="1" width="8.77734375" style="9"/>
    <col min="2" max="2" width="9.44140625" style="9" bestFit="1" customWidth="1"/>
    <col min="3" max="3" width="18" style="9" bestFit="1" customWidth="1"/>
    <col min="4" max="37" width="5.77734375" style="9" bestFit="1" customWidth="1"/>
    <col min="38" max="38" width="5.109375" style="9" customWidth="1"/>
    <col min="39" max="16384" width="8.77734375" style="9"/>
  </cols>
  <sheetData>
    <row r="1" spans="2:38" s="134" customFormat="1" ht="15">
      <c r="B1" s="135" t="s">
        <v>140</v>
      </c>
    </row>
    <row r="3" spans="2:38" ht="15">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2:38" ht="15">
      <c r="B4" s="10"/>
      <c r="C4" s="22" t="str">
        <f>"Price Index [" &amp; sPIdx &amp; "]"</f>
        <v>Price Index [Constant]</v>
      </c>
      <c r="D4" s="24">
        <f t="array" ref="D4:AK4">_yS</f>
        <v>2019</v>
      </c>
      <c r="E4" s="24">
        <v>2020</v>
      </c>
      <c r="F4" s="24">
        <v>2021</v>
      </c>
      <c r="G4" s="24">
        <v>2022</v>
      </c>
      <c r="H4" s="24">
        <v>2023</v>
      </c>
      <c r="I4" s="24">
        <v>2024</v>
      </c>
      <c r="J4" s="24">
        <v>2025</v>
      </c>
      <c r="K4" s="24">
        <v>2026</v>
      </c>
      <c r="L4" s="24">
        <v>2027</v>
      </c>
      <c r="M4" s="24">
        <v>2028</v>
      </c>
      <c r="N4" s="24">
        <v>2029</v>
      </c>
      <c r="O4" s="24">
        <v>2030</v>
      </c>
      <c r="P4" s="24">
        <v>2031</v>
      </c>
      <c r="Q4" s="24">
        <v>2032</v>
      </c>
      <c r="R4" s="24">
        <v>2033</v>
      </c>
      <c r="S4" s="24">
        <v>2034</v>
      </c>
      <c r="T4" s="24">
        <v>2035</v>
      </c>
      <c r="U4" s="24">
        <v>2036</v>
      </c>
      <c r="V4" s="24">
        <v>2037</v>
      </c>
      <c r="W4" s="24">
        <v>2038</v>
      </c>
      <c r="X4" s="24">
        <v>2039</v>
      </c>
      <c r="Y4" s="24">
        <v>2040</v>
      </c>
      <c r="Z4" s="24">
        <v>2041</v>
      </c>
      <c r="AA4" s="24">
        <v>2042</v>
      </c>
      <c r="AB4" s="24">
        <v>2043</v>
      </c>
      <c r="AC4" s="24">
        <v>2044</v>
      </c>
      <c r="AD4" s="24">
        <v>2045</v>
      </c>
      <c r="AE4" s="24">
        <v>2046</v>
      </c>
      <c r="AF4" s="24">
        <v>2047</v>
      </c>
      <c r="AG4" s="24">
        <v>2048</v>
      </c>
      <c r="AH4" s="24">
        <v>2049</v>
      </c>
      <c r="AI4" s="24">
        <v>2050</v>
      </c>
      <c r="AJ4" s="24">
        <v>2051</v>
      </c>
      <c r="AK4" s="25">
        <v>2052</v>
      </c>
      <c r="AL4" s="10"/>
    </row>
    <row r="5" spans="2:38" ht="15">
      <c r="B5" s="10"/>
      <c r="C5" s="21" t="s">
        <v>132</v>
      </c>
      <c r="D5" s="19">
        <f t="array" ref="D5:AK5">CHOOSE(iPIdx,tPIdxAll1,tPIdxAll2,tPIdxAll3)</f>
        <v>1</v>
      </c>
      <c r="E5" s="19">
        <v>1</v>
      </c>
      <c r="F5" s="19">
        <v>1</v>
      </c>
      <c r="G5" s="19">
        <v>1</v>
      </c>
      <c r="H5" s="19">
        <v>1</v>
      </c>
      <c r="I5" s="19">
        <v>1</v>
      </c>
      <c r="J5" s="19">
        <v>1</v>
      </c>
      <c r="K5" s="19">
        <v>1</v>
      </c>
      <c r="L5" s="19">
        <v>1</v>
      </c>
      <c r="M5" s="19">
        <v>1</v>
      </c>
      <c r="N5" s="19">
        <v>1</v>
      </c>
      <c r="O5" s="19">
        <v>1</v>
      </c>
      <c r="P5" s="19">
        <v>1</v>
      </c>
      <c r="Q5" s="19">
        <v>1</v>
      </c>
      <c r="R5" s="19">
        <v>1</v>
      </c>
      <c r="S5" s="19">
        <v>1</v>
      </c>
      <c r="T5" s="19">
        <v>1</v>
      </c>
      <c r="U5" s="19">
        <v>1</v>
      </c>
      <c r="V5" s="19">
        <v>1</v>
      </c>
      <c r="W5" s="19">
        <v>1</v>
      </c>
      <c r="X5" s="19">
        <v>1</v>
      </c>
      <c r="Y5" s="19">
        <v>1</v>
      </c>
      <c r="Z5" s="19">
        <v>1</v>
      </c>
      <c r="AA5" s="19">
        <v>1</v>
      </c>
      <c r="AB5" s="19">
        <v>1</v>
      </c>
      <c r="AC5" s="19">
        <v>1</v>
      </c>
      <c r="AD5" s="19">
        <v>1</v>
      </c>
      <c r="AE5" s="19">
        <v>1</v>
      </c>
      <c r="AF5" s="19">
        <v>1</v>
      </c>
      <c r="AG5" s="19">
        <v>1</v>
      </c>
      <c r="AH5" s="19">
        <v>1</v>
      </c>
      <c r="AI5" s="19">
        <v>1</v>
      </c>
      <c r="AJ5" s="19">
        <v>1</v>
      </c>
      <c r="AK5" s="20">
        <v>1</v>
      </c>
      <c r="AL5" s="10"/>
    </row>
    <row r="6" spans="2:38" ht="15">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row>
    <row r="7" spans="2:38" ht="15">
      <c r="B7" s="10"/>
      <c r="C7" s="22" t="str">
        <f>"Price Index: " &amp; INDEX(_PIdx,1)</f>
        <v>Price Index: Constant</v>
      </c>
      <c r="D7" s="24">
        <f t="array" ref="D7:AK7">_yS</f>
        <v>2019</v>
      </c>
      <c r="E7" s="24">
        <v>2020</v>
      </c>
      <c r="F7" s="24">
        <v>2021</v>
      </c>
      <c r="G7" s="24">
        <v>2022</v>
      </c>
      <c r="H7" s="24">
        <v>2023</v>
      </c>
      <c r="I7" s="24">
        <v>2024</v>
      </c>
      <c r="J7" s="24">
        <v>2025</v>
      </c>
      <c r="K7" s="24">
        <v>2026</v>
      </c>
      <c r="L7" s="24">
        <v>2027</v>
      </c>
      <c r="M7" s="24">
        <v>2028</v>
      </c>
      <c r="N7" s="24">
        <v>2029</v>
      </c>
      <c r="O7" s="24">
        <v>2030</v>
      </c>
      <c r="P7" s="24">
        <v>2031</v>
      </c>
      <c r="Q7" s="24">
        <v>2032</v>
      </c>
      <c r="R7" s="24">
        <v>2033</v>
      </c>
      <c r="S7" s="24">
        <v>2034</v>
      </c>
      <c r="T7" s="24">
        <v>2035</v>
      </c>
      <c r="U7" s="24">
        <v>2036</v>
      </c>
      <c r="V7" s="24">
        <v>2037</v>
      </c>
      <c r="W7" s="24">
        <v>2038</v>
      </c>
      <c r="X7" s="24">
        <v>2039</v>
      </c>
      <c r="Y7" s="24">
        <v>2040</v>
      </c>
      <c r="Z7" s="24">
        <v>2041</v>
      </c>
      <c r="AA7" s="24">
        <v>2042</v>
      </c>
      <c r="AB7" s="24">
        <v>2043</v>
      </c>
      <c r="AC7" s="24">
        <v>2044</v>
      </c>
      <c r="AD7" s="24">
        <v>2045</v>
      </c>
      <c r="AE7" s="24">
        <v>2046</v>
      </c>
      <c r="AF7" s="24">
        <v>2047</v>
      </c>
      <c r="AG7" s="24">
        <v>2048</v>
      </c>
      <c r="AH7" s="24">
        <v>2049</v>
      </c>
      <c r="AI7" s="24">
        <v>2050</v>
      </c>
      <c r="AJ7" s="24">
        <v>2051</v>
      </c>
      <c r="AK7" s="25">
        <v>2052</v>
      </c>
      <c r="AL7" s="10"/>
    </row>
    <row r="8" spans="2:38" ht="15">
      <c r="B8" s="10"/>
      <c r="C8" s="21" t="s">
        <v>132</v>
      </c>
      <c r="D8" s="73">
        <v>1</v>
      </c>
      <c r="E8" s="73">
        <v>1</v>
      </c>
      <c r="F8" s="73">
        <v>1</v>
      </c>
      <c r="G8" s="73">
        <v>1</v>
      </c>
      <c r="H8" s="73">
        <v>1</v>
      </c>
      <c r="I8" s="73">
        <v>1</v>
      </c>
      <c r="J8" s="73">
        <v>1</v>
      </c>
      <c r="K8" s="73">
        <v>1</v>
      </c>
      <c r="L8" s="73">
        <v>1</v>
      </c>
      <c r="M8" s="73">
        <v>1</v>
      </c>
      <c r="N8" s="73">
        <v>1</v>
      </c>
      <c r="O8" s="73">
        <v>1</v>
      </c>
      <c r="P8" s="73">
        <v>1</v>
      </c>
      <c r="Q8" s="73">
        <v>1</v>
      </c>
      <c r="R8" s="73">
        <v>1</v>
      </c>
      <c r="S8" s="73">
        <v>1</v>
      </c>
      <c r="T8" s="73">
        <v>1</v>
      </c>
      <c r="U8" s="73">
        <v>1</v>
      </c>
      <c r="V8" s="73">
        <v>1</v>
      </c>
      <c r="W8" s="73">
        <v>1</v>
      </c>
      <c r="X8" s="73">
        <v>1</v>
      </c>
      <c r="Y8" s="73">
        <v>1</v>
      </c>
      <c r="Z8" s="73">
        <v>1</v>
      </c>
      <c r="AA8" s="73">
        <v>1</v>
      </c>
      <c r="AB8" s="73">
        <v>1</v>
      </c>
      <c r="AC8" s="73">
        <v>1</v>
      </c>
      <c r="AD8" s="73">
        <v>1</v>
      </c>
      <c r="AE8" s="73">
        <v>1</v>
      </c>
      <c r="AF8" s="73">
        <v>1</v>
      </c>
      <c r="AG8" s="73">
        <v>1</v>
      </c>
      <c r="AH8" s="73">
        <v>1</v>
      </c>
      <c r="AI8" s="73">
        <v>1</v>
      </c>
      <c r="AJ8" s="19">
        <v>1</v>
      </c>
      <c r="AK8" s="20">
        <v>1</v>
      </c>
      <c r="AL8" s="10"/>
    </row>
    <row r="9" spans="2:38" ht="15">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row>
    <row r="10" spans="2:38" ht="15">
      <c r="B10" s="10"/>
      <c r="C10" s="22" t="str">
        <f>"Price Index: " &amp; INDEX(_PIdx,2)</f>
        <v>Price Index: Decr</v>
      </c>
      <c r="D10" s="24">
        <f t="array" ref="D10:AK10">_yS</f>
        <v>2019</v>
      </c>
      <c r="E10" s="24">
        <v>2020</v>
      </c>
      <c r="F10" s="24">
        <v>2021</v>
      </c>
      <c r="G10" s="24">
        <v>2022</v>
      </c>
      <c r="H10" s="24">
        <v>2023</v>
      </c>
      <c r="I10" s="24">
        <v>2024</v>
      </c>
      <c r="J10" s="24">
        <v>2025</v>
      </c>
      <c r="K10" s="24">
        <v>2026</v>
      </c>
      <c r="L10" s="24">
        <v>2027</v>
      </c>
      <c r="M10" s="24">
        <v>2028</v>
      </c>
      <c r="N10" s="24">
        <v>2029</v>
      </c>
      <c r="O10" s="24">
        <v>2030</v>
      </c>
      <c r="P10" s="24">
        <v>2031</v>
      </c>
      <c r="Q10" s="24">
        <v>2032</v>
      </c>
      <c r="R10" s="24">
        <v>2033</v>
      </c>
      <c r="S10" s="24">
        <v>2034</v>
      </c>
      <c r="T10" s="24">
        <v>2035</v>
      </c>
      <c r="U10" s="24">
        <v>2036</v>
      </c>
      <c r="V10" s="24">
        <v>2037</v>
      </c>
      <c r="W10" s="24">
        <v>2038</v>
      </c>
      <c r="X10" s="24">
        <v>2039</v>
      </c>
      <c r="Y10" s="24">
        <v>2040</v>
      </c>
      <c r="Z10" s="24">
        <v>2041</v>
      </c>
      <c r="AA10" s="24">
        <v>2042</v>
      </c>
      <c r="AB10" s="24">
        <v>2043</v>
      </c>
      <c r="AC10" s="24">
        <v>2044</v>
      </c>
      <c r="AD10" s="24">
        <v>2045</v>
      </c>
      <c r="AE10" s="24">
        <v>2046</v>
      </c>
      <c r="AF10" s="24">
        <v>2047</v>
      </c>
      <c r="AG10" s="24">
        <v>2048</v>
      </c>
      <c r="AH10" s="24">
        <v>2049</v>
      </c>
      <c r="AI10" s="24">
        <v>2050</v>
      </c>
      <c r="AJ10" s="24">
        <v>2051</v>
      </c>
      <c r="AK10" s="25">
        <v>2052</v>
      </c>
      <c r="AL10" s="10"/>
    </row>
    <row r="11" spans="2:38" ht="15">
      <c r="B11" s="10"/>
      <c r="C11" s="21" t="s">
        <v>132</v>
      </c>
      <c r="D11" s="92">
        <v>0.98828209237377185</v>
      </c>
      <c r="E11" s="92">
        <v>0.98746885106943705</v>
      </c>
      <c r="F11" s="92">
        <v>0.9879901852486469</v>
      </c>
      <c r="G11" s="92">
        <v>0.98802785062707987</v>
      </c>
      <c r="H11" s="92">
        <v>0.98842278494817681</v>
      </c>
      <c r="I11" s="92">
        <v>0.98852975090381046</v>
      </c>
      <c r="J11" s="92">
        <v>0.9883804947577689</v>
      </c>
      <c r="K11" s="92">
        <v>0.98872397219619634</v>
      </c>
      <c r="L11" s="92">
        <v>0.98951432295764152</v>
      </c>
      <c r="M11" s="92">
        <v>0.99053478189041777</v>
      </c>
      <c r="N11" s="92">
        <v>0.99165175738333888</v>
      </c>
      <c r="O11" s="92">
        <v>0.99264902794185095</v>
      </c>
      <c r="P11" s="92">
        <v>0.99345043455669191</v>
      </c>
      <c r="Q11" s="92">
        <v>0.99419575825956419</v>
      </c>
      <c r="R11" s="92">
        <v>0.99473923634799311</v>
      </c>
      <c r="S11" s="92">
        <v>0.99511267954901261</v>
      </c>
      <c r="T11" s="92">
        <v>0.99515773314112632</v>
      </c>
      <c r="U11" s="92">
        <v>0.9948069148413845</v>
      </c>
      <c r="V11" s="92">
        <v>0.99448294566888784</v>
      </c>
      <c r="W11" s="92">
        <v>0.99402045668627248</v>
      </c>
      <c r="X11" s="92">
        <v>0.99321962171791267</v>
      </c>
      <c r="Y11" s="92">
        <v>0.99214599272233928</v>
      </c>
      <c r="Z11" s="92">
        <v>0.99219115681653391</v>
      </c>
      <c r="AA11" s="92">
        <v>0.99223632296667141</v>
      </c>
      <c r="AB11" s="92">
        <v>0.99228149117284525</v>
      </c>
      <c r="AC11" s="92">
        <v>0.99232666143514914</v>
      </c>
      <c r="AD11" s="92">
        <v>0.99237183375367655</v>
      </c>
      <c r="AE11" s="92">
        <v>0.99241700812852118</v>
      </c>
      <c r="AF11" s="92">
        <v>0.99246218455977653</v>
      </c>
      <c r="AG11" s="92">
        <v>0.99250736304753628</v>
      </c>
      <c r="AH11" s="92">
        <v>0.99255254359189404</v>
      </c>
      <c r="AI11" s="92">
        <v>0.99259772619294351</v>
      </c>
      <c r="AJ11" s="92">
        <v>0.99264291085077816</v>
      </c>
      <c r="AK11" s="93">
        <v>0.9926880975654917</v>
      </c>
      <c r="AL11" s="10"/>
    </row>
    <row r="12" spans="2:38" ht="15">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row>
    <row r="13" spans="2:38" ht="15">
      <c r="B13" s="10"/>
      <c r="C13" s="22" t="str">
        <f>"Price Index: " &amp; INDEX(_PIdx,3)</f>
        <v>Price Index: Incr</v>
      </c>
      <c r="D13" s="24">
        <f t="array" ref="D13:AK13">_yS</f>
        <v>2019</v>
      </c>
      <c r="E13" s="24">
        <v>2020</v>
      </c>
      <c r="F13" s="24">
        <v>2021</v>
      </c>
      <c r="G13" s="24">
        <v>2022</v>
      </c>
      <c r="H13" s="24">
        <v>2023</v>
      </c>
      <c r="I13" s="24">
        <v>2024</v>
      </c>
      <c r="J13" s="24">
        <v>2025</v>
      </c>
      <c r="K13" s="24">
        <v>2026</v>
      </c>
      <c r="L13" s="24">
        <v>2027</v>
      </c>
      <c r="M13" s="24">
        <v>2028</v>
      </c>
      <c r="N13" s="24">
        <v>2029</v>
      </c>
      <c r="O13" s="24">
        <v>2030</v>
      </c>
      <c r="P13" s="24">
        <v>2031</v>
      </c>
      <c r="Q13" s="24">
        <v>2032</v>
      </c>
      <c r="R13" s="24">
        <v>2033</v>
      </c>
      <c r="S13" s="24">
        <v>2034</v>
      </c>
      <c r="T13" s="24">
        <v>2035</v>
      </c>
      <c r="U13" s="24">
        <v>2036</v>
      </c>
      <c r="V13" s="24">
        <v>2037</v>
      </c>
      <c r="W13" s="24">
        <v>2038</v>
      </c>
      <c r="X13" s="24">
        <v>2039</v>
      </c>
      <c r="Y13" s="24">
        <v>2040</v>
      </c>
      <c r="Z13" s="24">
        <v>2041</v>
      </c>
      <c r="AA13" s="24">
        <v>2042</v>
      </c>
      <c r="AB13" s="24">
        <v>2043</v>
      </c>
      <c r="AC13" s="24">
        <v>2044</v>
      </c>
      <c r="AD13" s="24">
        <v>2045</v>
      </c>
      <c r="AE13" s="24">
        <v>2046</v>
      </c>
      <c r="AF13" s="24">
        <v>2047</v>
      </c>
      <c r="AG13" s="24">
        <v>2048</v>
      </c>
      <c r="AH13" s="24">
        <v>2049</v>
      </c>
      <c r="AI13" s="24">
        <v>2050</v>
      </c>
      <c r="AJ13" s="24">
        <v>2051</v>
      </c>
      <c r="AK13" s="25">
        <v>2052</v>
      </c>
      <c r="AL13" s="10"/>
    </row>
    <row r="14" spans="2:38" ht="15">
      <c r="B14" s="10"/>
      <c r="C14" s="21" t="s">
        <v>132</v>
      </c>
      <c r="D14" s="92">
        <v>1.0984828829437518</v>
      </c>
      <c r="E14" s="94">
        <v>1.1193140436114644</v>
      </c>
      <c r="F14" s="92">
        <v>1.1405402375213891</v>
      </c>
      <c r="G14" s="92">
        <v>1.1621689559153701</v>
      </c>
      <c r="H14" s="92">
        <v>1.1842078320959653</v>
      </c>
      <c r="I14" s="92">
        <v>1.206664644120425</v>
      </c>
      <c r="J14" s="92">
        <v>1.2295473175457585</v>
      </c>
      <c r="K14" s="92">
        <v>1.2528639282258469</v>
      </c>
      <c r="L14" s="92">
        <v>1.2766227051616459</v>
      </c>
      <c r="M14" s="92">
        <v>1.3008320334053465</v>
      </c>
      <c r="N14" s="92">
        <v>1.3255004570197009</v>
      </c>
      <c r="O14" s="92">
        <v>1.3506366820934212</v>
      </c>
      <c r="P14" s="92">
        <v>1.3762495798137719</v>
      </c>
      <c r="Q14" s="92">
        <v>1.4023481895974259</v>
      </c>
      <c r="R14" s="92">
        <v>1.4289417222806979</v>
      </c>
      <c r="S14" s="92">
        <v>1.4560395633702718</v>
      </c>
      <c r="T14" s="92">
        <v>1.4836512763555652</v>
      </c>
      <c r="U14" s="92">
        <v>1.5117866060839591</v>
      </c>
      <c r="V14" s="92">
        <v>1.5404554821999314</v>
      </c>
      <c r="W14" s="92">
        <v>1.5696680226495112</v>
      </c>
      <c r="X14" s="92">
        <v>1.599434537251138</v>
      </c>
      <c r="Y14" s="92">
        <v>1.6297655313342498</v>
      </c>
      <c r="Z14" s="92">
        <v>1.6606717094468697</v>
      </c>
      <c r="AA14" s="92">
        <v>1.6921639791335004</v>
      </c>
      <c r="AB14" s="92">
        <v>1.7242534547846657</v>
      </c>
      <c r="AC14" s="92">
        <v>1.7569514615594357</v>
      </c>
      <c r="AD14" s="92">
        <v>1.7902695393824024</v>
      </c>
      <c r="AE14" s="92">
        <v>1.8242194470163258</v>
      </c>
      <c r="AF14" s="92">
        <v>1.8588131662121383</v>
      </c>
      <c r="AG14" s="92">
        <v>1.8940629059375835</v>
      </c>
      <c r="AH14" s="92">
        <v>1.9299811066860613</v>
      </c>
      <c r="AI14" s="92">
        <v>1.966580444867178</v>
      </c>
      <c r="AJ14" s="92">
        <v>2.0038738372805645</v>
      </c>
      <c r="AK14" s="93">
        <v>2.041874445674527</v>
      </c>
      <c r="AL14" s="10"/>
    </row>
    <row r="15" spans="2:38" ht="15">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row>
    <row r="18" spans="3:16" ht="15">
      <c r="C18" s="325" t="s">
        <v>126</v>
      </c>
      <c r="D18" s="325"/>
      <c r="E18" s="325"/>
      <c r="F18" s="325"/>
      <c r="G18" s="325"/>
      <c r="H18" s="325"/>
      <c r="I18" s="325"/>
      <c r="J18" s="325"/>
      <c r="K18" s="88"/>
      <c r="L18" s="88"/>
      <c r="M18" s="88"/>
      <c r="N18" s="88"/>
      <c r="O18" s="88"/>
      <c r="P18" s="88"/>
    </row>
    <row r="19" spans="3:16">
      <c r="C19" s="306" t="s">
        <v>224</v>
      </c>
      <c r="D19" s="306"/>
      <c r="E19" s="306"/>
      <c r="F19" s="306"/>
      <c r="G19" s="306"/>
      <c r="H19" s="306"/>
      <c r="I19" s="306"/>
      <c r="J19" s="306"/>
      <c r="K19" s="306"/>
      <c r="L19" s="306"/>
      <c r="M19" s="306"/>
      <c r="N19" s="306"/>
      <c r="O19" s="306"/>
      <c r="P19" s="306"/>
    </row>
    <row r="20" spans="3:16">
      <c r="C20" s="306"/>
      <c r="D20" s="306"/>
      <c r="E20" s="306"/>
      <c r="F20" s="306"/>
      <c r="G20" s="306"/>
      <c r="H20" s="306"/>
      <c r="I20" s="306"/>
      <c r="J20" s="306"/>
      <c r="K20" s="306"/>
      <c r="L20" s="306"/>
      <c r="M20" s="306"/>
      <c r="N20" s="306"/>
      <c r="O20" s="306"/>
      <c r="P20" s="306"/>
    </row>
    <row r="21" spans="3:16">
      <c r="C21" s="306"/>
      <c r="D21" s="306"/>
      <c r="E21" s="306"/>
      <c r="F21" s="306"/>
      <c r="G21" s="306"/>
      <c r="H21" s="306"/>
      <c r="I21" s="306"/>
      <c r="J21" s="306"/>
      <c r="K21" s="306"/>
      <c r="L21" s="306"/>
      <c r="M21" s="306"/>
      <c r="N21" s="306"/>
      <c r="O21" s="306"/>
      <c r="P21" s="306"/>
    </row>
    <row r="22" spans="3:16">
      <c r="C22" s="306"/>
      <c r="D22" s="306"/>
      <c r="E22" s="306"/>
      <c r="F22" s="306"/>
      <c r="G22" s="306"/>
      <c r="H22" s="306"/>
      <c r="I22" s="306"/>
      <c r="J22" s="306"/>
      <c r="K22" s="306"/>
      <c r="L22" s="306"/>
      <c r="M22" s="306"/>
      <c r="N22" s="306"/>
      <c r="O22" s="306"/>
      <c r="P22" s="306"/>
    </row>
    <row r="23" spans="3:16">
      <c r="C23" s="306"/>
      <c r="D23" s="306"/>
      <c r="E23" s="306"/>
      <c r="F23" s="306"/>
      <c r="G23" s="306"/>
      <c r="H23" s="306"/>
      <c r="I23" s="306"/>
      <c r="J23" s="306"/>
      <c r="K23" s="306"/>
      <c r="L23" s="306"/>
      <c r="M23" s="306"/>
      <c r="N23" s="306"/>
      <c r="O23" s="306"/>
      <c r="P23" s="306"/>
    </row>
    <row r="24" spans="3:16">
      <c r="C24" s="306"/>
      <c r="D24" s="306"/>
      <c r="E24" s="306"/>
      <c r="F24" s="306"/>
      <c r="G24" s="306"/>
      <c r="H24" s="306"/>
      <c r="I24" s="306"/>
      <c r="J24" s="306"/>
      <c r="K24" s="306"/>
      <c r="L24" s="306"/>
      <c r="M24" s="306"/>
      <c r="N24" s="306"/>
      <c r="O24" s="306"/>
      <c r="P24" s="306"/>
    </row>
    <row r="25" spans="3:16">
      <c r="C25" s="306"/>
      <c r="D25" s="306"/>
      <c r="E25" s="306"/>
      <c r="F25" s="306"/>
      <c r="G25" s="306"/>
      <c r="H25" s="306"/>
      <c r="I25" s="306"/>
      <c r="J25" s="306"/>
      <c r="K25" s="306"/>
      <c r="L25" s="306"/>
      <c r="M25" s="306"/>
      <c r="N25" s="306"/>
      <c r="O25" s="306"/>
      <c r="P25" s="306"/>
    </row>
    <row r="26" spans="3:16">
      <c r="C26" s="306"/>
      <c r="D26" s="306"/>
      <c r="E26" s="306"/>
      <c r="F26" s="306"/>
      <c r="G26" s="306"/>
      <c r="H26" s="306"/>
      <c r="I26" s="306"/>
      <c r="J26" s="306"/>
      <c r="K26" s="306"/>
      <c r="L26" s="306"/>
      <c r="M26" s="306"/>
      <c r="N26" s="306"/>
      <c r="O26" s="306"/>
      <c r="P26" s="306"/>
    </row>
    <row r="27" spans="3:16">
      <c r="C27" s="306"/>
      <c r="D27" s="306"/>
      <c r="E27" s="306"/>
      <c r="F27" s="306"/>
      <c r="G27" s="306"/>
      <c r="H27" s="306"/>
      <c r="I27" s="306"/>
      <c r="J27" s="306"/>
      <c r="K27" s="306"/>
      <c r="L27" s="306"/>
      <c r="M27" s="306"/>
      <c r="N27" s="306"/>
      <c r="O27" s="306"/>
      <c r="P27" s="306"/>
    </row>
    <row r="28" spans="3:16">
      <c r="C28" s="306"/>
      <c r="D28" s="306"/>
      <c r="E28" s="306"/>
      <c r="F28" s="306"/>
      <c r="G28" s="306"/>
      <c r="H28" s="306"/>
      <c r="I28" s="306"/>
      <c r="J28" s="306"/>
      <c r="K28" s="306"/>
      <c r="L28" s="306"/>
      <c r="M28" s="306"/>
      <c r="N28" s="306"/>
      <c r="O28" s="306"/>
      <c r="P28" s="306"/>
    </row>
  </sheetData>
  <mergeCells count="2">
    <mergeCell ref="C18:J18"/>
    <mergeCell ref="C19:P28"/>
  </mergeCells>
  <conditionalFormatting sqref="D5:AK5">
    <cfRule type="containsBlanks" dxfId="336" priority="39" stopIfTrue="1">
      <formula>LEN(TRIM(D5))=0</formula>
    </cfRule>
    <cfRule type="notContainsBlanks" dxfId="335" priority="40" stopIfTrue="1">
      <formula>LEN(TRIM(D5))&gt;0</formula>
    </cfRule>
  </conditionalFormatting>
  <conditionalFormatting sqref="D8:AI8">
    <cfRule type="containsBlanks" dxfId="334" priority="29" stopIfTrue="1">
      <formula>LEN(TRIM(D8))=0</formula>
    </cfRule>
    <cfRule type="notContainsBlanks" dxfId="333" priority="30" stopIfTrue="1">
      <formula>LEN(TRIM(D8))&gt;0</formula>
    </cfRule>
  </conditionalFormatting>
  <conditionalFormatting sqref="D11:AH11">
    <cfRule type="containsBlanks" dxfId="332" priority="17" stopIfTrue="1">
      <formula>LEN(TRIM(D11))=0</formula>
    </cfRule>
    <cfRule type="notContainsBlanks" dxfId="331" priority="18" stopIfTrue="1">
      <formula>LEN(TRIM(D11))&gt;0</formula>
    </cfRule>
  </conditionalFormatting>
  <conditionalFormatting sqref="D14:AH14">
    <cfRule type="containsBlanks" dxfId="330" priority="15" stopIfTrue="1">
      <formula>LEN(TRIM(D14))=0</formula>
    </cfRule>
    <cfRule type="notContainsBlanks" dxfId="329" priority="16" stopIfTrue="1">
      <formula>LEN(TRIM(D14))&gt;0</formula>
    </cfRule>
  </conditionalFormatting>
  <conditionalFormatting sqref="AJ8:AK8">
    <cfRule type="containsBlanks" dxfId="328" priority="9" stopIfTrue="1">
      <formula>LEN(TRIM(AJ8))=0</formula>
    </cfRule>
    <cfRule type="notContainsBlanks" dxfId="327" priority="10" stopIfTrue="1">
      <formula>LEN(TRIM(AJ8))&gt;0</formula>
    </cfRule>
  </conditionalFormatting>
  <conditionalFormatting sqref="AI11">
    <cfRule type="containsBlanks" dxfId="326" priority="7" stopIfTrue="1">
      <formula>LEN(TRIM(AI11))=0</formula>
    </cfRule>
    <cfRule type="notContainsBlanks" dxfId="325" priority="8" stopIfTrue="1">
      <formula>LEN(TRIM(AI11))&gt;0</formula>
    </cfRule>
  </conditionalFormatting>
  <conditionalFormatting sqref="AJ11:AK11">
    <cfRule type="containsBlanks" dxfId="324" priority="5" stopIfTrue="1">
      <formula>LEN(TRIM(AJ11))=0</formula>
    </cfRule>
    <cfRule type="notContainsBlanks" dxfId="323" priority="6" stopIfTrue="1">
      <formula>LEN(TRIM(AJ11))&gt;0</formula>
    </cfRule>
  </conditionalFormatting>
  <conditionalFormatting sqref="AI14">
    <cfRule type="containsBlanks" dxfId="322" priority="3" stopIfTrue="1">
      <formula>LEN(TRIM(AI14))=0</formula>
    </cfRule>
    <cfRule type="notContainsBlanks" dxfId="321" priority="4" stopIfTrue="1">
      <formula>LEN(TRIM(AI14))&gt;0</formula>
    </cfRule>
  </conditionalFormatting>
  <conditionalFormatting sqref="AJ14:AK14">
    <cfRule type="containsBlanks" dxfId="320" priority="1" stopIfTrue="1">
      <formula>LEN(TRIM(AJ14))=0</formula>
    </cfRule>
    <cfRule type="notContainsBlanks" dxfId="319" priority="2" stopIfTrue="1">
      <formula>LEN(TRIM(AJ14))&gt;0</formula>
    </cfRule>
  </conditionalFormatting>
  <pageMargins left="0.7" right="0.7" top="0.75" bottom="0.75" header="0.3" footer="0.3"/>
  <customProperties>
    <customPr name="IsPC" r:id="rId1"/>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B1:BL40"/>
  <sheetViews>
    <sheetView zoomScale="85" zoomScaleNormal="85" zoomScalePageLayoutView="85" workbookViewId="0">
      <selection activeCell="A6" sqref="A6"/>
    </sheetView>
  </sheetViews>
  <sheetFormatPr defaultColWidth="8.77734375" defaultRowHeight="14.4"/>
  <cols>
    <col min="1" max="1" width="8.77734375" style="9"/>
    <col min="2" max="2" width="7.33203125" style="9" bestFit="1" customWidth="1"/>
    <col min="3" max="3" width="18.77734375" style="9" bestFit="1" customWidth="1"/>
    <col min="4" max="9" width="5.33203125" style="9" bestFit="1" customWidth="1"/>
    <col min="10" max="54" width="4.33203125" style="9" bestFit="1" customWidth="1"/>
    <col min="55" max="63" width="3.77734375" style="9" bestFit="1" customWidth="1"/>
    <col min="64" max="64" width="2.109375" style="9" bestFit="1" customWidth="1"/>
    <col min="65" max="16384" width="8.77734375" style="9"/>
  </cols>
  <sheetData>
    <row r="1" spans="2:64" s="134" customFormat="1" ht="15">
      <c r="B1" s="135" t="s">
        <v>142</v>
      </c>
    </row>
    <row r="3" spans="2:64" ht="15">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row>
    <row r="4" spans="2:64" ht="15">
      <c r="B4" s="10"/>
      <c r="C4" s="22" t="s">
        <v>57</v>
      </c>
      <c r="D4" s="24">
        <f t="array" ref="D4:BK4">_t</f>
        <v>1</v>
      </c>
      <c r="E4" s="24">
        <v>2</v>
      </c>
      <c r="F4" s="24">
        <v>3</v>
      </c>
      <c r="G4" s="24">
        <v>4</v>
      </c>
      <c r="H4" s="24">
        <v>5</v>
      </c>
      <c r="I4" s="24">
        <v>6</v>
      </c>
      <c r="J4" s="24">
        <v>7</v>
      </c>
      <c r="K4" s="24">
        <v>8</v>
      </c>
      <c r="L4" s="24">
        <v>9</v>
      </c>
      <c r="M4" s="24">
        <v>10</v>
      </c>
      <c r="N4" s="24">
        <v>11</v>
      </c>
      <c r="O4" s="24">
        <v>12</v>
      </c>
      <c r="P4" s="24">
        <v>13</v>
      </c>
      <c r="Q4" s="24">
        <v>14</v>
      </c>
      <c r="R4" s="24">
        <v>15</v>
      </c>
      <c r="S4" s="24">
        <v>16</v>
      </c>
      <c r="T4" s="24">
        <v>17</v>
      </c>
      <c r="U4" s="24">
        <v>18</v>
      </c>
      <c r="V4" s="24">
        <v>19</v>
      </c>
      <c r="W4" s="24">
        <v>20</v>
      </c>
      <c r="X4" s="24">
        <v>21</v>
      </c>
      <c r="Y4" s="24">
        <v>22</v>
      </c>
      <c r="Z4" s="24">
        <v>23</v>
      </c>
      <c r="AA4" s="24">
        <v>24</v>
      </c>
      <c r="AB4" s="24">
        <v>25</v>
      </c>
      <c r="AC4" s="24">
        <v>26</v>
      </c>
      <c r="AD4" s="24">
        <v>27</v>
      </c>
      <c r="AE4" s="24">
        <v>28</v>
      </c>
      <c r="AF4" s="24">
        <v>29</v>
      </c>
      <c r="AG4" s="24">
        <v>30</v>
      </c>
      <c r="AH4" s="24">
        <v>31</v>
      </c>
      <c r="AI4" s="24">
        <v>32</v>
      </c>
      <c r="AJ4" s="24">
        <v>33</v>
      </c>
      <c r="AK4" s="24">
        <v>34</v>
      </c>
      <c r="AL4" s="24">
        <v>35</v>
      </c>
      <c r="AM4" s="24">
        <v>36</v>
      </c>
      <c r="AN4" s="24">
        <v>37</v>
      </c>
      <c r="AO4" s="24">
        <v>38</v>
      </c>
      <c r="AP4" s="24">
        <v>39</v>
      </c>
      <c r="AQ4" s="24">
        <v>40</v>
      </c>
      <c r="AR4" s="24">
        <v>41</v>
      </c>
      <c r="AS4" s="24">
        <v>42</v>
      </c>
      <c r="AT4" s="24">
        <v>43</v>
      </c>
      <c r="AU4" s="24">
        <v>44</v>
      </c>
      <c r="AV4" s="24">
        <v>45</v>
      </c>
      <c r="AW4" s="24">
        <v>46</v>
      </c>
      <c r="AX4" s="24">
        <v>47</v>
      </c>
      <c r="AY4" s="24">
        <v>48</v>
      </c>
      <c r="AZ4" s="24">
        <v>49</v>
      </c>
      <c r="BA4" s="24">
        <v>50</v>
      </c>
      <c r="BB4" s="24">
        <v>51</v>
      </c>
      <c r="BC4" s="24">
        <v>52</v>
      </c>
      <c r="BD4" s="24">
        <v>53</v>
      </c>
      <c r="BE4" s="24">
        <v>54</v>
      </c>
      <c r="BF4" s="24">
        <v>55</v>
      </c>
      <c r="BG4" s="24">
        <v>56</v>
      </c>
      <c r="BH4" s="24">
        <v>57</v>
      </c>
      <c r="BI4" s="24">
        <v>58</v>
      </c>
      <c r="BJ4" s="24">
        <v>59</v>
      </c>
      <c r="BK4" s="25">
        <v>60</v>
      </c>
      <c r="BL4" s="10"/>
    </row>
    <row r="5" spans="2:64" ht="15">
      <c r="B5" s="10"/>
      <c r="C5" s="11" t="str">
        <f>INDEX(_pcName,1)</f>
        <v>Axial Cylindrical Housed</v>
      </c>
      <c r="D5" s="74">
        <v>1</v>
      </c>
      <c r="E5" s="74">
        <v>1</v>
      </c>
      <c r="F5" s="95">
        <v>1</v>
      </c>
      <c r="G5" s="95">
        <v>0.99980000000000002</v>
      </c>
      <c r="H5" s="95">
        <v>0.99909999999999999</v>
      </c>
      <c r="I5" s="95">
        <v>0.99580000000000002</v>
      </c>
      <c r="J5" s="95">
        <v>0.98729999999999996</v>
      </c>
      <c r="K5" s="95">
        <v>0.97619999999999996</v>
      </c>
      <c r="L5" s="95">
        <v>0.95909999999999995</v>
      </c>
      <c r="M5" s="95">
        <v>0.9395</v>
      </c>
      <c r="N5" s="95">
        <v>0.91759999999999997</v>
      </c>
      <c r="O5" s="95">
        <v>0.89170000000000005</v>
      </c>
      <c r="P5" s="95">
        <v>0.86099999999999999</v>
      </c>
      <c r="Q5" s="95">
        <v>0.82889999999999997</v>
      </c>
      <c r="R5" s="95">
        <v>0.80089999999999995</v>
      </c>
      <c r="S5" s="95">
        <v>0.76859999999999995</v>
      </c>
      <c r="T5" s="95">
        <v>0.73299999999999998</v>
      </c>
      <c r="U5" s="95">
        <v>0.69930000000000003</v>
      </c>
      <c r="V5" s="95">
        <v>0.6633</v>
      </c>
      <c r="W5" s="95">
        <v>0.63580000000000003</v>
      </c>
      <c r="X5" s="95">
        <v>0.6018</v>
      </c>
      <c r="Y5" s="95">
        <v>0.57579999999999998</v>
      </c>
      <c r="Z5" s="95">
        <v>0.54159999999999997</v>
      </c>
      <c r="AA5" s="95">
        <v>0.51129999999999998</v>
      </c>
      <c r="AB5" s="95">
        <v>0.48380000000000001</v>
      </c>
      <c r="AC5" s="95">
        <v>0.45569999999999999</v>
      </c>
      <c r="AD5" s="95">
        <v>0.42609999999999998</v>
      </c>
      <c r="AE5" s="95">
        <v>0.4007</v>
      </c>
      <c r="AF5" s="95">
        <v>0.37969999999999998</v>
      </c>
      <c r="AG5" s="95">
        <v>0.35589999999999999</v>
      </c>
      <c r="AH5" s="95">
        <v>0.33329999999999999</v>
      </c>
      <c r="AI5" s="95">
        <v>0.31819999999999998</v>
      </c>
      <c r="AJ5" s="95">
        <v>0.29630000000000001</v>
      </c>
      <c r="AK5" s="95">
        <v>0.27850000000000003</v>
      </c>
      <c r="AL5" s="95">
        <v>0.2651</v>
      </c>
      <c r="AM5" s="95">
        <v>0.2492</v>
      </c>
      <c r="AN5" s="95">
        <v>0.2344</v>
      </c>
      <c r="AO5" s="95">
        <v>0.22309999999999999</v>
      </c>
      <c r="AP5" s="95">
        <v>0.20880000000000001</v>
      </c>
      <c r="AQ5" s="95">
        <v>0.19520000000000001</v>
      </c>
      <c r="AR5" s="95">
        <v>0.1822</v>
      </c>
      <c r="AS5" s="95">
        <v>0.1711</v>
      </c>
      <c r="AT5" s="95">
        <v>0.1598</v>
      </c>
      <c r="AU5" s="95">
        <v>0.14779999999999999</v>
      </c>
      <c r="AV5" s="95">
        <v>0.13650000000000001</v>
      </c>
      <c r="AW5" s="95">
        <v>0.12609999999999999</v>
      </c>
      <c r="AX5" s="95">
        <v>0.1132</v>
      </c>
      <c r="AY5" s="95">
        <v>0.1046</v>
      </c>
      <c r="AZ5" s="95">
        <v>9.3799999999999994E-2</v>
      </c>
      <c r="BA5" s="95">
        <v>8.5699999999999998E-2</v>
      </c>
      <c r="BB5" s="95">
        <v>7.7399999999999997E-2</v>
      </c>
      <c r="BC5" s="95">
        <v>6.8099999999999994E-2</v>
      </c>
      <c r="BD5" s="95">
        <v>5.8000000000000003E-2</v>
      </c>
      <c r="BE5" s="95">
        <v>4.6399999999999997E-2</v>
      </c>
      <c r="BF5" s="95">
        <v>3.7600000000000001E-2</v>
      </c>
      <c r="BG5" s="95">
        <v>2.8400000000000002E-2</v>
      </c>
      <c r="BH5" s="95">
        <v>2.1899999999999999E-2</v>
      </c>
      <c r="BI5" s="95">
        <v>1.34E-2</v>
      </c>
      <c r="BJ5" s="95">
        <v>8.0999999999999996E-3</v>
      </c>
      <c r="BK5" s="96">
        <v>0</v>
      </c>
      <c r="BL5" s="10"/>
    </row>
    <row r="6" spans="2:64" ht="15">
      <c r="B6" s="10"/>
      <c r="C6" s="11" t="str">
        <f>INDEX(_pcName,2)</f>
        <v>Panel</v>
      </c>
      <c r="D6" s="75">
        <v>1</v>
      </c>
      <c r="E6" s="75">
        <v>1</v>
      </c>
      <c r="F6" s="95">
        <v>1</v>
      </c>
      <c r="G6" s="95">
        <v>1</v>
      </c>
      <c r="H6" s="95">
        <v>0.99829999999999997</v>
      </c>
      <c r="I6" s="95">
        <v>0.99470000000000003</v>
      </c>
      <c r="J6" s="95">
        <v>0.98699999999999999</v>
      </c>
      <c r="K6" s="95">
        <v>0.97550000000000003</v>
      </c>
      <c r="L6" s="95">
        <v>0.96299999999999997</v>
      </c>
      <c r="M6" s="95">
        <v>0.94740000000000002</v>
      </c>
      <c r="N6" s="95">
        <v>0.93</v>
      </c>
      <c r="O6" s="95">
        <v>0.90269999999999995</v>
      </c>
      <c r="P6" s="95">
        <v>0.87319999999999998</v>
      </c>
      <c r="Q6" s="95">
        <v>0.84230000000000005</v>
      </c>
      <c r="R6" s="95">
        <v>0.80940000000000001</v>
      </c>
      <c r="S6" s="95">
        <v>0.77829999999999999</v>
      </c>
      <c r="T6" s="95">
        <v>0.74099999999999999</v>
      </c>
      <c r="U6" s="95">
        <v>0.69910000000000005</v>
      </c>
      <c r="V6" s="95">
        <v>0.65510000000000002</v>
      </c>
      <c r="W6" s="95">
        <v>0.61270000000000002</v>
      </c>
      <c r="X6" s="95">
        <v>0.56689999999999996</v>
      </c>
      <c r="Y6" s="95">
        <v>0.52480000000000004</v>
      </c>
      <c r="Z6" s="95">
        <v>0.4829</v>
      </c>
      <c r="AA6" s="95">
        <v>0.43940000000000001</v>
      </c>
      <c r="AB6" s="95">
        <v>0.39340000000000003</v>
      </c>
      <c r="AC6" s="95">
        <v>0.34939999999999999</v>
      </c>
      <c r="AD6" s="95">
        <v>0.30840000000000001</v>
      </c>
      <c r="AE6" s="95">
        <v>0.2717</v>
      </c>
      <c r="AF6" s="95">
        <v>0.23300000000000001</v>
      </c>
      <c r="AG6" s="95">
        <v>0.1966</v>
      </c>
      <c r="AH6" s="95">
        <v>0.18329999999999999</v>
      </c>
      <c r="AI6" s="95">
        <v>0.1696</v>
      </c>
      <c r="AJ6" s="95">
        <v>0.15640000000000001</v>
      </c>
      <c r="AK6" s="95">
        <v>0.1429</v>
      </c>
      <c r="AL6" s="95">
        <v>0.13300000000000001</v>
      </c>
      <c r="AM6" s="95">
        <v>0.123</v>
      </c>
      <c r="AN6" s="95">
        <v>0.11360000000000001</v>
      </c>
      <c r="AO6" s="95">
        <v>0.1066</v>
      </c>
      <c r="AP6" s="95">
        <v>9.8799999999999999E-2</v>
      </c>
      <c r="AQ6" s="95">
        <v>9.1899999999999996E-2</v>
      </c>
      <c r="AR6" s="95">
        <v>8.5000000000000006E-2</v>
      </c>
      <c r="AS6" s="95">
        <v>7.7100000000000002E-2</v>
      </c>
      <c r="AT6" s="95">
        <v>7.17E-2</v>
      </c>
      <c r="AU6" s="95">
        <v>6.6699999999999995E-2</v>
      </c>
      <c r="AV6" s="95">
        <v>6.13E-2</v>
      </c>
      <c r="AW6" s="95">
        <v>5.57E-2</v>
      </c>
      <c r="AX6" s="95">
        <v>5.1400000000000001E-2</v>
      </c>
      <c r="AY6" s="95">
        <v>4.7199999999999999E-2</v>
      </c>
      <c r="AZ6" s="95">
        <v>4.2999999999999997E-2</v>
      </c>
      <c r="BA6" s="95">
        <v>3.9800000000000002E-2</v>
      </c>
      <c r="BB6" s="95">
        <v>3.5200000000000002E-2</v>
      </c>
      <c r="BC6" s="95">
        <v>3.1099999999999999E-2</v>
      </c>
      <c r="BD6" s="95">
        <v>2.7E-2</v>
      </c>
      <c r="BE6" s="95">
        <v>2.35E-2</v>
      </c>
      <c r="BF6" s="95">
        <v>2.0199999999999999E-2</v>
      </c>
      <c r="BG6" s="95">
        <v>1.37E-2</v>
      </c>
      <c r="BH6" s="95">
        <v>1.0800000000000001E-2</v>
      </c>
      <c r="BI6" s="95">
        <v>8.2000000000000007E-3</v>
      </c>
      <c r="BJ6" s="95">
        <v>3.5999999999999999E-3</v>
      </c>
      <c r="BK6" s="96">
        <v>0</v>
      </c>
      <c r="BL6" s="10"/>
    </row>
    <row r="7" spans="2:64" ht="15">
      <c r="B7" s="10"/>
      <c r="C7" s="11" t="str">
        <f>INDEX(_pcName,3)</f>
        <v>Centrif Housed</v>
      </c>
      <c r="D7" s="75">
        <v>1</v>
      </c>
      <c r="E7" s="75">
        <v>1</v>
      </c>
      <c r="F7" s="95">
        <v>0.99980000000000002</v>
      </c>
      <c r="G7" s="95">
        <v>0.99709999999999999</v>
      </c>
      <c r="H7" s="95">
        <v>0.99009999999999998</v>
      </c>
      <c r="I7" s="95">
        <v>0.97709999999999997</v>
      </c>
      <c r="J7" s="95">
        <v>0.95960000000000001</v>
      </c>
      <c r="K7" s="95">
        <v>0.93659999999999999</v>
      </c>
      <c r="L7" s="95">
        <v>0.90810000000000002</v>
      </c>
      <c r="M7" s="95">
        <v>0.87609999999999999</v>
      </c>
      <c r="N7" s="95">
        <v>0.84009999999999996</v>
      </c>
      <c r="O7" s="95">
        <v>0.79959999999999998</v>
      </c>
      <c r="P7" s="95">
        <v>0.75880000000000003</v>
      </c>
      <c r="Q7" s="95">
        <v>0.71530000000000005</v>
      </c>
      <c r="R7" s="95">
        <v>0.67149999999999999</v>
      </c>
      <c r="S7" s="95">
        <v>0.62329999999999997</v>
      </c>
      <c r="T7" s="95">
        <v>0.57840000000000003</v>
      </c>
      <c r="U7" s="95">
        <v>0.53259999999999996</v>
      </c>
      <c r="V7" s="95">
        <v>0.48770000000000002</v>
      </c>
      <c r="W7" s="95">
        <v>0.44350000000000001</v>
      </c>
      <c r="X7" s="95">
        <v>0.40289999999999998</v>
      </c>
      <c r="Y7" s="95">
        <v>0.36270000000000002</v>
      </c>
      <c r="Z7" s="95">
        <v>0.32219999999999999</v>
      </c>
      <c r="AA7" s="95">
        <v>0.28520000000000001</v>
      </c>
      <c r="AB7" s="95">
        <v>0.25080000000000002</v>
      </c>
      <c r="AC7" s="95">
        <v>0.2167</v>
      </c>
      <c r="AD7" s="95">
        <v>0.18490000000000001</v>
      </c>
      <c r="AE7" s="95">
        <v>0.1542</v>
      </c>
      <c r="AF7" s="95">
        <v>0.128</v>
      </c>
      <c r="AG7" s="95">
        <v>0.1021</v>
      </c>
      <c r="AH7" s="95">
        <v>9.4600000000000004E-2</v>
      </c>
      <c r="AI7" s="95">
        <v>8.7400000000000005E-2</v>
      </c>
      <c r="AJ7" s="95">
        <v>8.1600000000000006E-2</v>
      </c>
      <c r="AK7" s="95">
        <v>7.4899999999999994E-2</v>
      </c>
      <c r="AL7" s="95">
        <v>6.8699999999999997E-2</v>
      </c>
      <c r="AM7" s="95">
        <v>6.2700000000000006E-2</v>
      </c>
      <c r="AN7" s="95">
        <v>5.7700000000000001E-2</v>
      </c>
      <c r="AO7" s="95">
        <v>5.2900000000000003E-2</v>
      </c>
      <c r="AP7" s="95">
        <v>4.8599999999999997E-2</v>
      </c>
      <c r="AQ7" s="95">
        <v>4.3999999999999997E-2</v>
      </c>
      <c r="AR7" s="95">
        <v>4.02E-2</v>
      </c>
      <c r="AS7" s="95">
        <v>3.6499999999999998E-2</v>
      </c>
      <c r="AT7" s="95">
        <v>3.2899999999999999E-2</v>
      </c>
      <c r="AU7" s="95">
        <v>3.0099999999999998E-2</v>
      </c>
      <c r="AV7" s="95">
        <v>2.7699999999999999E-2</v>
      </c>
      <c r="AW7" s="95">
        <v>2.52E-2</v>
      </c>
      <c r="AX7" s="95">
        <v>2.2499999999999999E-2</v>
      </c>
      <c r="AY7" s="95">
        <v>1.9400000000000001E-2</v>
      </c>
      <c r="AZ7" s="95">
        <v>1.7399999999999999E-2</v>
      </c>
      <c r="BA7" s="95">
        <v>1.55E-2</v>
      </c>
      <c r="BB7" s="95">
        <v>1.35E-2</v>
      </c>
      <c r="BC7" s="95">
        <v>1.1599999999999999E-2</v>
      </c>
      <c r="BD7" s="95">
        <v>9.7000000000000003E-3</v>
      </c>
      <c r="BE7" s="95">
        <v>8.3000000000000001E-3</v>
      </c>
      <c r="BF7" s="95">
        <v>6.7999999999999996E-3</v>
      </c>
      <c r="BG7" s="95">
        <v>5.5999999999999999E-3</v>
      </c>
      <c r="BH7" s="95">
        <v>4.1000000000000003E-3</v>
      </c>
      <c r="BI7" s="95">
        <v>2.5000000000000001E-3</v>
      </c>
      <c r="BJ7" s="95">
        <v>1E-3</v>
      </c>
      <c r="BK7" s="96">
        <v>0</v>
      </c>
      <c r="BL7" s="10"/>
    </row>
    <row r="8" spans="2:64" ht="15">
      <c r="B8" s="10"/>
      <c r="C8" s="11" t="str">
        <f>INDEX(_pcName,4)</f>
        <v>Centrif Unhous</v>
      </c>
      <c r="D8" s="75">
        <v>1</v>
      </c>
      <c r="E8" s="75">
        <v>1</v>
      </c>
      <c r="F8" s="95">
        <v>0.99990000000000001</v>
      </c>
      <c r="G8" s="95">
        <v>0.99629999999999996</v>
      </c>
      <c r="H8" s="95">
        <v>0.98580000000000001</v>
      </c>
      <c r="I8" s="95">
        <v>0.97060000000000002</v>
      </c>
      <c r="J8" s="95">
        <v>0.94940000000000002</v>
      </c>
      <c r="K8" s="95">
        <v>0.92120000000000002</v>
      </c>
      <c r="L8" s="95">
        <v>0.88600000000000001</v>
      </c>
      <c r="M8" s="95">
        <v>0.84809999999999997</v>
      </c>
      <c r="N8" s="95">
        <v>0.80789999999999995</v>
      </c>
      <c r="O8" s="95">
        <v>0.76290000000000002</v>
      </c>
      <c r="P8" s="95">
        <v>0.71479999999999999</v>
      </c>
      <c r="Q8" s="95">
        <v>0.66759999999999997</v>
      </c>
      <c r="R8" s="95">
        <v>0.61719999999999997</v>
      </c>
      <c r="S8" s="95">
        <v>0.56869999999999998</v>
      </c>
      <c r="T8" s="95">
        <v>0.52100000000000002</v>
      </c>
      <c r="U8" s="95">
        <v>0.47260000000000002</v>
      </c>
      <c r="V8" s="95">
        <v>0.42809999999999998</v>
      </c>
      <c r="W8" s="95">
        <v>0.3856</v>
      </c>
      <c r="X8" s="95">
        <v>0.34350000000000003</v>
      </c>
      <c r="Y8" s="95">
        <v>0.30270000000000002</v>
      </c>
      <c r="Z8" s="95">
        <v>0.2636</v>
      </c>
      <c r="AA8" s="95">
        <v>0.22869999999999999</v>
      </c>
      <c r="AB8" s="95">
        <v>0.19700000000000001</v>
      </c>
      <c r="AC8" s="95">
        <v>0.16520000000000001</v>
      </c>
      <c r="AD8" s="95">
        <v>0.1381</v>
      </c>
      <c r="AE8" s="95">
        <v>0.1123</v>
      </c>
      <c r="AF8" s="95">
        <v>8.77E-2</v>
      </c>
      <c r="AG8" s="95">
        <v>6.5600000000000006E-2</v>
      </c>
      <c r="AH8" s="95">
        <v>5.9700000000000003E-2</v>
      </c>
      <c r="AI8" s="95">
        <v>5.5100000000000003E-2</v>
      </c>
      <c r="AJ8" s="95">
        <v>5.0799999999999998E-2</v>
      </c>
      <c r="AK8" s="95">
        <v>4.6399999999999997E-2</v>
      </c>
      <c r="AL8" s="95">
        <v>4.2700000000000002E-2</v>
      </c>
      <c r="AM8" s="95">
        <v>3.9699999999999999E-2</v>
      </c>
      <c r="AN8" s="95">
        <v>3.6799999999999999E-2</v>
      </c>
      <c r="AO8" s="95">
        <v>3.4000000000000002E-2</v>
      </c>
      <c r="AP8" s="95">
        <v>3.1199999999999999E-2</v>
      </c>
      <c r="AQ8" s="95">
        <v>2.87E-2</v>
      </c>
      <c r="AR8" s="95">
        <v>2.63E-2</v>
      </c>
      <c r="AS8" s="95">
        <v>2.4E-2</v>
      </c>
      <c r="AT8" s="95">
        <v>2.1600000000000001E-2</v>
      </c>
      <c r="AU8" s="95">
        <v>1.95E-2</v>
      </c>
      <c r="AV8" s="95">
        <v>1.77E-2</v>
      </c>
      <c r="AW8" s="95">
        <v>1.6E-2</v>
      </c>
      <c r="AX8" s="95">
        <v>1.4800000000000001E-2</v>
      </c>
      <c r="AY8" s="95">
        <v>1.26E-2</v>
      </c>
      <c r="AZ8" s="95">
        <v>1.11E-2</v>
      </c>
      <c r="BA8" s="95">
        <v>9.7000000000000003E-3</v>
      </c>
      <c r="BB8" s="95">
        <v>7.9000000000000008E-3</v>
      </c>
      <c r="BC8" s="95">
        <v>7.0000000000000001E-3</v>
      </c>
      <c r="BD8" s="95">
        <v>5.7000000000000002E-3</v>
      </c>
      <c r="BE8" s="95">
        <v>4.7000000000000002E-3</v>
      </c>
      <c r="BF8" s="95">
        <v>3.7000000000000002E-3</v>
      </c>
      <c r="BG8" s="95">
        <v>2.7000000000000001E-3</v>
      </c>
      <c r="BH8" s="95">
        <v>1.9E-3</v>
      </c>
      <c r="BI8" s="95">
        <v>1.2999999999999999E-3</v>
      </c>
      <c r="BJ8" s="95">
        <v>5.0000000000000001E-4</v>
      </c>
      <c r="BK8" s="96">
        <v>0</v>
      </c>
      <c r="BL8" s="10"/>
    </row>
    <row r="9" spans="2:64" ht="15">
      <c r="B9" s="10"/>
      <c r="C9" s="11" t="str">
        <f>INDEX(_pcName,5)</f>
        <v>Inline-Mixed</v>
      </c>
      <c r="D9" s="75">
        <v>1</v>
      </c>
      <c r="E9" s="75">
        <v>1</v>
      </c>
      <c r="F9" s="95">
        <v>1</v>
      </c>
      <c r="G9" s="95">
        <v>1</v>
      </c>
      <c r="H9" s="95">
        <v>1</v>
      </c>
      <c r="I9" s="95">
        <v>0.998</v>
      </c>
      <c r="J9" s="95">
        <v>0.99350000000000005</v>
      </c>
      <c r="K9" s="95">
        <v>0.98609999999999998</v>
      </c>
      <c r="L9" s="95">
        <v>0.97330000000000005</v>
      </c>
      <c r="M9" s="95">
        <v>0.95720000000000005</v>
      </c>
      <c r="N9" s="95">
        <v>0.93889999999999996</v>
      </c>
      <c r="O9" s="95">
        <v>0.9163</v>
      </c>
      <c r="P9" s="95">
        <v>0.89290000000000003</v>
      </c>
      <c r="Q9" s="95">
        <v>0.86770000000000003</v>
      </c>
      <c r="R9" s="95">
        <v>0.83550000000000002</v>
      </c>
      <c r="S9" s="95">
        <v>0.80269999999999997</v>
      </c>
      <c r="T9" s="95">
        <v>0.7722</v>
      </c>
      <c r="U9" s="95">
        <v>0.73819999999999997</v>
      </c>
      <c r="V9" s="95">
        <v>0.70299999999999996</v>
      </c>
      <c r="W9" s="95">
        <v>0.66820000000000002</v>
      </c>
      <c r="X9" s="95">
        <v>0.63660000000000005</v>
      </c>
      <c r="Y9" s="95">
        <v>0.6048</v>
      </c>
      <c r="Z9" s="95">
        <v>0.56930000000000003</v>
      </c>
      <c r="AA9" s="95">
        <v>0.53680000000000005</v>
      </c>
      <c r="AB9" s="95">
        <v>0.50149999999999995</v>
      </c>
      <c r="AC9" s="95">
        <v>0.46960000000000002</v>
      </c>
      <c r="AD9" s="95">
        <v>0.4385</v>
      </c>
      <c r="AE9" s="95">
        <v>0.40699999999999997</v>
      </c>
      <c r="AF9" s="95">
        <v>0.37580000000000002</v>
      </c>
      <c r="AG9" s="95">
        <v>0.34720000000000001</v>
      </c>
      <c r="AH9" s="95">
        <v>0.32079999999999997</v>
      </c>
      <c r="AI9" s="95">
        <v>0.29530000000000001</v>
      </c>
      <c r="AJ9" s="95">
        <v>0.27379999999999999</v>
      </c>
      <c r="AK9" s="95">
        <v>0.25209999999999999</v>
      </c>
      <c r="AL9" s="95">
        <v>0.23130000000000001</v>
      </c>
      <c r="AM9" s="95">
        <v>0.2109</v>
      </c>
      <c r="AN9" s="95">
        <v>0.19270000000000001</v>
      </c>
      <c r="AO9" s="95">
        <v>0.17610000000000001</v>
      </c>
      <c r="AP9" s="95">
        <v>0.15890000000000001</v>
      </c>
      <c r="AQ9" s="95">
        <v>0.14410000000000001</v>
      </c>
      <c r="AR9" s="95">
        <v>0.13120000000000001</v>
      </c>
      <c r="AS9" s="95">
        <v>0.1186</v>
      </c>
      <c r="AT9" s="95">
        <v>0.1066</v>
      </c>
      <c r="AU9" s="95">
        <v>9.3700000000000006E-2</v>
      </c>
      <c r="AV9" s="95">
        <v>8.4199999999999997E-2</v>
      </c>
      <c r="AW9" s="95">
        <v>7.51E-2</v>
      </c>
      <c r="AX9" s="95">
        <v>6.7699999999999996E-2</v>
      </c>
      <c r="AY9" s="95">
        <v>5.9299999999999999E-2</v>
      </c>
      <c r="AZ9" s="95">
        <v>5.21E-2</v>
      </c>
      <c r="BA9" s="95">
        <v>4.4999999999999998E-2</v>
      </c>
      <c r="BB9" s="95">
        <v>3.7900000000000003E-2</v>
      </c>
      <c r="BC9" s="95">
        <v>3.1300000000000001E-2</v>
      </c>
      <c r="BD9" s="95">
        <v>2.6499999999999999E-2</v>
      </c>
      <c r="BE9" s="95">
        <v>2.1999999999999999E-2</v>
      </c>
      <c r="BF9" s="95">
        <v>1.7100000000000001E-2</v>
      </c>
      <c r="BG9" s="95">
        <v>1.3100000000000001E-2</v>
      </c>
      <c r="BH9" s="95">
        <v>1.0200000000000001E-2</v>
      </c>
      <c r="BI9" s="95">
        <v>7.1999999999999998E-3</v>
      </c>
      <c r="BJ9" s="95">
        <v>3.5000000000000001E-3</v>
      </c>
      <c r="BK9" s="96">
        <v>0</v>
      </c>
      <c r="BL9" s="10"/>
    </row>
    <row r="10" spans="2:64" ht="15">
      <c r="B10" s="10"/>
      <c r="C10" s="11" t="str">
        <f>INDEX(_pcName,6)</f>
        <v>Radial</v>
      </c>
      <c r="D10" s="75">
        <v>1</v>
      </c>
      <c r="E10" s="75">
        <v>1</v>
      </c>
      <c r="F10" s="95">
        <v>1</v>
      </c>
      <c r="G10" s="95">
        <v>1</v>
      </c>
      <c r="H10" s="95">
        <v>1</v>
      </c>
      <c r="I10" s="95">
        <v>0.99550000000000005</v>
      </c>
      <c r="J10" s="95">
        <v>0.98870000000000002</v>
      </c>
      <c r="K10" s="95">
        <v>0.98180000000000001</v>
      </c>
      <c r="L10" s="95">
        <v>0.96840000000000004</v>
      </c>
      <c r="M10" s="95">
        <v>0.95489999999999997</v>
      </c>
      <c r="N10" s="95">
        <v>0.93820000000000003</v>
      </c>
      <c r="O10" s="95">
        <v>0.91839999999999999</v>
      </c>
      <c r="P10" s="95">
        <v>0.89529999999999998</v>
      </c>
      <c r="Q10" s="95">
        <v>0.872</v>
      </c>
      <c r="R10" s="95">
        <v>0.8427</v>
      </c>
      <c r="S10" s="95">
        <v>0.81589999999999996</v>
      </c>
      <c r="T10" s="95">
        <v>0.79169999999999996</v>
      </c>
      <c r="U10" s="95">
        <v>0.76090000000000002</v>
      </c>
      <c r="V10" s="95">
        <v>0.73099999999999998</v>
      </c>
      <c r="W10" s="95">
        <v>0.70299999999999996</v>
      </c>
      <c r="X10" s="95">
        <v>0.67769999999999997</v>
      </c>
      <c r="Y10" s="95">
        <v>0.64710000000000001</v>
      </c>
      <c r="Z10" s="95">
        <v>0.61939999999999995</v>
      </c>
      <c r="AA10" s="95">
        <v>0.59289999999999998</v>
      </c>
      <c r="AB10" s="95">
        <v>0.56740000000000002</v>
      </c>
      <c r="AC10" s="95">
        <v>0.54259999999999997</v>
      </c>
      <c r="AD10" s="95">
        <v>0.51519999999999999</v>
      </c>
      <c r="AE10" s="95">
        <v>0.4874</v>
      </c>
      <c r="AF10" s="95">
        <v>0.46210000000000001</v>
      </c>
      <c r="AG10" s="95">
        <v>0.44019999999999998</v>
      </c>
      <c r="AH10" s="95">
        <v>0.42070000000000002</v>
      </c>
      <c r="AI10" s="95">
        <v>0.40010000000000001</v>
      </c>
      <c r="AJ10" s="95">
        <v>0.37619999999999998</v>
      </c>
      <c r="AK10" s="95">
        <v>0.35630000000000001</v>
      </c>
      <c r="AL10" s="95">
        <v>0.3387</v>
      </c>
      <c r="AM10" s="95">
        <v>0.31569999999999998</v>
      </c>
      <c r="AN10" s="95">
        <v>0.29780000000000001</v>
      </c>
      <c r="AO10" s="95">
        <v>0.28189999999999998</v>
      </c>
      <c r="AP10" s="95">
        <v>0.26469999999999999</v>
      </c>
      <c r="AQ10" s="95">
        <v>0.2485</v>
      </c>
      <c r="AR10" s="95">
        <v>0.2334</v>
      </c>
      <c r="AS10" s="95">
        <v>0.21990000000000001</v>
      </c>
      <c r="AT10" s="95">
        <v>0.20469999999999999</v>
      </c>
      <c r="AU10" s="95">
        <v>0.19</v>
      </c>
      <c r="AV10" s="95">
        <v>0.1774</v>
      </c>
      <c r="AW10" s="95">
        <v>0.16320000000000001</v>
      </c>
      <c r="AX10" s="95">
        <v>0.15</v>
      </c>
      <c r="AY10" s="95">
        <v>0.1389</v>
      </c>
      <c r="AZ10" s="95">
        <v>0.127</v>
      </c>
      <c r="BA10" s="95">
        <v>0.11459999999999999</v>
      </c>
      <c r="BB10" s="95">
        <v>0.1009</v>
      </c>
      <c r="BC10" s="95">
        <v>8.9700000000000002E-2</v>
      </c>
      <c r="BD10" s="95">
        <v>7.5300000000000006E-2</v>
      </c>
      <c r="BE10" s="95">
        <v>6.4500000000000002E-2</v>
      </c>
      <c r="BF10" s="95">
        <v>5.1900000000000002E-2</v>
      </c>
      <c r="BG10" s="95">
        <v>4.1799999999999997E-2</v>
      </c>
      <c r="BH10" s="95">
        <v>3.1899999999999998E-2</v>
      </c>
      <c r="BI10" s="95">
        <v>2.18E-2</v>
      </c>
      <c r="BJ10" s="95">
        <v>1.03E-2</v>
      </c>
      <c r="BK10" s="96">
        <v>0</v>
      </c>
      <c r="BL10" s="10"/>
    </row>
    <row r="11" spans="2:64" ht="15">
      <c r="B11" s="10"/>
      <c r="C11" s="21" t="str">
        <f>INDEX(_pcName,7)</f>
        <v>Power Roof Vent</v>
      </c>
      <c r="D11" s="76">
        <v>1</v>
      </c>
      <c r="E11" s="76">
        <v>1</v>
      </c>
      <c r="F11" s="97">
        <v>1</v>
      </c>
      <c r="G11" s="97">
        <v>1</v>
      </c>
      <c r="H11" s="97">
        <v>1</v>
      </c>
      <c r="I11" s="97">
        <v>0.99770000000000003</v>
      </c>
      <c r="J11" s="97">
        <v>0.99199999999999999</v>
      </c>
      <c r="K11" s="97">
        <v>0.98260000000000003</v>
      </c>
      <c r="L11" s="97">
        <v>0.97030000000000005</v>
      </c>
      <c r="M11" s="97">
        <v>0.95669999999999999</v>
      </c>
      <c r="N11" s="97">
        <v>0.94</v>
      </c>
      <c r="O11" s="97">
        <v>0.92</v>
      </c>
      <c r="P11" s="97">
        <v>0.90010000000000001</v>
      </c>
      <c r="Q11" s="97">
        <v>0.875</v>
      </c>
      <c r="R11" s="97">
        <v>0.84889999999999999</v>
      </c>
      <c r="S11" s="97">
        <v>0.8206</v>
      </c>
      <c r="T11" s="97">
        <v>0.79190000000000005</v>
      </c>
      <c r="U11" s="97">
        <v>0.76400000000000001</v>
      </c>
      <c r="V11" s="97">
        <v>0.73409999999999997</v>
      </c>
      <c r="W11" s="97">
        <v>0.70330000000000004</v>
      </c>
      <c r="X11" s="97">
        <v>0.67449999999999999</v>
      </c>
      <c r="Y11" s="97">
        <v>0.64559999999999995</v>
      </c>
      <c r="Z11" s="97">
        <v>0.61799999999999999</v>
      </c>
      <c r="AA11" s="97">
        <v>0.58850000000000002</v>
      </c>
      <c r="AB11" s="97">
        <v>0.55800000000000005</v>
      </c>
      <c r="AC11" s="97">
        <v>0.52700000000000002</v>
      </c>
      <c r="AD11" s="97">
        <v>0.49809999999999999</v>
      </c>
      <c r="AE11" s="97">
        <v>0.47120000000000001</v>
      </c>
      <c r="AF11" s="97">
        <v>0.4451</v>
      </c>
      <c r="AG11" s="97">
        <v>0.41909999999999997</v>
      </c>
      <c r="AH11" s="97">
        <v>0.39529999999999998</v>
      </c>
      <c r="AI11" s="97">
        <v>0.37509999999999999</v>
      </c>
      <c r="AJ11" s="97">
        <v>0.35370000000000001</v>
      </c>
      <c r="AK11" s="97">
        <v>0.3357</v>
      </c>
      <c r="AL11" s="97">
        <v>0.31790000000000002</v>
      </c>
      <c r="AM11" s="97">
        <v>0.29880000000000001</v>
      </c>
      <c r="AN11" s="97">
        <v>0.28149999999999997</v>
      </c>
      <c r="AO11" s="97">
        <v>0.26350000000000001</v>
      </c>
      <c r="AP11" s="97">
        <v>0.24740000000000001</v>
      </c>
      <c r="AQ11" s="97">
        <v>0.23250000000000001</v>
      </c>
      <c r="AR11" s="97">
        <v>0.21859999999999999</v>
      </c>
      <c r="AS11" s="97">
        <v>0.20469999999999999</v>
      </c>
      <c r="AT11" s="97">
        <v>0.1923</v>
      </c>
      <c r="AU11" s="97">
        <v>0.1802</v>
      </c>
      <c r="AV11" s="97">
        <v>0.1663</v>
      </c>
      <c r="AW11" s="97">
        <v>0.156</v>
      </c>
      <c r="AX11" s="97">
        <v>0.14499999999999999</v>
      </c>
      <c r="AY11" s="97">
        <v>0.1331</v>
      </c>
      <c r="AZ11" s="97">
        <v>0.1217</v>
      </c>
      <c r="BA11" s="97">
        <v>0.1095</v>
      </c>
      <c r="BB11" s="97">
        <v>9.7900000000000001E-2</v>
      </c>
      <c r="BC11" s="97">
        <v>8.7800000000000003E-2</v>
      </c>
      <c r="BD11" s="97">
        <v>7.7600000000000002E-2</v>
      </c>
      <c r="BE11" s="97">
        <v>6.4899999999999999E-2</v>
      </c>
      <c r="BF11" s="97">
        <v>5.2999999999999999E-2</v>
      </c>
      <c r="BG11" s="97">
        <v>4.2299999999999997E-2</v>
      </c>
      <c r="BH11" s="97">
        <v>3.15E-2</v>
      </c>
      <c r="BI11" s="97">
        <v>2.1000000000000001E-2</v>
      </c>
      <c r="BJ11" s="97">
        <v>1.06E-2</v>
      </c>
      <c r="BK11" s="98">
        <v>0</v>
      </c>
      <c r="BL11" s="10"/>
    </row>
    <row r="12" spans="2:64" ht="15">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row>
    <row r="15" spans="2:64" ht="15">
      <c r="C15" s="326" t="s">
        <v>126</v>
      </c>
      <c r="D15" s="326"/>
      <c r="E15" s="326"/>
      <c r="F15" s="326"/>
      <c r="G15" s="326"/>
      <c r="H15" s="326"/>
      <c r="I15" s="326"/>
      <c r="J15" s="326"/>
      <c r="K15" s="326"/>
      <c r="L15" s="326"/>
      <c r="M15" s="326"/>
      <c r="N15" s="326"/>
      <c r="O15" s="326"/>
      <c r="P15" s="326"/>
      <c r="Q15" s="326"/>
      <c r="R15" s="326"/>
      <c r="S15" s="326"/>
      <c r="T15" s="326"/>
      <c r="U15" s="326"/>
      <c r="V15" s="326"/>
      <c r="W15" s="326"/>
      <c r="X15" s="326"/>
      <c r="Y15" s="326"/>
      <c r="Z15" s="326"/>
      <c r="AA15" s="326"/>
      <c r="AB15" s="326"/>
      <c r="AC15" s="326"/>
    </row>
    <row r="16" spans="2:64" ht="15" customHeight="1">
      <c r="C16" s="327" t="s">
        <v>225</v>
      </c>
      <c r="D16" s="327"/>
      <c r="E16" s="327"/>
      <c r="F16" s="327"/>
      <c r="G16" s="327"/>
      <c r="H16" s="327"/>
      <c r="I16" s="327"/>
      <c r="J16" s="327"/>
      <c r="K16" s="327"/>
      <c r="L16" s="327"/>
      <c r="M16" s="327"/>
      <c r="N16" s="327"/>
      <c r="O16" s="327"/>
      <c r="P16" s="327"/>
      <c r="Q16" s="327"/>
      <c r="R16" s="327"/>
      <c r="S16" s="327"/>
      <c r="T16" s="327"/>
      <c r="U16" s="327"/>
      <c r="V16" s="327"/>
      <c r="W16" s="327"/>
      <c r="X16" s="327"/>
      <c r="Y16" s="327"/>
      <c r="Z16" s="327"/>
      <c r="AA16" s="327"/>
      <c r="AB16" s="327"/>
      <c r="AC16" s="327"/>
    </row>
    <row r="17" spans="3:29">
      <c r="C17" s="327"/>
      <c r="D17" s="327"/>
      <c r="E17" s="327"/>
      <c r="F17" s="327"/>
      <c r="G17" s="327"/>
      <c r="H17" s="327"/>
      <c r="I17" s="327"/>
      <c r="J17" s="327"/>
      <c r="K17" s="327"/>
      <c r="L17" s="327"/>
      <c r="M17" s="327"/>
      <c r="N17" s="327"/>
      <c r="O17" s="327"/>
      <c r="P17" s="327"/>
      <c r="Q17" s="327"/>
      <c r="R17" s="327"/>
      <c r="S17" s="327"/>
      <c r="T17" s="327"/>
      <c r="U17" s="327"/>
      <c r="V17" s="327"/>
      <c r="W17" s="327"/>
      <c r="X17" s="327"/>
      <c r="Y17" s="327"/>
      <c r="Z17" s="327"/>
      <c r="AA17" s="327"/>
      <c r="AB17" s="327"/>
      <c r="AC17" s="327"/>
    </row>
    <row r="18" spans="3:29">
      <c r="C18" s="327"/>
      <c r="D18" s="327"/>
      <c r="E18" s="327"/>
      <c r="F18" s="327"/>
      <c r="G18" s="327"/>
      <c r="H18" s="327"/>
      <c r="I18" s="327"/>
      <c r="J18" s="327"/>
      <c r="K18" s="327"/>
      <c r="L18" s="327"/>
      <c r="M18" s="327"/>
      <c r="N18" s="327"/>
      <c r="O18" s="327"/>
      <c r="P18" s="327"/>
      <c r="Q18" s="327"/>
      <c r="R18" s="327"/>
      <c r="S18" s="327"/>
      <c r="T18" s="327"/>
      <c r="U18" s="327"/>
      <c r="V18" s="327"/>
      <c r="W18" s="327"/>
      <c r="X18" s="327"/>
      <c r="Y18" s="327"/>
      <c r="Z18" s="327"/>
      <c r="AA18" s="327"/>
      <c r="AB18" s="327"/>
      <c r="AC18" s="327"/>
    </row>
    <row r="19" spans="3:29" ht="15">
      <c r="C19" s="99"/>
      <c r="D19" s="99"/>
      <c r="E19" s="99"/>
      <c r="F19" s="99"/>
      <c r="G19" s="99"/>
      <c r="H19" s="99"/>
      <c r="I19" s="99"/>
      <c r="J19" s="99"/>
      <c r="K19" s="99"/>
      <c r="L19" s="99"/>
      <c r="M19" s="99"/>
      <c r="N19" s="99"/>
      <c r="O19" s="99"/>
      <c r="P19" s="99"/>
      <c r="Q19" s="99"/>
      <c r="R19" s="99"/>
      <c r="S19" s="99"/>
      <c r="T19" s="99"/>
      <c r="U19" s="99"/>
      <c r="V19" s="99"/>
      <c r="W19" s="99"/>
      <c r="X19" s="99"/>
      <c r="Y19" s="99"/>
      <c r="Z19" s="99"/>
      <c r="AA19" s="99"/>
      <c r="AB19" s="99"/>
      <c r="AC19" s="99"/>
    </row>
    <row r="20" spans="3:29" ht="15">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row>
    <row r="21" spans="3:29" ht="15">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row>
    <row r="22" spans="3:29" ht="15">
      <c r="C22" s="99"/>
      <c r="D22" s="99"/>
      <c r="E22" s="99"/>
      <c r="F22" s="99"/>
      <c r="G22" s="99"/>
      <c r="H22" s="99"/>
      <c r="I22" s="99"/>
      <c r="J22" s="99"/>
      <c r="K22" s="99"/>
      <c r="L22" s="99"/>
      <c r="M22" s="99"/>
      <c r="N22" s="99"/>
      <c r="O22" s="99"/>
      <c r="P22" s="99"/>
      <c r="Q22" s="99"/>
      <c r="R22" s="99"/>
      <c r="S22" s="99"/>
      <c r="T22" s="99"/>
      <c r="U22" s="99"/>
      <c r="V22" s="99"/>
      <c r="W22" s="99"/>
      <c r="X22" s="99"/>
      <c r="Y22" s="99"/>
      <c r="Z22" s="99"/>
      <c r="AA22" s="99"/>
      <c r="AB22" s="99"/>
      <c r="AC22" s="99"/>
    </row>
    <row r="23" spans="3:29" ht="15">
      <c r="C23" s="99"/>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row>
    <row r="24" spans="3:29" ht="15">
      <c r="C24" s="99"/>
      <c r="D24" s="99"/>
      <c r="E24" s="99"/>
      <c r="F24" s="99"/>
      <c r="G24" s="99"/>
      <c r="H24" s="99"/>
      <c r="I24" s="99"/>
      <c r="J24" s="99"/>
      <c r="K24" s="99"/>
      <c r="L24" s="99"/>
      <c r="M24" s="99"/>
      <c r="N24" s="99"/>
      <c r="O24" s="99"/>
      <c r="P24" s="99"/>
      <c r="Q24" s="99"/>
      <c r="R24" s="99"/>
      <c r="S24" s="99"/>
      <c r="T24" s="99"/>
      <c r="U24" s="99"/>
      <c r="V24" s="99"/>
      <c r="W24" s="99"/>
      <c r="X24" s="99"/>
      <c r="Y24" s="99"/>
      <c r="Z24" s="99"/>
      <c r="AA24" s="99"/>
      <c r="AB24" s="99"/>
      <c r="AC24" s="99"/>
    </row>
    <row r="25" spans="3:29" ht="15">
      <c r="C25" s="99"/>
      <c r="D25" s="99"/>
      <c r="E25" s="99"/>
      <c r="F25" s="99"/>
      <c r="G25" s="99"/>
      <c r="H25" s="99"/>
      <c r="I25" s="99"/>
      <c r="J25" s="99"/>
      <c r="K25" s="99"/>
      <c r="L25" s="99"/>
      <c r="M25" s="99"/>
      <c r="N25" s="99"/>
      <c r="O25" s="99"/>
      <c r="P25" s="99"/>
      <c r="Q25" s="99"/>
      <c r="R25" s="99"/>
      <c r="S25" s="99"/>
      <c r="T25" s="99"/>
      <c r="U25" s="99"/>
      <c r="V25" s="99"/>
      <c r="W25" s="99"/>
      <c r="X25" s="99"/>
      <c r="Y25" s="99"/>
      <c r="Z25" s="99"/>
      <c r="AA25" s="99"/>
      <c r="AB25" s="99"/>
      <c r="AC25" s="99"/>
    </row>
    <row r="26" spans="3:29" ht="15">
      <c r="C26" s="99"/>
      <c r="D26" s="99"/>
      <c r="E26" s="99"/>
      <c r="F26" s="99"/>
      <c r="G26" s="99"/>
      <c r="H26" s="99"/>
      <c r="I26" s="99"/>
      <c r="J26" s="99"/>
      <c r="K26" s="99"/>
      <c r="L26" s="99"/>
      <c r="M26" s="99"/>
      <c r="N26" s="99"/>
      <c r="O26" s="99"/>
      <c r="P26" s="99"/>
      <c r="Q26" s="99"/>
      <c r="R26" s="99"/>
      <c r="S26" s="99"/>
      <c r="T26" s="99"/>
      <c r="U26" s="99"/>
      <c r="V26" s="99"/>
      <c r="W26" s="99"/>
      <c r="X26" s="99"/>
      <c r="Y26" s="99"/>
      <c r="Z26" s="99"/>
      <c r="AA26" s="99"/>
      <c r="AB26" s="99"/>
      <c r="AC26" s="99"/>
    </row>
    <row r="27" spans="3:29" ht="15">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row>
    <row r="28" spans="3:29" ht="15">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row>
    <row r="29" spans="3:29" ht="15">
      <c r="C29" s="99"/>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row>
    <row r="30" spans="3:29" ht="15">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row>
    <row r="31" spans="3:29" ht="15">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row>
    <row r="32" spans="3:29" ht="15">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row>
    <row r="33" spans="3:29" ht="15">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row>
    <row r="34" spans="3:29" ht="15">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row>
    <row r="35" spans="3:29" ht="15">
      <c r="C35" s="99"/>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row>
    <row r="36" spans="3:29" ht="15">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row>
    <row r="37" spans="3:29" ht="15">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row>
    <row r="38" spans="3:29" ht="15">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row>
    <row r="39" spans="3:29" ht="15">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row>
    <row r="40" spans="3:29" ht="15">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row>
  </sheetData>
  <mergeCells count="2">
    <mergeCell ref="C15:AC15"/>
    <mergeCell ref="C16:AC18"/>
  </mergeCells>
  <conditionalFormatting sqref="D5:BK11">
    <cfRule type="containsBlanks" dxfId="318" priority="7" stopIfTrue="1">
      <formula>LEN(TRIM(D5))=0</formula>
    </cfRule>
    <cfRule type="notContainsBlanks" dxfId="317" priority="8" stopIfTrue="1">
      <formula>LEN(TRIM(D5))&gt;0</formula>
    </cfRule>
  </conditionalFormatting>
  <conditionalFormatting sqref="D6:BK6">
    <cfRule type="containsBlanks" dxfId="316" priority="9" stopIfTrue="1">
      <formula>LEN(TRIM(D6))=0</formula>
    </cfRule>
    <cfRule type="notContainsBlanks" dxfId="315" priority="10" stopIfTrue="1">
      <formula>LEN(TRIM(D6))&gt;0</formula>
    </cfRule>
  </conditionalFormatting>
  <conditionalFormatting sqref="D7:BK7">
    <cfRule type="containsBlanks" dxfId="314" priority="11" stopIfTrue="1">
      <formula>LEN(TRIM(D7))=0</formula>
    </cfRule>
    <cfRule type="notContainsBlanks" dxfId="313" priority="12" stopIfTrue="1">
      <formula>LEN(TRIM(D7))&gt;0</formula>
    </cfRule>
  </conditionalFormatting>
  <conditionalFormatting sqref="D8:BK8">
    <cfRule type="containsBlanks" dxfId="312" priority="13" stopIfTrue="1">
      <formula>LEN(TRIM(D8))=0</formula>
    </cfRule>
    <cfRule type="notContainsBlanks" dxfId="311" priority="14" stopIfTrue="1">
      <formula>LEN(TRIM(D8))&gt;0</formula>
    </cfRule>
  </conditionalFormatting>
  <conditionalFormatting sqref="D9:BK9">
    <cfRule type="containsBlanks" dxfId="310" priority="15" stopIfTrue="1">
      <formula>LEN(TRIM(D9))=0</formula>
    </cfRule>
    <cfRule type="notContainsBlanks" dxfId="309" priority="16" stopIfTrue="1">
      <formula>LEN(TRIM(D9))&gt;0</formula>
    </cfRule>
  </conditionalFormatting>
  <conditionalFormatting sqref="D10:BK10">
    <cfRule type="containsBlanks" dxfId="308" priority="17" stopIfTrue="1">
      <formula>LEN(TRIM(D10))=0</formula>
    </cfRule>
    <cfRule type="notContainsBlanks" dxfId="307" priority="18" stopIfTrue="1">
      <formula>LEN(TRIM(D10))&gt;0</formula>
    </cfRule>
  </conditionalFormatting>
  <conditionalFormatting sqref="D11:BK11">
    <cfRule type="containsBlanks" dxfId="306" priority="19" stopIfTrue="1">
      <formula>LEN(TRIM(D11))=0</formula>
    </cfRule>
    <cfRule type="notContainsBlanks" dxfId="305" priority="20" stopIfTrue="1">
      <formula>LEN(TRIM(D11))&gt;0</formula>
    </cfRule>
  </conditionalFormatting>
  <conditionalFormatting sqref="D10:BK10">
    <cfRule type="containsBlanks" dxfId="304" priority="5" stopIfTrue="1">
      <formula>LEN(TRIM(D10))=0</formula>
    </cfRule>
    <cfRule type="notContainsBlanks" dxfId="303" priority="6" stopIfTrue="1">
      <formula>LEN(TRIM(D10))&gt;0</formula>
    </cfRule>
  </conditionalFormatting>
  <conditionalFormatting sqref="D10:BJ10">
    <cfRule type="containsBlanks" dxfId="302" priority="3" stopIfTrue="1">
      <formula>LEN(TRIM(D10))=0</formula>
    </cfRule>
    <cfRule type="notContainsBlanks" dxfId="301" priority="4" stopIfTrue="1">
      <formula>LEN(TRIM(D10))&gt;0</formula>
    </cfRule>
  </conditionalFormatting>
  <conditionalFormatting sqref="BK10">
    <cfRule type="containsBlanks" dxfId="300" priority="1" stopIfTrue="1">
      <formula>LEN(TRIM(BK10))=0</formula>
    </cfRule>
    <cfRule type="notContainsBlanks" dxfId="299" priority="2" stopIfTrue="1">
      <formula>LEN(TRIM(BK10))&gt;0</formula>
    </cfRule>
  </conditionalFormatting>
  <pageMargins left="0.7" right="0.7" top="0.75" bottom="0.75" header="0.3" footer="0.3"/>
  <customProperties>
    <customPr name="IsPC" r:id="rId1"/>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B1:CT52"/>
  <sheetViews>
    <sheetView zoomScale="85" zoomScaleNormal="85" zoomScalePageLayoutView="85" workbookViewId="0">
      <selection activeCell="B21" sqref="B21"/>
    </sheetView>
  </sheetViews>
  <sheetFormatPr defaultColWidth="8.77734375" defaultRowHeight="14.4"/>
  <cols>
    <col min="1" max="1" width="8.77734375" style="9"/>
    <col min="2" max="2" width="13.77734375" style="9" bestFit="1" customWidth="1"/>
    <col min="3" max="3" width="26.6640625" style="9" bestFit="1" customWidth="1"/>
    <col min="4" max="4" width="16" style="9" bestFit="1" customWidth="1"/>
    <col min="5" max="97" width="7.6640625" style="9" bestFit="1" customWidth="1"/>
    <col min="98" max="98" width="3.6640625" style="9" customWidth="1"/>
    <col min="99" max="16384" width="8.77734375" style="9"/>
  </cols>
  <sheetData>
    <row r="1" spans="2:98" s="134" customFormat="1" ht="15">
      <c r="B1" s="135" t="s">
        <v>151</v>
      </c>
    </row>
    <row r="3" spans="2:98" ht="15">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row>
    <row r="4" spans="2:98" ht="15">
      <c r="B4" s="10"/>
      <c r="C4" s="22" t="s">
        <v>52</v>
      </c>
      <c r="D4" s="23"/>
      <c r="E4" s="24">
        <f t="array" ref="E4:CS4">_yL</f>
        <v>2019</v>
      </c>
      <c r="F4" s="24">
        <v>2020</v>
      </c>
      <c r="G4" s="24">
        <v>2021</v>
      </c>
      <c r="H4" s="24">
        <v>2022</v>
      </c>
      <c r="I4" s="24">
        <v>2023</v>
      </c>
      <c r="J4" s="24">
        <v>2024</v>
      </c>
      <c r="K4" s="24">
        <v>2025</v>
      </c>
      <c r="L4" s="24">
        <v>2026</v>
      </c>
      <c r="M4" s="24">
        <v>2027</v>
      </c>
      <c r="N4" s="24">
        <v>2028</v>
      </c>
      <c r="O4" s="24">
        <v>2029</v>
      </c>
      <c r="P4" s="24">
        <v>2030</v>
      </c>
      <c r="Q4" s="24">
        <v>2031</v>
      </c>
      <c r="R4" s="24">
        <v>2032</v>
      </c>
      <c r="S4" s="24">
        <v>2033</v>
      </c>
      <c r="T4" s="24">
        <v>2034</v>
      </c>
      <c r="U4" s="24">
        <v>2035</v>
      </c>
      <c r="V4" s="24">
        <v>2036</v>
      </c>
      <c r="W4" s="24">
        <v>2037</v>
      </c>
      <c r="X4" s="24">
        <v>2038</v>
      </c>
      <c r="Y4" s="24">
        <v>2039</v>
      </c>
      <c r="Z4" s="24">
        <v>2040</v>
      </c>
      <c r="AA4" s="24">
        <v>2041</v>
      </c>
      <c r="AB4" s="24">
        <v>2042</v>
      </c>
      <c r="AC4" s="24">
        <v>2043</v>
      </c>
      <c r="AD4" s="24">
        <v>2044</v>
      </c>
      <c r="AE4" s="24">
        <v>2045</v>
      </c>
      <c r="AF4" s="24">
        <v>2046</v>
      </c>
      <c r="AG4" s="24">
        <v>2047</v>
      </c>
      <c r="AH4" s="24">
        <v>2048</v>
      </c>
      <c r="AI4" s="24">
        <v>2049</v>
      </c>
      <c r="AJ4" s="24">
        <v>2050</v>
      </c>
      <c r="AK4" s="24">
        <v>2051</v>
      </c>
      <c r="AL4" s="24">
        <v>2052</v>
      </c>
      <c r="AM4" s="24">
        <v>2053</v>
      </c>
      <c r="AN4" s="24">
        <v>2054</v>
      </c>
      <c r="AO4" s="24">
        <v>2055</v>
      </c>
      <c r="AP4" s="24">
        <v>2056</v>
      </c>
      <c r="AQ4" s="24">
        <v>2057</v>
      </c>
      <c r="AR4" s="24">
        <v>2058</v>
      </c>
      <c r="AS4" s="24">
        <v>2059</v>
      </c>
      <c r="AT4" s="24">
        <v>2060</v>
      </c>
      <c r="AU4" s="24">
        <v>2061</v>
      </c>
      <c r="AV4" s="24">
        <v>2062</v>
      </c>
      <c r="AW4" s="24">
        <v>2063</v>
      </c>
      <c r="AX4" s="24">
        <v>2064</v>
      </c>
      <c r="AY4" s="24">
        <v>2065</v>
      </c>
      <c r="AZ4" s="24">
        <v>2066</v>
      </c>
      <c r="BA4" s="24">
        <v>2067</v>
      </c>
      <c r="BB4" s="24">
        <v>2068</v>
      </c>
      <c r="BC4" s="24">
        <v>2069</v>
      </c>
      <c r="BD4" s="24">
        <v>2070</v>
      </c>
      <c r="BE4" s="24">
        <v>2071</v>
      </c>
      <c r="BF4" s="24">
        <v>2072</v>
      </c>
      <c r="BG4" s="24">
        <v>2073</v>
      </c>
      <c r="BH4" s="24">
        <v>2074</v>
      </c>
      <c r="BI4" s="24">
        <v>2075</v>
      </c>
      <c r="BJ4" s="24">
        <v>2076</v>
      </c>
      <c r="BK4" s="24">
        <v>2077</v>
      </c>
      <c r="BL4" s="24">
        <v>2078</v>
      </c>
      <c r="BM4" s="24">
        <v>2079</v>
      </c>
      <c r="BN4" s="24">
        <v>2080</v>
      </c>
      <c r="BO4" s="24">
        <v>2081</v>
      </c>
      <c r="BP4" s="24">
        <v>2082</v>
      </c>
      <c r="BQ4" s="24">
        <v>2083</v>
      </c>
      <c r="BR4" s="24">
        <v>2084</v>
      </c>
      <c r="BS4" s="24">
        <v>2085</v>
      </c>
      <c r="BT4" s="24">
        <v>2086</v>
      </c>
      <c r="BU4" s="24">
        <v>2087</v>
      </c>
      <c r="BV4" s="24">
        <v>2088</v>
      </c>
      <c r="BW4" s="24">
        <v>2089</v>
      </c>
      <c r="BX4" s="24">
        <v>2090</v>
      </c>
      <c r="BY4" s="24">
        <v>2091</v>
      </c>
      <c r="BZ4" s="24">
        <v>2092</v>
      </c>
      <c r="CA4" s="24">
        <v>2093</v>
      </c>
      <c r="CB4" s="24">
        <v>2094</v>
      </c>
      <c r="CC4" s="24">
        <v>2095</v>
      </c>
      <c r="CD4" s="24">
        <v>2096</v>
      </c>
      <c r="CE4" s="24">
        <v>2097</v>
      </c>
      <c r="CF4" s="24">
        <v>2098</v>
      </c>
      <c r="CG4" s="24">
        <v>2099</v>
      </c>
      <c r="CH4" s="24">
        <v>2100</v>
      </c>
      <c r="CI4" s="24">
        <v>2101</v>
      </c>
      <c r="CJ4" s="24">
        <v>2102</v>
      </c>
      <c r="CK4" s="24">
        <v>2103</v>
      </c>
      <c r="CL4" s="24">
        <v>2104</v>
      </c>
      <c r="CM4" s="24">
        <v>2105</v>
      </c>
      <c r="CN4" s="24">
        <v>2106</v>
      </c>
      <c r="CO4" s="24">
        <v>2107</v>
      </c>
      <c r="CP4" s="24">
        <v>2108</v>
      </c>
      <c r="CQ4" s="24">
        <v>2109</v>
      </c>
      <c r="CR4" s="24">
        <v>2110</v>
      </c>
      <c r="CS4" s="25">
        <v>2111</v>
      </c>
      <c r="CT4" s="10"/>
    </row>
    <row r="5" spans="2:98" ht="15">
      <c r="B5" s="10"/>
      <c r="C5" s="27" t="str">
        <f>INDEX(_fuel,1)</f>
        <v>Electricity</v>
      </c>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5"/>
      <c r="CT5" s="10"/>
    </row>
    <row r="6" spans="2:98" ht="15">
      <c r="B6" s="10"/>
      <c r="C6" s="11" t="str">
        <f>"Site to "&amp;sEnergy</f>
        <v>Site to FFC</v>
      </c>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5"/>
      <c r="CT6" s="10"/>
    </row>
    <row r="7" spans="2:98" ht="15">
      <c r="B7" s="10"/>
      <c r="C7" s="16" t="str">
        <f>INDEX(_pcName,1)</f>
        <v>Axial Cylindrical Housed</v>
      </c>
      <c r="D7" s="12" t="s">
        <v>50</v>
      </c>
      <c r="E7" s="30">
        <f t="array" ref="E7:CS7" xml:space="preserve"> ts2bElec * IF(iEnergy&gt;1,ts2pElecAxH,1) * IF(iEnergy&gt;2,tp2fElec,1)</f>
        <v>1.1195251814766613E-2</v>
      </c>
      <c r="F7" s="30">
        <v>1.0966620938292319E-2</v>
      </c>
      <c r="G7" s="30">
        <v>1.0880228284953221E-2</v>
      </c>
      <c r="H7" s="30">
        <v>1.0680247011676639E-2</v>
      </c>
      <c r="I7" s="30">
        <v>1.0368942952618435E-2</v>
      </c>
      <c r="J7" s="30">
        <v>1.018062008098051E-2</v>
      </c>
      <c r="K7" s="30">
        <v>1.0187728034482956E-2</v>
      </c>
      <c r="L7" s="30">
        <v>1.0011486381147214E-2</v>
      </c>
      <c r="M7" s="30">
        <v>9.7900506719775984E-3</v>
      </c>
      <c r="N7" s="30">
        <v>9.6594930810145266E-3</v>
      </c>
      <c r="O7" s="30">
        <v>9.6034042452322176E-3</v>
      </c>
      <c r="P7" s="30">
        <v>9.5225974754329645E-3</v>
      </c>
      <c r="Q7" s="30">
        <v>9.4681533661934159E-3</v>
      </c>
      <c r="R7" s="30">
        <v>9.317281086298106E-3</v>
      </c>
      <c r="S7" s="30">
        <v>9.2527932473139441E-3</v>
      </c>
      <c r="T7" s="30">
        <v>9.2326493644632468E-3</v>
      </c>
      <c r="U7" s="30">
        <v>9.2049191477519467E-3</v>
      </c>
      <c r="V7" s="30">
        <v>9.2070526387667325E-3</v>
      </c>
      <c r="W7" s="30">
        <v>9.219868020075234E-3</v>
      </c>
      <c r="X7" s="30">
        <v>9.241367762856308E-3</v>
      </c>
      <c r="Y7" s="30">
        <v>9.2549246409660783E-3</v>
      </c>
      <c r="Z7" s="30">
        <v>9.2842310918293605E-3</v>
      </c>
      <c r="AA7" s="30">
        <v>9.2842310918293605E-3</v>
      </c>
      <c r="AB7" s="30">
        <v>9.2842310918293605E-3</v>
      </c>
      <c r="AC7" s="30">
        <v>9.2842310918293605E-3</v>
      </c>
      <c r="AD7" s="30">
        <v>9.2842310918293605E-3</v>
      </c>
      <c r="AE7" s="30">
        <v>9.2842310918293605E-3</v>
      </c>
      <c r="AF7" s="30">
        <v>9.2842310918293605E-3</v>
      </c>
      <c r="AG7" s="30">
        <v>9.2842310918293605E-3</v>
      </c>
      <c r="AH7" s="30">
        <v>9.2842310918293605E-3</v>
      </c>
      <c r="AI7" s="30">
        <v>9.2842310918293605E-3</v>
      </c>
      <c r="AJ7" s="30">
        <v>9.2842310918293605E-3</v>
      </c>
      <c r="AK7" s="30">
        <v>9.2842310918293605E-3</v>
      </c>
      <c r="AL7" s="30">
        <v>9.2842310918293605E-3</v>
      </c>
      <c r="AM7" s="30">
        <v>9.2842310918293605E-3</v>
      </c>
      <c r="AN7" s="30">
        <v>9.2842310918293605E-3</v>
      </c>
      <c r="AO7" s="30">
        <v>9.2842310918293605E-3</v>
      </c>
      <c r="AP7" s="30">
        <v>9.2842310918293605E-3</v>
      </c>
      <c r="AQ7" s="30">
        <v>9.2842310918293605E-3</v>
      </c>
      <c r="AR7" s="30">
        <v>9.2842310918293605E-3</v>
      </c>
      <c r="AS7" s="30">
        <v>9.2842310918293605E-3</v>
      </c>
      <c r="AT7" s="30">
        <v>9.2842310918293605E-3</v>
      </c>
      <c r="AU7" s="30">
        <v>9.2842310918293605E-3</v>
      </c>
      <c r="AV7" s="30">
        <v>9.2842310918293605E-3</v>
      </c>
      <c r="AW7" s="30">
        <v>9.2842310918293605E-3</v>
      </c>
      <c r="AX7" s="30">
        <v>9.2842310918293605E-3</v>
      </c>
      <c r="AY7" s="30">
        <v>9.2842310918293605E-3</v>
      </c>
      <c r="AZ7" s="30">
        <v>9.2842310918293605E-3</v>
      </c>
      <c r="BA7" s="30">
        <v>9.2842310918293605E-3</v>
      </c>
      <c r="BB7" s="30">
        <v>9.2842310918293605E-3</v>
      </c>
      <c r="BC7" s="30">
        <v>9.2842310918293605E-3</v>
      </c>
      <c r="BD7" s="30">
        <v>9.2842310918293605E-3</v>
      </c>
      <c r="BE7" s="30">
        <v>9.2842310918293605E-3</v>
      </c>
      <c r="BF7" s="30">
        <v>9.2842310918293605E-3</v>
      </c>
      <c r="BG7" s="30">
        <v>9.2842310918293605E-3</v>
      </c>
      <c r="BH7" s="30">
        <v>9.2842310918293605E-3</v>
      </c>
      <c r="BI7" s="30">
        <v>9.2842310918293605E-3</v>
      </c>
      <c r="BJ7" s="30">
        <v>9.2842310918293605E-3</v>
      </c>
      <c r="BK7" s="30">
        <v>9.2842310918293605E-3</v>
      </c>
      <c r="BL7" s="30">
        <v>9.2842310918293605E-3</v>
      </c>
      <c r="BM7" s="30">
        <v>9.2842310918293605E-3</v>
      </c>
      <c r="BN7" s="30">
        <v>9.2842310918293605E-3</v>
      </c>
      <c r="BO7" s="30">
        <v>9.2842310918293605E-3</v>
      </c>
      <c r="BP7" s="30">
        <v>9.2842310918293605E-3</v>
      </c>
      <c r="BQ7" s="30">
        <v>9.2842310918293605E-3</v>
      </c>
      <c r="BR7" s="30">
        <v>9.2842310918293605E-3</v>
      </c>
      <c r="BS7" s="30">
        <v>9.2842310918293605E-3</v>
      </c>
      <c r="BT7" s="30">
        <v>9.2842310918293605E-3</v>
      </c>
      <c r="BU7" s="30">
        <v>9.2842310918293605E-3</v>
      </c>
      <c r="BV7" s="30">
        <v>9.2842310918293605E-3</v>
      </c>
      <c r="BW7" s="30">
        <v>9.2842310918293605E-3</v>
      </c>
      <c r="BX7" s="30">
        <v>9.2842310918293605E-3</v>
      </c>
      <c r="BY7" s="30">
        <v>9.2842310918293605E-3</v>
      </c>
      <c r="BZ7" s="30">
        <v>9.2842310918293605E-3</v>
      </c>
      <c r="CA7" s="30">
        <v>9.2842310918293605E-3</v>
      </c>
      <c r="CB7" s="30">
        <v>9.2842310918293605E-3</v>
      </c>
      <c r="CC7" s="30">
        <v>9.2842310918293605E-3</v>
      </c>
      <c r="CD7" s="30">
        <v>9.2842310918293605E-3</v>
      </c>
      <c r="CE7" s="30">
        <v>9.2842310918293605E-3</v>
      </c>
      <c r="CF7" s="30">
        <v>9.2842310918293605E-3</v>
      </c>
      <c r="CG7" s="30">
        <v>9.2842310918293605E-3</v>
      </c>
      <c r="CH7" s="30">
        <v>9.2842310918293605E-3</v>
      </c>
      <c r="CI7" s="30">
        <v>9.2842310918293605E-3</v>
      </c>
      <c r="CJ7" s="30">
        <v>9.2842310918293605E-3</v>
      </c>
      <c r="CK7" s="30">
        <v>9.2842310918293605E-3</v>
      </c>
      <c r="CL7" s="30">
        <v>9.2842310918293605E-3</v>
      </c>
      <c r="CM7" s="30">
        <v>9.2842310918293605E-3</v>
      </c>
      <c r="CN7" s="30">
        <v>9.2842310918293605E-3</v>
      </c>
      <c r="CO7" s="30">
        <v>9.2842310918293605E-3</v>
      </c>
      <c r="CP7" s="30">
        <v>9.2842310918293605E-3</v>
      </c>
      <c r="CQ7" s="30">
        <v>9.2842310918293605E-3</v>
      </c>
      <c r="CR7" s="30">
        <v>9.2842310918293605E-3</v>
      </c>
      <c r="CS7" s="31">
        <v>9.2842310918293605E-3</v>
      </c>
      <c r="CT7" s="10"/>
    </row>
    <row r="8" spans="2:98" ht="15">
      <c r="B8" s="10"/>
      <c r="C8" s="16" t="str">
        <f>INDEX(_pcName,2)</f>
        <v>Panel</v>
      </c>
      <c r="D8" s="12" t="s">
        <v>50</v>
      </c>
      <c r="E8" s="30">
        <f t="array" ref="E8:CS8" xml:space="preserve"> ts2bElec * IF(iEnergy&gt;1,ts2pElecPan,1) * IF(iEnergy&gt;2,tp2fElec,1)</f>
        <v>1.1256149207367328E-2</v>
      </c>
      <c r="F8" s="30">
        <v>1.1026174184563127E-2</v>
      </c>
      <c r="G8" s="30">
        <v>1.0937232857644145E-2</v>
      </c>
      <c r="H8" s="30">
        <v>1.0737039692017001E-2</v>
      </c>
      <c r="I8" s="30">
        <v>1.0429369422464755E-2</v>
      </c>
      <c r="J8" s="30">
        <v>1.0247135361164535E-2</v>
      </c>
      <c r="K8" s="30">
        <v>1.0252551996162438E-2</v>
      </c>
      <c r="L8" s="30">
        <v>1.0077255251944528E-2</v>
      </c>
      <c r="M8" s="30">
        <v>9.8585379385048161E-3</v>
      </c>
      <c r="N8" s="30">
        <v>9.7276046482602067E-3</v>
      </c>
      <c r="O8" s="30">
        <v>9.672279903294603E-3</v>
      </c>
      <c r="P8" s="30">
        <v>9.5923705729978829E-3</v>
      </c>
      <c r="Q8" s="30">
        <v>9.538977167563847E-3</v>
      </c>
      <c r="R8" s="30">
        <v>9.3887866534856385E-3</v>
      </c>
      <c r="S8" s="30">
        <v>9.3220243589009228E-3</v>
      </c>
      <c r="T8" s="30">
        <v>9.3004738700747016E-3</v>
      </c>
      <c r="U8" s="30">
        <v>9.2720725645181346E-3</v>
      </c>
      <c r="V8" s="30">
        <v>9.2751102746173129E-3</v>
      </c>
      <c r="W8" s="30">
        <v>9.288528851586526E-3</v>
      </c>
      <c r="X8" s="30">
        <v>9.3103074378590115E-3</v>
      </c>
      <c r="Y8" s="30">
        <v>9.3240613886997632E-3</v>
      </c>
      <c r="Z8" s="30">
        <v>9.3543014012044869E-3</v>
      </c>
      <c r="AA8" s="30">
        <v>9.3543014012044869E-3</v>
      </c>
      <c r="AB8" s="30">
        <v>9.3543014012044869E-3</v>
      </c>
      <c r="AC8" s="30">
        <v>9.3543014012044869E-3</v>
      </c>
      <c r="AD8" s="30">
        <v>9.3543014012044869E-3</v>
      </c>
      <c r="AE8" s="30">
        <v>9.3543014012044869E-3</v>
      </c>
      <c r="AF8" s="30">
        <v>9.3543014012044869E-3</v>
      </c>
      <c r="AG8" s="30">
        <v>9.3543014012044869E-3</v>
      </c>
      <c r="AH8" s="30">
        <v>9.3543014012044869E-3</v>
      </c>
      <c r="AI8" s="30">
        <v>9.3543014012044869E-3</v>
      </c>
      <c r="AJ8" s="30">
        <v>9.3543014012044869E-3</v>
      </c>
      <c r="AK8" s="30">
        <v>9.3543014012044869E-3</v>
      </c>
      <c r="AL8" s="30">
        <v>9.3543014012044869E-3</v>
      </c>
      <c r="AM8" s="30">
        <v>9.3543014012044869E-3</v>
      </c>
      <c r="AN8" s="30">
        <v>9.3543014012044869E-3</v>
      </c>
      <c r="AO8" s="30">
        <v>9.3543014012044869E-3</v>
      </c>
      <c r="AP8" s="30">
        <v>9.3543014012044869E-3</v>
      </c>
      <c r="AQ8" s="30">
        <v>9.3543014012044869E-3</v>
      </c>
      <c r="AR8" s="30">
        <v>9.3543014012044869E-3</v>
      </c>
      <c r="AS8" s="30">
        <v>9.3543014012044869E-3</v>
      </c>
      <c r="AT8" s="30">
        <v>9.3543014012044869E-3</v>
      </c>
      <c r="AU8" s="30">
        <v>9.3543014012044869E-3</v>
      </c>
      <c r="AV8" s="30">
        <v>9.3543014012044869E-3</v>
      </c>
      <c r="AW8" s="30">
        <v>9.3543014012044869E-3</v>
      </c>
      <c r="AX8" s="30">
        <v>9.3543014012044869E-3</v>
      </c>
      <c r="AY8" s="30">
        <v>9.3543014012044869E-3</v>
      </c>
      <c r="AZ8" s="30">
        <v>9.3543014012044869E-3</v>
      </c>
      <c r="BA8" s="30">
        <v>9.3543014012044869E-3</v>
      </c>
      <c r="BB8" s="30">
        <v>9.3543014012044869E-3</v>
      </c>
      <c r="BC8" s="30">
        <v>9.3543014012044869E-3</v>
      </c>
      <c r="BD8" s="30">
        <v>9.3543014012044869E-3</v>
      </c>
      <c r="BE8" s="30">
        <v>9.3543014012044869E-3</v>
      </c>
      <c r="BF8" s="30">
        <v>9.3543014012044869E-3</v>
      </c>
      <c r="BG8" s="30">
        <v>9.3543014012044869E-3</v>
      </c>
      <c r="BH8" s="30">
        <v>9.3543014012044869E-3</v>
      </c>
      <c r="BI8" s="30">
        <v>9.3543014012044869E-3</v>
      </c>
      <c r="BJ8" s="30">
        <v>9.3543014012044869E-3</v>
      </c>
      <c r="BK8" s="30">
        <v>9.3543014012044869E-3</v>
      </c>
      <c r="BL8" s="30">
        <v>9.3543014012044869E-3</v>
      </c>
      <c r="BM8" s="30">
        <v>9.3543014012044869E-3</v>
      </c>
      <c r="BN8" s="30">
        <v>9.3543014012044869E-3</v>
      </c>
      <c r="BO8" s="30">
        <v>9.3543014012044869E-3</v>
      </c>
      <c r="BP8" s="30">
        <v>9.3543014012044869E-3</v>
      </c>
      <c r="BQ8" s="30">
        <v>9.3543014012044869E-3</v>
      </c>
      <c r="BR8" s="30">
        <v>9.3543014012044869E-3</v>
      </c>
      <c r="BS8" s="30">
        <v>9.3543014012044869E-3</v>
      </c>
      <c r="BT8" s="30">
        <v>9.3543014012044869E-3</v>
      </c>
      <c r="BU8" s="30">
        <v>9.3543014012044869E-3</v>
      </c>
      <c r="BV8" s="30">
        <v>9.3543014012044869E-3</v>
      </c>
      <c r="BW8" s="30">
        <v>9.3543014012044869E-3</v>
      </c>
      <c r="BX8" s="30">
        <v>9.3543014012044869E-3</v>
      </c>
      <c r="BY8" s="30">
        <v>9.3543014012044869E-3</v>
      </c>
      <c r="BZ8" s="30">
        <v>9.3543014012044869E-3</v>
      </c>
      <c r="CA8" s="30">
        <v>9.3543014012044869E-3</v>
      </c>
      <c r="CB8" s="30">
        <v>9.3543014012044869E-3</v>
      </c>
      <c r="CC8" s="30">
        <v>9.3543014012044869E-3</v>
      </c>
      <c r="CD8" s="30">
        <v>9.3543014012044869E-3</v>
      </c>
      <c r="CE8" s="30">
        <v>9.3543014012044869E-3</v>
      </c>
      <c r="CF8" s="30">
        <v>9.3543014012044869E-3</v>
      </c>
      <c r="CG8" s="30">
        <v>9.3543014012044869E-3</v>
      </c>
      <c r="CH8" s="30">
        <v>9.3543014012044869E-3</v>
      </c>
      <c r="CI8" s="30">
        <v>9.3543014012044869E-3</v>
      </c>
      <c r="CJ8" s="30">
        <v>9.3543014012044869E-3</v>
      </c>
      <c r="CK8" s="30">
        <v>9.3543014012044869E-3</v>
      </c>
      <c r="CL8" s="30">
        <v>9.3543014012044869E-3</v>
      </c>
      <c r="CM8" s="30">
        <v>9.3543014012044869E-3</v>
      </c>
      <c r="CN8" s="30">
        <v>9.3543014012044869E-3</v>
      </c>
      <c r="CO8" s="30">
        <v>9.3543014012044869E-3</v>
      </c>
      <c r="CP8" s="30">
        <v>9.3543014012044869E-3</v>
      </c>
      <c r="CQ8" s="30">
        <v>9.3543014012044869E-3</v>
      </c>
      <c r="CR8" s="30">
        <v>9.3543014012044869E-3</v>
      </c>
      <c r="CS8" s="31">
        <v>9.3543014012044869E-3</v>
      </c>
      <c r="CT8" s="10"/>
    </row>
    <row r="9" spans="2:98" ht="15">
      <c r="B9" s="10"/>
      <c r="C9" s="16" t="str">
        <f>INDEX(_pcName,3)</f>
        <v>Centrif Housed</v>
      </c>
      <c r="D9" s="12" t="s">
        <v>50</v>
      </c>
      <c r="E9" s="30">
        <f t="array" ref="E9:CS9" xml:space="preserve"> ts2bElec * IF(iEnergy&gt;1,ts2pElecCnH,1) * IF(iEnergy&gt;2,tp2fElec,1)</f>
        <v>1.1288258741647704E-2</v>
      </c>
      <c r="F9" s="30">
        <v>1.105757498714228E-2</v>
      </c>
      <c r="G9" s="30">
        <v>1.0967289814153902E-2</v>
      </c>
      <c r="H9" s="30">
        <v>1.076698492346919E-2</v>
      </c>
      <c r="I9" s="30">
        <v>1.0461230652020087E-2</v>
      </c>
      <c r="J9" s="30">
        <v>1.0282207054352472E-2</v>
      </c>
      <c r="K9" s="30">
        <v>1.0286731903229799E-2</v>
      </c>
      <c r="L9" s="30">
        <v>1.0111933383819473E-2</v>
      </c>
      <c r="M9" s="30">
        <v>9.8946494063100777E-3</v>
      </c>
      <c r="N9" s="30">
        <v>9.7635180200806547E-3</v>
      </c>
      <c r="O9" s="30">
        <v>9.7085961593638571E-3</v>
      </c>
      <c r="P9" s="30">
        <v>9.6291600244412037E-3</v>
      </c>
      <c r="Q9" s="30">
        <v>9.5763206264682568E-3</v>
      </c>
      <c r="R9" s="30">
        <v>9.4264895889117906E-3</v>
      </c>
      <c r="S9" s="30">
        <v>9.3585280359195083E-3</v>
      </c>
      <c r="T9" s="30">
        <v>9.3362358821243753E-3</v>
      </c>
      <c r="U9" s="30">
        <v>9.3074807297221264E-3</v>
      </c>
      <c r="V9" s="30">
        <v>9.3109952098839825E-3</v>
      </c>
      <c r="W9" s="30">
        <v>9.3247318354742967E-3</v>
      </c>
      <c r="X9" s="30">
        <v>9.3466574483149819E-3</v>
      </c>
      <c r="Y9" s="30">
        <v>9.360515310232069E-3</v>
      </c>
      <c r="Z9" s="30">
        <v>9.3912475643295537E-3</v>
      </c>
      <c r="AA9" s="30">
        <v>9.3912475643295537E-3</v>
      </c>
      <c r="AB9" s="30">
        <v>9.3912475643295537E-3</v>
      </c>
      <c r="AC9" s="30">
        <v>9.3912475643295537E-3</v>
      </c>
      <c r="AD9" s="30">
        <v>9.3912475643295537E-3</v>
      </c>
      <c r="AE9" s="30">
        <v>9.3912475643295537E-3</v>
      </c>
      <c r="AF9" s="30">
        <v>9.3912475643295537E-3</v>
      </c>
      <c r="AG9" s="30">
        <v>9.3912475643295537E-3</v>
      </c>
      <c r="AH9" s="30">
        <v>9.3912475643295537E-3</v>
      </c>
      <c r="AI9" s="30">
        <v>9.3912475643295537E-3</v>
      </c>
      <c r="AJ9" s="30">
        <v>9.3912475643295537E-3</v>
      </c>
      <c r="AK9" s="30">
        <v>9.3912475643295537E-3</v>
      </c>
      <c r="AL9" s="30">
        <v>9.3912475643295537E-3</v>
      </c>
      <c r="AM9" s="30">
        <v>9.3912475643295537E-3</v>
      </c>
      <c r="AN9" s="30">
        <v>9.3912475643295537E-3</v>
      </c>
      <c r="AO9" s="30">
        <v>9.3912475643295537E-3</v>
      </c>
      <c r="AP9" s="30">
        <v>9.3912475643295537E-3</v>
      </c>
      <c r="AQ9" s="30">
        <v>9.3912475643295537E-3</v>
      </c>
      <c r="AR9" s="30">
        <v>9.3912475643295537E-3</v>
      </c>
      <c r="AS9" s="30">
        <v>9.3912475643295537E-3</v>
      </c>
      <c r="AT9" s="30">
        <v>9.3912475643295537E-3</v>
      </c>
      <c r="AU9" s="30">
        <v>9.3912475643295537E-3</v>
      </c>
      <c r="AV9" s="30">
        <v>9.3912475643295537E-3</v>
      </c>
      <c r="AW9" s="30">
        <v>9.3912475643295537E-3</v>
      </c>
      <c r="AX9" s="30">
        <v>9.3912475643295537E-3</v>
      </c>
      <c r="AY9" s="30">
        <v>9.3912475643295537E-3</v>
      </c>
      <c r="AZ9" s="30">
        <v>9.3912475643295537E-3</v>
      </c>
      <c r="BA9" s="30">
        <v>9.3912475643295537E-3</v>
      </c>
      <c r="BB9" s="30">
        <v>9.3912475643295537E-3</v>
      </c>
      <c r="BC9" s="30">
        <v>9.3912475643295537E-3</v>
      </c>
      <c r="BD9" s="30">
        <v>9.3912475643295537E-3</v>
      </c>
      <c r="BE9" s="30">
        <v>9.3912475643295537E-3</v>
      </c>
      <c r="BF9" s="30">
        <v>9.3912475643295537E-3</v>
      </c>
      <c r="BG9" s="30">
        <v>9.3912475643295537E-3</v>
      </c>
      <c r="BH9" s="30">
        <v>9.3912475643295537E-3</v>
      </c>
      <c r="BI9" s="30">
        <v>9.3912475643295537E-3</v>
      </c>
      <c r="BJ9" s="30">
        <v>9.3912475643295537E-3</v>
      </c>
      <c r="BK9" s="30">
        <v>9.3912475643295537E-3</v>
      </c>
      <c r="BL9" s="30">
        <v>9.3912475643295537E-3</v>
      </c>
      <c r="BM9" s="30">
        <v>9.3912475643295537E-3</v>
      </c>
      <c r="BN9" s="30">
        <v>9.3912475643295537E-3</v>
      </c>
      <c r="BO9" s="30">
        <v>9.3912475643295537E-3</v>
      </c>
      <c r="BP9" s="30">
        <v>9.3912475643295537E-3</v>
      </c>
      <c r="BQ9" s="30">
        <v>9.3912475643295537E-3</v>
      </c>
      <c r="BR9" s="30">
        <v>9.3912475643295537E-3</v>
      </c>
      <c r="BS9" s="30">
        <v>9.3912475643295537E-3</v>
      </c>
      <c r="BT9" s="30">
        <v>9.3912475643295537E-3</v>
      </c>
      <c r="BU9" s="30">
        <v>9.3912475643295537E-3</v>
      </c>
      <c r="BV9" s="30">
        <v>9.3912475643295537E-3</v>
      </c>
      <c r="BW9" s="30">
        <v>9.3912475643295537E-3</v>
      </c>
      <c r="BX9" s="30">
        <v>9.3912475643295537E-3</v>
      </c>
      <c r="BY9" s="30">
        <v>9.3912475643295537E-3</v>
      </c>
      <c r="BZ9" s="30">
        <v>9.3912475643295537E-3</v>
      </c>
      <c r="CA9" s="30">
        <v>9.3912475643295537E-3</v>
      </c>
      <c r="CB9" s="30">
        <v>9.3912475643295537E-3</v>
      </c>
      <c r="CC9" s="30">
        <v>9.3912475643295537E-3</v>
      </c>
      <c r="CD9" s="30">
        <v>9.3912475643295537E-3</v>
      </c>
      <c r="CE9" s="30">
        <v>9.3912475643295537E-3</v>
      </c>
      <c r="CF9" s="30">
        <v>9.3912475643295537E-3</v>
      </c>
      <c r="CG9" s="30">
        <v>9.3912475643295537E-3</v>
      </c>
      <c r="CH9" s="30">
        <v>9.3912475643295537E-3</v>
      </c>
      <c r="CI9" s="30">
        <v>9.3912475643295537E-3</v>
      </c>
      <c r="CJ9" s="30">
        <v>9.3912475643295537E-3</v>
      </c>
      <c r="CK9" s="30">
        <v>9.3912475643295537E-3</v>
      </c>
      <c r="CL9" s="30">
        <v>9.3912475643295537E-3</v>
      </c>
      <c r="CM9" s="30">
        <v>9.3912475643295537E-3</v>
      </c>
      <c r="CN9" s="30">
        <v>9.3912475643295537E-3</v>
      </c>
      <c r="CO9" s="30">
        <v>9.3912475643295537E-3</v>
      </c>
      <c r="CP9" s="30">
        <v>9.3912475643295537E-3</v>
      </c>
      <c r="CQ9" s="30">
        <v>9.3912475643295537E-3</v>
      </c>
      <c r="CR9" s="30">
        <v>9.3912475643295537E-3</v>
      </c>
      <c r="CS9" s="31">
        <v>9.3912475643295537E-3</v>
      </c>
      <c r="CT9" s="10"/>
    </row>
    <row r="10" spans="2:98" ht="15">
      <c r="B10" s="10"/>
      <c r="C10" s="16" t="str">
        <f>INDEX(_pcName,4)</f>
        <v>Centrif Unhous</v>
      </c>
      <c r="D10" s="12" t="s">
        <v>50</v>
      </c>
      <c r="E10" s="30">
        <f t="array" ref="E10:CS10" xml:space="preserve"> ts2bElec * IF(iEnergy&gt;1,ts2pElecCnU,1) * IF(iEnergy&gt;2,tp2fElec,1)</f>
        <v>1.1278293713767588E-2</v>
      </c>
      <c r="F10" s="30">
        <v>1.1047829910479784E-2</v>
      </c>
      <c r="G10" s="30">
        <v>1.0957961793168115E-2</v>
      </c>
      <c r="H10" s="30">
        <v>1.0757691575777132E-2</v>
      </c>
      <c r="I10" s="30">
        <v>1.0451342684227052E-2</v>
      </c>
      <c r="J10" s="30">
        <v>1.0271322735776904E-2</v>
      </c>
      <c r="K10" s="30">
        <v>1.0276124345864068E-2</v>
      </c>
      <c r="L10" s="30">
        <v>1.0101171204961732E-2</v>
      </c>
      <c r="M10" s="30">
        <v>9.8834423990601661E-3</v>
      </c>
      <c r="N10" s="30">
        <v>9.7523724908949987E-3</v>
      </c>
      <c r="O10" s="30">
        <v>9.6973255971354692E-3</v>
      </c>
      <c r="P10" s="30">
        <v>9.6177426084760355E-3</v>
      </c>
      <c r="Q10" s="30">
        <v>9.5647312771530938E-3</v>
      </c>
      <c r="R10" s="30">
        <v>9.414788677917469E-3</v>
      </c>
      <c r="S10" s="30">
        <v>9.3471993085689122E-3</v>
      </c>
      <c r="T10" s="30">
        <v>9.3251373266606818E-3</v>
      </c>
      <c r="U10" s="30">
        <v>9.2964919887967498E-3</v>
      </c>
      <c r="V10" s="30">
        <v>9.299858505835706E-3</v>
      </c>
      <c r="W10" s="30">
        <v>9.31349642668154E-3</v>
      </c>
      <c r="X10" s="30">
        <v>9.3353764105872667E-3</v>
      </c>
      <c r="Y10" s="30">
        <v>9.3492020242392834E-3</v>
      </c>
      <c r="Z10" s="30">
        <v>9.379781513704534E-3</v>
      </c>
      <c r="AA10" s="30">
        <v>9.379781513704534E-3</v>
      </c>
      <c r="AB10" s="30">
        <v>9.379781513704534E-3</v>
      </c>
      <c r="AC10" s="30">
        <v>9.379781513704534E-3</v>
      </c>
      <c r="AD10" s="30">
        <v>9.379781513704534E-3</v>
      </c>
      <c r="AE10" s="30">
        <v>9.379781513704534E-3</v>
      </c>
      <c r="AF10" s="30">
        <v>9.379781513704534E-3</v>
      </c>
      <c r="AG10" s="30">
        <v>9.379781513704534E-3</v>
      </c>
      <c r="AH10" s="30">
        <v>9.379781513704534E-3</v>
      </c>
      <c r="AI10" s="30">
        <v>9.379781513704534E-3</v>
      </c>
      <c r="AJ10" s="30">
        <v>9.379781513704534E-3</v>
      </c>
      <c r="AK10" s="30">
        <v>9.379781513704534E-3</v>
      </c>
      <c r="AL10" s="30">
        <v>9.379781513704534E-3</v>
      </c>
      <c r="AM10" s="30">
        <v>9.379781513704534E-3</v>
      </c>
      <c r="AN10" s="30">
        <v>9.379781513704534E-3</v>
      </c>
      <c r="AO10" s="30">
        <v>9.379781513704534E-3</v>
      </c>
      <c r="AP10" s="30">
        <v>9.379781513704534E-3</v>
      </c>
      <c r="AQ10" s="30">
        <v>9.379781513704534E-3</v>
      </c>
      <c r="AR10" s="30">
        <v>9.379781513704534E-3</v>
      </c>
      <c r="AS10" s="30">
        <v>9.379781513704534E-3</v>
      </c>
      <c r="AT10" s="30">
        <v>9.379781513704534E-3</v>
      </c>
      <c r="AU10" s="30">
        <v>9.379781513704534E-3</v>
      </c>
      <c r="AV10" s="30">
        <v>9.379781513704534E-3</v>
      </c>
      <c r="AW10" s="30">
        <v>9.379781513704534E-3</v>
      </c>
      <c r="AX10" s="30">
        <v>9.379781513704534E-3</v>
      </c>
      <c r="AY10" s="30">
        <v>9.379781513704534E-3</v>
      </c>
      <c r="AZ10" s="30">
        <v>9.379781513704534E-3</v>
      </c>
      <c r="BA10" s="30">
        <v>9.379781513704534E-3</v>
      </c>
      <c r="BB10" s="30">
        <v>9.379781513704534E-3</v>
      </c>
      <c r="BC10" s="30">
        <v>9.379781513704534E-3</v>
      </c>
      <c r="BD10" s="30">
        <v>9.379781513704534E-3</v>
      </c>
      <c r="BE10" s="30">
        <v>9.379781513704534E-3</v>
      </c>
      <c r="BF10" s="30">
        <v>9.379781513704534E-3</v>
      </c>
      <c r="BG10" s="30">
        <v>9.379781513704534E-3</v>
      </c>
      <c r="BH10" s="30">
        <v>9.379781513704534E-3</v>
      </c>
      <c r="BI10" s="30">
        <v>9.379781513704534E-3</v>
      </c>
      <c r="BJ10" s="30">
        <v>9.379781513704534E-3</v>
      </c>
      <c r="BK10" s="30">
        <v>9.379781513704534E-3</v>
      </c>
      <c r="BL10" s="30">
        <v>9.379781513704534E-3</v>
      </c>
      <c r="BM10" s="30">
        <v>9.379781513704534E-3</v>
      </c>
      <c r="BN10" s="30">
        <v>9.379781513704534E-3</v>
      </c>
      <c r="BO10" s="30">
        <v>9.379781513704534E-3</v>
      </c>
      <c r="BP10" s="30">
        <v>9.379781513704534E-3</v>
      </c>
      <c r="BQ10" s="30">
        <v>9.379781513704534E-3</v>
      </c>
      <c r="BR10" s="30">
        <v>9.379781513704534E-3</v>
      </c>
      <c r="BS10" s="30">
        <v>9.379781513704534E-3</v>
      </c>
      <c r="BT10" s="30">
        <v>9.379781513704534E-3</v>
      </c>
      <c r="BU10" s="30">
        <v>9.379781513704534E-3</v>
      </c>
      <c r="BV10" s="30">
        <v>9.379781513704534E-3</v>
      </c>
      <c r="BW10" s="30">
        <v>9.379781513704534E-3</v>
      </c>
      <c r="BX10" s="30">
        <v>9.379781513704534E-3</v>
      </c>
      <c r="BY10" s="30">
        <v>9.379781513704534E-3</v>
      </c>
      <c r="BZ10" s="30">
        <v>9.379781513704534E-3</v>
      </c>
      <c r="CA10" s="30">
        <v>9.379781513704534E-3</v>
      </c>
      <c r="CB10" s="30">
        <v>9.379781513704534E-3</v>
      </c>
      <c r="CC10" s="30">
        <v>9.379781513704534E-3</v>
      </c>
      <c r="CD10" s="30">
        <v>9.379781513704534E-3</v>
      </c>
      <c r="CE10" s="30">
        <v>9.379781513704534E-3</v>
      </c>
      <c r="CF10" s="30">
        <v>9.379781513704534E-3</v>
      </c>
      <c r="CG10" s="30">
        <v>9.379781513704534E-3</v>
      </c>
      <c r="CH10" s="30">
        <v>9.379781513704534E-3</v>
      </c>
      <c r="CI10" s="30">
        <v>9.379781513704534E-3</v>
      </c>
      <c r="CJ10" s="30">
        <v>9.379781513704534E-3</v>
      </c>
      <c r="CK10" s="30">
        <v>9.379781513704534E-3</v>
      </c>
      <c r="CL10" s="30">
        <v>9.379781513704534E-3</v>
      </c>
      <c r="CM10" s="30">
        <v>9.379781513704534E-3</v>
      </c>
      <c r="CN10" s="30">
        <v>9.379781513704534E-3</v>
      </c>
      <c r="CO10" s="30">
        <v>9.379781513704534E-3</v>
      </c>
      <c r="CP10" s="30">
        <v>9.379781513704534E-3</v>
      </c>
      <c r="CQ10" s="30">
        <v>9.379781513704534E-3</v>
      </c>
      <c r="CR10" s="30">
        <v>9.379781513704534E-3</v>
      </c>
      <c r="CS10" s="31">
        <v>9.379781513704534E-3</v>
      </c>
      <c r="CT10" s="10"/>
    </row>
    <row r="11" spans="2:98" ht="15">
      <c r="B11" s="10"/>
      <c r="C11" s="16" t="str">
        <f>INDEX(_pcName,5)</f>
        <v>Inline-Mixed</v>
      </c>
      <c r="D11" s="12" t="s">
        <v>50</v>
      </c>
      <c r="E11" s="30">
        <f t="array" ref="E11:CS11" xml:space="preserve"> ts2bElec * IF(iEnergy&gt;1,ts2pElecInMx,1) * IF(iEnergy&gt;2,tp2fElec,1)</f>
        <v>1.1292687642927757E-2</v>
      </c>
      <c r="F11" s="30">
        <v>1.1061906132325612E-2</v>
      </c>
      <c r="G11" s="30">
        <v>1.0971435601258695E-2</v>
      </c>
      <c r="H11" s="30">
        <v>1.0771115300221217E-2</v>
      </c>
      <c r="I11" s="30">
        <v>1.0465625304372545E-2</v>
      </c>
      <c r="J11" s="30">
        <v>1.0287044529274945E-2</v>
      </c>
      <c r="K11" s="30">
        <v>1.0291446373170128E-2</v>
      </c>
      <c r="L11" s="30">
        <v>1.0116716574422915E-2</v>
      </c>
      <c r="M11" s="30">
        <v>9.8996302984211467E-3</v>
      </c>
      <c r="N11" s="30">
        <v>9.7684715886076148E-3</v>
      </c>
      <c r="O11" s="30">
        <v>9.7136052981320314E-3</v>
      </c>
      <c r="P11" s="30">
        <v>9.6342344315368342E-3</v>
      </c>
      <c r="Q11" s="30">
        <v>9.5814714483861054E-3</v>
      </c>
      <c r="R11" s="30">
        <v>9.4316899937981567E-3</v>
      </c>
      <c r="S11" s="30">
        <v>9.3635630258531079E-3</v>
      </c>
      <c r="T11" s="30">
        <v>9.3411685734415724E-3</v>
      </c>
      <c r="U11" s="30">
        <v>9.3123646145778487E-3</v>
      </c>
      <c r="V11" s="30">
        <v>9.3159448561276614E-3</v>
      </c>
      <c r="W11" s="30">
        <v>9.3297253504932998E-3</v>
      </c>
      <c r="X11" s="30">
        <v>9.351671242860635E-3</v>
      </c>
      <c r="Y11" s="30">
        <v>9.365543437339972E-3</v>
      </c>
      <c r="Z11" s="30">
        <v>9.3963435868295621E-3</v>
      </c>
      <c r="AA11" s="30">
        <v>9.3963435868295621E-3</v>
      </c>
      <c r="AB11" s="30">
        <v>9.3963435868295621E-3</v>
      </c>
      <c r="AC11" s="30">
        <v>9.3963435868295621E-3</v>
      </c>
      <c r="AD11" s="30">
        <v>9.3963435868295621E-3</v>
      </c>
      <c r="AE11" s="30">
        <v>9.3963435868295621E-3</v>
      </c>
      <c r="AF11" s="30">
        <v>9.3963435868295621E-3</v>
      </c>
      <c r="AG11" s="30">
        <v>9.3963435868295621E-3</v>
      </c>
      <c r="AH11" s="30">
        <v>9.3963435868295621E-3</v>
      </c>
      <c r="AI11" s="30">
        <v>9.3963435868295621E-3</v>
      </c>
      <c r="AJ11" s="30">
        <v>9.3963435868295621E-3</v>
      </c>
      <c r="AK11" s="30">
        <v>9.3963435868295621E-3</v>
      </c>
      <c r="AL11" s="30">
        <v>9.3963435868295621E-3</v>
      </c>
      <c r="AM11" s="30">
        <v>9.3963435868295621E-3</v>
      </c>
      <c r="AN11" s="30">
        <v>9.3963435868295621E-3</v>
      </c>
      <c r="AO11" s="30">
        <v>9.3963435868295621E-3</v>
      </c>
      <c r="AP11" s="30">
        <v>9.3963435868295621E-3</v>
      </c>
      <c r="AQ11" s="30">
        <v>9.3963435868295621E-3</v>
      </c>
      <c r="AR11" s="30">
        <v>9.3963435868295621E-3</v>
      </c>
      <c r="AS11" s="30">
        <v>9.3963435868295621E-3</v>
      </c>
      <c r="AT11" s="30">
        <v>9.3963435868295621E-3</v>
      </c>
      <c r="AU11" s="30">
        <v>9.3963435868295621E-3</v>
      </c>
      <c r="AV11" s="30">
        <v>9.3963435868295621E-3</v>
      </c>
      <c r="AW11" s="30">
        <v>9.3963435868295621E-3</v>
      </c>
      <c r="AX11" s="30">
        <v>9.3963435868295621E-3</v>
      </c>
      <c r="AY11" s="30">
        <v>9.3963435868295621E-3</v>
      </c>
      <c r="AZ11" s="30">
        <v>9.3963435868295621E-3</v>
      </c>
      <c r="BA11" s="30">
        <v>9.3963435868295621E-3</v>
      </c>
      <c r="BB11" s="30">
        <v>9.3963435868295621E-3</v>
      </c>
      <c r="BC11" s="30">
        <v>9.3963435868295621E-3</v>
      </c>
      <c r="BD11" s="30">
        <v>9.3963435868295621E-3</v>
      </c>
      <c r="BE11" s="30">
        <v>9.3963435868295621E-3</v>
      </c>
      <c r="BF11" s="30">
        <v>9.3963435868295621E-3</v>
      </c>
      <c r="BG11" s="30">
        <v>9.3963435868295621E-3</v>
      </c>
      <c r="BH11" s="30">
        <v>9.3963435868295621E-3</v>
      </c>
      <c r="BI11" s="30">
        <v>9.3963435868295621E-3</v>
      </c>
      <c r="BJ11" s="30">
        <v>9.3963435868295621E-3</v>
      </c>
      <c r="BK11" s="30">
        <v>9.3963435868295621E-3</v>
      </c>
      <c r="BL11" s="30">
        <v>9.3963435868295621E-3</v>
      </c>
      <c r="BM11" s="30">
        <v>9.3963435868295621E-3</v>
      </c>
      <c r="BN11" s="30">
        <v>9.3963435868295621E-3</v>
      </c>
      <c r="BO11" s="30">
        <v>9.3963435868295621E-3</v>
      </c>
      <c r="BP11" s="30">
        <v>9.3963435868295621E-3</v>
      </c>
      <c r="BQ11" s="30">
        <v>9.3963435868295621E-3</v>
      </c>
      <c r="BR11" s="30">
        <v>9.3963435868295621E-3</v>
      </c>
      <c r="BS11" s="30">
        <v>9.3963435868295621E-3</v>
      </c>
      <c r="BT11" s="30">
        <v>9.3963435868295621E-3</v>
      </c>
      <c r="BU11" s="30">
        <v>9.3963435868295621E-3</v>
      </c>
      <c r="BV11" s="30">
        <v>9.3963435868295621E-3</v>
      </c>
      <c r="BW11" s="30">
        <v>9.3963435868295621E-3</v>
      </c>
      <c r="BX11" s="30">
        <v>9.3963435868295621E-3</v>
      </c>
      <c r="BY11" s="30">
        <v>9.3963435868295621E-3</v>
      </c>
      <c r="BZ11" s="30">
        <v>9.3963435868295621E-3</v>
      </c>
      <c r="CA11" s="30">
        <v>9.3963435868295621E-3</v>
      </c>
      <c r="CB11" s="30">
        <v>9.3963435868295621E-3</v>
      </c>
      <c r="CC11" s="30">
        <v>9.3963435868295621E-3</v>
      </c>
      <c r="CD11" s="30">
        <v>9.3963435868295621E-3</v>
      </c>
      <c r="CE11" s="30">
        <v>9.3963435868295621E-3</v>
      </c>
      <c r="CF11" s="30">
        <v>9.3963435868295621E-3</v>
      </c>
      <c r="CG11" s="30">
        <v>9.3963435868295621E-3</v>
      </c>
      <c r="CH11" s="30">
        <v>9.3963435868295621E-3</v>
      </c>
      <c r="CI11" s="30">
        <v>9.3963435868295621E-3</v>
      </c>
      <c r="CJ11" s="30">
        <v>9.3963435868295621E-3</v>
      </c>
      <c r="CK11" s="30">
        <v>9.3963435868295621E-3</v>
      </c>
      <c r="CL11" s="30">
        <v>9.3963435868295621E-3</v>
      </c>
      <c r="CM11" s="30">
        <v>9.3963435868295621E-3</v>
      </c>
      <c r="CN11" s="30">
        <v>9.3963435868295621E-3</v>
      </c>
      <c r="CO11" s="30">
        <v>9.3963435868295621E-3</v>
      </c>
      <c r="CP11" s="30">
        <v>9.3963435868295621E-3</v>
      </c>
      <c r="CQ11" s="30">
        <v>9.3963435868295621E-3</v>
      </c>
      <c r="CR11" s="30">
        <v>9.3963435868295621E-3</v>
      </c>
      <c r="CS11" s="31">
        <v>9.3963435868295621E-3</v>
      </c>
      <c r="CT11" s="10"/>
    </row>
    <row r="12" spans="2:98" ht="15">
      <c r="B12" s="10"/>
      <c r="C12" s="16" t="str">
        <f>INDEX(_pcName,6)</f>
        <v>Radial</v>
      </c>
      <c r="D12" s="12" t="s">
        <v>50</v>
      </c>
      <c r="E12" s="30">
        <f t="array" ref="E12:CS12" xml:space="preserve"> ts2bElec * IF(iEnergy&gt;1,ts2pElecRad,1) * IF(iEnergy&gt;2,tp2fElec,1)</f>
        <v>1.118307233624647E-2</v>
      </c>
      <c r="F12" s="30">
        <v>1.0954710289038157E-2</v>
      </c>
      <c r="G12" s="30">
        <v>1.0868827370415036E-2</v>
      </c>
      <c r="H12" s="30">
        <v>1.0668888475608568E-2</v>
      </c>
      <c r="I12" s="30">
        <v>1.035685765864917E-2</v>
      </c>
      <c r="J12" s="30">
        <v>1.0167317024943707E-2</v>
      </c>
      <c r="K12" s="30">
        <v>1.0174763242147061E-2</v>
      </c>
      <c r="L12" s="30">
        <v>9.9983326069877504E-3</v>
      </c>
      <c r="M12" s="30">
        <v>9.7763532186721531E-3</v>
      </c>
      <c r="N12" s="30">
        <v>9.6458707675653906E-3</v>
      </c>
      <c r="O12" s="30">
        <v>9.5896291136197409E-3</v>
      </c>
      <c r="P12" s="30">
        <v>9.5086428559199784E-3</v>
      </c>
      <c r="Q12" s="30">
        <v>9.4539886059193303E-3</v>
      </c>
      <c r="R12" s="30">
        <v>9.3029799728605988E-3</v>
      </c>
      <c r="S12" s="30">
        <v>9.2389470249965473E-3</v>
      </c>
      <c r="T12" s="30">
        <v>9.2190844633409565E-3</v>
      </c>
      <c r="U12" s="30">
        <v>9.1914884643987081E-3</v>
      </c>
      <c r="V12" s="30">
        <v>9.1934411115966157E-3</v>
      </c>
      <c r="W12" s="30">
        <v>9.2061358537729766E-3</v>
      </c>
      <c r="X12" s="30">
        <v>9.2275798278557662E-3</v>
      </c>
      <c r="Y12" s="30">
        <v>9.2410972914193437E-3</v>
      </c>
      <c r="Z12" s="30">
        <v>9.2702170299543332E-3</v>
      </c>
      <c r="AA12" s="30">
        <v>9.2702170299543332E-3</v>
      </c>
      <c r="AB12" s="30">
        <v>9.2702170299543332E-3</v>
      </c>
      <c r="AC12" s="30">
        <v>9.2702170299543332E-3</v>
      </c>
      <c r="AD12" s="30">
        <v>9.2702170299543332E-3</v>
      </c>
      <c r="AE12" s="30">
        <v>9.2702170299543332E-3</v>
      </c>
      <c r="AF12" s="30">
        <v>9.2702170299543332E-3</v>
      </c>
      <c r="AG12" s="30">
        <v>9.2702170299543332E-3</v>
      </c>
      <c r="AH12" s="30">
        <v>9.2702170299543332E-3</v>
      </c>
      <c r="AI12" s="30">
        <v>9.2702170299543332E-3</v>
      </c>
      <c r="AJ12" s="30">
        <v>9.2702170299543332E-3</v>
      </c>
      <c r="AK12" s="30">
        <v>9.2702170299543332E-3</v>
      </c>
      <c r="AL12" s="30">
        <v>9.2702170299543332E-3</v>
      </c>
      <c r="AM12" s="30">
        <v>9.2702170299543332E-3</v>
      </c>
      <c r="AN12" s="30">
        <v>9.2702170299543332E-3</v>
      </c>
      <c r="AO12" s="30">
        <v>9.2702170299543332E-3</v>
      </c>
      <c r="AP12" s="30">
        <v>9.2702170299543332E-3</v>
      </c>
      <c r="AQ12" s="30">
        <v>9.2702170299543332E-3</v>
      </c>
      <c r="AR12" s="30">
        <v>9.2702170299543332E-3</v>
      </c>
      <c r="AS12" s="30">
        <v>9.2702170299543332E-3</v>
      </c>
      <c r="AT12" s="30">
        <v>9.2702170299543332E-3</v>
      </c>
      <c r="AU12" s="30">
        <v>9.2702170299543332E-3</v>
      </c>
      <c r="AV12" s="30">
        <v>9.2702170299543332E-3</v>
      </c>
      <c r="AW12" s="30">
        <v>9.2702170299543332E-3</v>
      </c>
      <c r="AX12" s="30">
        <v>9.2702170299543332E-3</v>
      </c>
      <c r="AY12" s="30">
        <v>9.2702170299543332E-3</v>
      </c>
      <c r="AZ12" s="30">
        <v>9.2702170299543332E-3</v>
      </c>
      <c r="BA12" s="30">
        <v>9.2702170299543332E-3</v>
      </c>
      <c r="BB12" s="30">
        <v>9.2702170299543332E-3</v>
      </c>
      <c r="BC12" s="30">
        <v>9.2702170299543332E-3</v>
      </c>
      <c r="BD12" s="30">
        <v>9.2702170299543332E-3</v>
      </c>
      <c r="BE12" s="30">
        <v>9.2702170299543332E-3</v>
      </c>
      <c r="BF12" s="30">
        <v>9.2702170299543332E-3</v>
      </c>
      <c r="BG12" s="30">
        <v>9.2702170299543332E-3</v>
      </c>
      <c r="BH12" s="30">
        <v>9.2702170299543332E-3</v>
      </c>
      <c r="BI12" s="30">
        <v>9.2702170299543332E-3</v>
      </c>
      <c r="BJ12" s="30">
        <v>9.2702170299543332E-3</v>
      </c>
      <c r="BK12" s="30">
        <v>9.2702170299543332E-3</v>
      </c>
      <c r="BL12" s="30">
        <v>9.2702170299543332E-3</v>
      </c>
      <c r="BM12" s="30">
        <v>9.2702170299543332E-3</v>
      </c>
      <c r="BN12" s="30">
        <v>9.2702170299543332E-3</v>
      </c>
      <c r="BO12" s="30">
        <v>9.2702170299543332E-3</v>
      </c>
      <c r="BP12" s="30">
        <v>9.2702170299543332E-3</v>
      </c>
      <c r="BQ12" s="30">
        <v>9.2702170299543332E-3</v>
      </c>
      <c r="BR12" s="30">
        <v>9.2702170299543332E-3</v>
      </c>
      <c r="BS12" s="30">
        <v>9.2702170299543332E-3</v>
      </c>
      <c r="BT12" s="30">
        <v>9.2702170299543332E-3</v>
      </c>
      <c r="BU12" s="30">
        <v>9.2702170299543332E-3</v>
      </c>
      <c r="BV12" s="30">
        <v>9.2702170299543332E-3</v>
      </c>
      <c r="BW12" s="30">
        <v>9.2702170299543332E-3</v>
      </c>
      <c r="BX12" s="30">
        <v>9.2702170299543332E-3</v>
      </c>
      <c r="BY12" s="30">
        <v>9.2702170299543332E-3</v>
      </c>
      <c r="BZ12" s="30">
        <v>9.2702170299543332E-3</v>
      </c>
      <c r="CA12" s="30">
        <v>9.2702170299543332E-3</v>
      </c>
      <c r="CB12" s="30">
        <v>9.2702170299543332E-3</v>
      </c>
      <c r="CC12" s="30">
        <v>9.2702170299543332E-3</v>
      </c>
      <c r="CD12" s="30">
        <v>9.2702170299543332E-3</v>
      </c>
      <c r="CE12" s="30">
        <v>9.2702170299543332E-3</v>
      </c>
      <c r="CF12" s="30">
        <v>9.2702170299543332E-3</v>
      </c>
      <c r="CG12" s="30">
        <v>9.2702170299543332E-3</v>
      </c>
      <c r="CH12" s="30">
        <v>9.2702170299543332E-3</v>
      </c>
      <c r="CI12" s="30">
        <v>9.2702170299543332E-3</v>
      </c>
      <c r="CJ12" s="30">
        <v>9.2702170299543332E-3</v>
      </c>
      <c r="CK12" s="30">
        <v>9.2702170299543332E-3</v>
      </c>
      <c r="CL12" s="30">
        <v>9.2702170299543332E-3</v>
      </c>
      <c r="CM12" s="30">
        <v>9.2702170299543332E-3</v>
      </c>
      <c r="CN12" s="30">
        <v>9.2702170299543332E-3</v>
      </c>
      <c r="CO12" s="30">
        <v>9.2702170299543332E-3</v>
      </c>
      <c r="CP12" s="30">
        <v>9.2702170299543332E-3</v>
      </c>
      <c r="CQ12" s="30">
        <v>9.2702170299543332E-3</v>
      </c>
      <c r="CR12" s="30">
        <v>9.2702170299543332E-3</v>
      </c>
      <c r="CS12" s="31">
        <v>9.2702170299543332E-3</v>
      </c>
      <c r="CT12" s="10"/>
    </row>
    <row r="13" spans="2:98" ht="15">
      <c r="B13" s="10"/>
      <c r="C13" s="16" t="str">
        <f>INDEX(_pcName,7)</f>
        <v>Power Roof Vent</v>
      </c>
      <c r="D13" s="12" t="s">
        <v>50</v>
      </c>
      <c r="E13" s="30">
        <f t="array" ref="E13:CS13" xml:space="preserve"> ts2bElec * IF(iEnergy&gt;1,ts2pElecPRV,1) * IF(iEnergy&gt;2,tp2fElec,1)</f>
        <v>1.129047319228773E-2</v>
      </c>
      <c r="F13" s="30">
        <v>1.1059740559733945E-2</v>
      </c>
      <c r="G13" s="30">
        <v>1.09693627077063E-2</v>
      </c>
      <c r="H13" s="30">
        <v>1.0769050111845204E-2</v>
      </c>
      <c r="I13" s="30">
        <v>1.0463427978196315E-2</v>
      </c>
      <c r="J13" s="30">
        <v>1.0284625791813707E-2</v>
      </c>
      <c r="K13" s="30">
        <v>1.0289089138199965E-2</v>
      </c>
      <c r="L13" s="30">
        <v>1.0114324979121193E-2</v>
      </c>
      <c r="M13" s="30">
        <v>9.8971398523656114E-3</v>
      </c>
      <c r="N13" s="30">
        <v>9.765994804344133E-3</v>
      </c>
      <c r="O13" s="30">
        <v>9.7111007287479442E-3</v>
      </c>
      <c r="P13" s="30">
        <v>9.6316972279890199E-3</v>
      </c>
      <c r="Q13" s="30">
        <v>9.5788960374271811E-3</v>
      </c>
      <c r="R13" s="30">
        <v>9.4290897913549727E-3</v>
      </c>
      <c r="S13" s="30">
        <v>9.361045530886309E-3</v>
      </c>
      <c r="T13" s="30">
        <v>9.3387022277829738E-3</v>
      </c>
      <c r="U13" s="30">
        <v>9.3099226721499884E-3</v>
      </c>
      <c r="V13" s="30">
        <v>9.3134700330058211E-3</v>
      </c>
      <c r="W13" s="30">
        <v>9.3272285929837991E-3</v>
      </c>
      <c r="X13" s="30">
        <v>9.3491643455878067E-3</v>
      </c>
      <c r="Y13" s="30">
        <v>9.3630293737860214E-3</v>
      </c>
      <c r="Z13" s="30">
        <v>9.3937955755795579E-3</v>
      </c>
      <c r="AA13" s="30">
        <v>9.3937955755795579E-3</v>
      </c>
      <c r="AB13" s="30">
        <v>9.3937955755795579E-3</v>
      </c>
      <c r="AC13" s="30">
        <v>9.3937955755795579E-3</v>
      </c>
      <c r="AD13" s="30">
        <v>9.3937955755795579E-3</v>
      </c>
      <c r="AE13" s="30">
        <v>9.3937955755795579E-3</v>
      </c>
      <c r="AF13" s="30">
        <v>9.3937955755795579E-3</v>
      </c>
      <c r="AG13" s="30">
        <v>9.3937955755795579E-3</v>
      </c>
      <c r="AH13" s="30">
        <v>9.3937955755795579E-3</v>
      </c>
      <c r="AI13" s="30">
        <v>9.3937955755795579E-3</v>
      </c>
      <c r="AJ13" s="30">
        <v>9.3937955755795579E-3</v>
      </c>
      <c r="AK13" s="30">
        <v>9.3937955755795579E-3</v>
      </c>
      <c r="AL13" s="30">
        <v>9.3937955755795579E-3</v>
      </c>
      <c r="AM13" s="30">
        <v>9.3937955755795579E-3</v>
      </c>
      <c r="AN13" s="30">
        <v>9.3937955755795579E-3</v>
      </c>
      <c r="AO13" s="30">
        <v>9.3937955755795579E-3</v>
      </c>
      <c r="AP13" s="30">
        <v>9.3937955755795579E-3</v>
      </c>
      <c r="AQ13" s="30">
        <v>9.3937955755795579E-3</v>
      </c>
      <c r="AR13" s="30">
        <v>9.3937955755795579E-3</v>
      </c>
      <c r="AS13" s="30">
        <v>9.3937955755795579E-3</v>
      </c>
      <c r="AT13" s="30">
        <v>9.3937955755795579E-3</v>
      </c>
      <c r="AU13" s="30">
        <v>9.3937955755795579E-3</v>
      </c>
      <c r="AV13" s="30">
        <v>9.3937955755795579E-3</v>
      </c>
      <c r="AW13" s="30">
        <v>9.3937955755795579E-3</v>
      </c>
      <c r="AX13" s="30">
        <v>9.3937955755795579E-3</v>
      </c>
      <c r="AY13" s="30">
        <v>9.3937955755795579E-3</v>
      </c>
      <c r="AZ13" s="30">
        <v>9.3937955755795579E-3</v>
      </c>
      <c r="BA13" s="30">
        <v>9.3937955755795579E-3</v>
      </c>
      <c r="BB13" s="30">
        <v>9.3937955755795579E-3</v>
      </c>
      <c r="BC13" s="30">
        <v>9.3937955755795579E-3</v>
      </c>
      <c r="BD13" s="30">
        <v>9.3937955755795579E-3</v>
      </c>
      <c r="BE13" s="30">
        <v>9.3937955755795579E-3</v>
      </c>
      <c r="BF13" s="30">
        <v>9.3937955755795579E-3</v>
      </c>
      <c r="BG13" s="30">
        <v>9.3937955755795579E-3</v>
      </c>
      <c r="BH13" s="30">
        <v>9.3937955755795579E-3</v>
      </c>
      <c r="BI13" s="30">
        <v>9.3937955755795579E-3</v>
      </c>
      <c r="BJ13" s="30">
        <v>9.3937955755795579E-3</v>
      </c>
      <c r="BK13" s="30">
        <v>9.3937955755795579E-3</v>
      </c>
      <c r="BL13" s="30">
        <v>9.3937955755795579E-3</v>
      </c>
      <c r="BM13" s="30">
        <v>9.3937955755795579E-3</v>
      </c>
      <c r="BN13" s="30">
        <v>9.3937955755795579E-3</v>
      </c>
      <c r="BO13" s="30">
        <v>9.3937955755795579E-3</v>
      </c>
      <c r="BP13" s="30">
        <v>9.3937955755795579E-3</v>
      </c>
      <c r="BQ13" s="30">
        <v>9.3937955755795579E-3</v>
      </c>
      <c r="BR13" s="30">
        <v>9.3937955755795579E-3</v>
      </c>
      <c r="BS13" s="30">
        <v>9.3937955755795579E-3</v>
      </c>
      <c r="BT13" s="30">
        <v>9.3937955755795579E-3</v>
      </c>
      <c r="BU13" s="30">
        <v>9.3937955755795579E-3</v>
      </c>
      <c r="BV13" s="30">
        <v>9.3937955755795579E-3</v>
      </c>
      <c r="BW13" s="30">
        <v>9.3937955755795579E-3</v>
      </c>
      <c r="BX13" s="30">
        <v>9.3937955755795579E-3</v>
      </c>
      <c r="BY13" s="30">
        <v>9.3937955755795579E-3</v>
      </c>
      <c r="BZ13" s="30">
        <v>9.3937955755795579E-3</v>
      </c>
      <c r="CA13" s="30">
        <v>9.3937955755795579E-3</v>
      </c>
      <c r="CB13" s="30">
        <v>9.3937955755795579E-3</v>
      </c>
      <c r="CC13" s="30">
        <v>9.3937955755795579E-3</v>
      </c>
      <c r="CD13" s="30">
        <v>9.3937955755795579E-3</v>
      </c>
      <c r="CE13" s="30">
        <v>9.3937955755795579E-3</v>
      </c>
      <c r="CF13" s="30">
        <v>9.3937955755795579E-3</v>
      </c>
      <c r="CG13" s="30">
        <v>9.3937955755795579E-3</v>
      </c>
      <c r="CH13" s="30">
        <v>9.3937955755795579E-3</v>
      </c>
      <c r="CI13" s="30">
        <v>9.3937955755795579E-3</v>
      </c>
      <c r="CJ13" s="30">
        <v>9.3937955755795579E-3</v>
      </c>
      <c r="CK13" s="30">
        <v>9.3937955755795579E-3</v>
      </c>
      <c r="CL13" s="30">
        <v>9.3937955755795579E-3</v>
      </c>
      <c r="CM13" s="30">
        <v>9.3937955755795579E-3</v>
      </c>
      <c r="CN13" s="30">
        <v>9.3937955755795579E-3</v>
      </c>
      <c r="CO13" s="30">
        <v>9.3937955755795579E-3</v>
      </c>
      <c r="CP13" s="30">
        <v>9.3937955755795579E-3</v>
      </c>
      <c r="CQ13" s="30">
        <v>9.3937955755795579E-3</v>
      </c>
      <c r="CR13" s="30">
        <v>9.3937955755795579E-3</v>
      </c>
      <c r="CS13" s="31">
        <v>9.3937955755795579E-3</v>
      </c>
      <c r="CT13" s="10"/>
    </row>
    <row r="14" spans="2:98" ht="15">
      <c r="B14" s="10"/>
      <c r="C14" s="11" t="s">
        <v>48</v>
      </c>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5"/>
      <c r="CT14" s="10"/>
    </row>
    <row r="15" spans="2:98" ht="15">
      <c r="B15" s="10"/>
      <c r="C15" s="16" t="s">
        <v>53</v>
      </c>
      <c r="D15" s="12" t="s">
        <v>50</v>
      </c>
      <c r="E15" s="30">
        <f t="array" ref="E15:CS15">CONVERT(0.000001,"kWh","btu")</f>
        <v>3.412141633127942E-3</v>
      </c>
      <c r="F15" s="30">
        <v>3.412141633127942E-3</v>
      </c>
      <c r="G15" s="30">
        <v>3.412141633127942E-3</v>
      </c>
      <c r="H15" s="30">
        <v>3.412141633127942E-3</v>
      </c>
      <c r="I15" s="30">
        <v>3.412141633127942E-3</v>
      </c>
      <c r="J15" s="30">
        <v>3.412141633127942E-3</v>
      </c>
      <c r="K15" s="30">
        <v>3.412141633127942E-3</v>
      </c>
      <c r="L15" s="30">
        <v>3.412141633127942E-3</v>
      </c>
      <c r="M15" s="30">
        <v>3.412141633127942E-3</v>
      </c>
      <c r="N15" s="30">
        <v>3.412141633127942E-3</v>
      </c>
      <c r="O15" s="30">
        <v>3.412141633127942E-3</v>
      </c>
      <c r="P15" s="30">
        <v>3.412141633127942E-3</v>
      </c>
      <c r="Q15" s="30">
        <v>3.412141633127942E-3</v>
      </c>
      <c r="R15" s="30">
        <v>3.412141633127942E-3</v>
      </c>
      <c r="S15" s="30">
        <v>3.412141633127942E-3</v>
      </c>
      <c r="T15" s="30">
        <v>3.412141633127942E-3</v>
      </c>
      <c r="U15" s="30">
        <v>3.412141633127942E-3</v>
      </c>
      <c r="V15" s="30">
        <v>3.412141633127942E-3</v>
      </c>
      <c r="W15" s="30">
        <v>3.412141633127942E-3</v>
      </c>
      <c r="X15" s="30">
        <v>3.412141633127942E-3</v>
      </c>
      <c r="Y15" s="30">
        <v>3.412141633127942E-3</v>
      </c>
      <c r="Z15" s="30">
        <v>3.412141633127942E-3</v>
      </c>
      <c r="AA15" s="30">
        <v>3.412141633127942E-3</v>
      </c>
      <c r="AB15" s="30">
        <v>3.412141633127942E-3</v>
      </c>
      <c r="AC15" s="30">
        <v>3.412141633127942E-3</v>
      </c>
      <c r="AD15" s="30">
        <v>3.412141633127942E-3</v>
      </c>
      <c r="AE15" s="30">
        <v>3.412141633127942E-3</v>
      </c>
      <c r="AF15" s="30">
        <v>3.412141633127942E-3</v>
      </c>
      <c r="AG15" s="30">
        <v>3.412141633127942E-3</v>
      </c>
      <c r="AH15" s="30">
        <v>3.412141633127942E-3</v>
      </c>
      <c r="AI15" s="30">
        <v>3.412141633127942E-3</v>
      </c>
      <c r="AJ15" s="30">
        <v>3.412141633127942E-3</v>
      </c>
      <c r="AK15" s="30">
        <v>3.412141633127942E-3</v>
      </c>
      <c r="AL15" s="30">
        <v>3.412141633127942E-3</v>
      </c>
      <c r="AM15" s="30">
        <v>3.412141633127942E-3</v>
      </c>
      <c r="AN15" s="30">
        <v>3.412141633127942E-3</v>
      </c>
      <c r="AO15" s="30">
        <v>3.412141633127942E-3</v>
      </c>
      <c r="AP15" s="30">
        <v>3.412141633127942E-3</v>
      </c>
      <c r="AQ15" s="30">
        <v>3.412141633127942E-3</v>
      </c>
      <c r="AR15" s="30">
        <v>3.412141633127942E-3</v>
      </c>
      <c r="AS15" s="30">
        <v>3.412141633127942E-3</v>
      </c>
      <c r="AT15" s="30">
        <v>3.412141633127942E-3</v>
      </c>
      <c r="AU15" s="30">
        <v>3.412141633127942E-3</v>
      </c>
      <c r="AV15" s="30">
        <v>3.412141633127942E-3</v>
      </c>
      <c r="AW15" s="30">
        <v>3.412141633127942E-3</v>
      </c>
      <c r="AX15" s="30">
        <v>3.412141633127942E-3</v>
      </c>
      <c r="AY15" s="30">
        <v>3.412141633127942E-3</v>
      </c>
      <c r="AZ15" s="30">
        <v>3.412141633127942E-3</v>
      </c>
      <c r="BA15" s="30">
        <v>3.412141633127942E-3</v>
      </c>
      <c r="BB15" s="30">
        <v>3.412141633127942E-3</v>
      </c>
      <c r="BC15" s="30">
        <v>3.412141633127942E-3</v>
      </c>
      <c r="BD15" s="30">
        <v>3.412141633127942E-3</v>
      </c>
      <c r="BE15" s="30">
        <v>3.412141633127942E-3</v>
      </c>
      <c r="BF15" s="30">
        <v>3.412141633127942E-3</v>
      </c>
      <c r="BG15" s="30">
        <v>3.412141633127942E-3</v>
      </c>
      <c r="BH15" s="30">
        <v>3.412141633127942E-3</v>
      </c>
      <c r="BI15" s="30">
        <v>3.412141633127942E-3</v>
      </c>
      <c r="BJ15" s="30">
        <v>3.412141633127942E-3</v>
      </c>
      <c r="BK15" s="30">
        <v>3.412141633127942E-3</v>
      </c>
      <c r="BL15" s="30">
        <v>3.412141633127942E-3</v>
      </c>
      <c r="BM15" s="30">
        <v>3.412141633127942E-3</v>
      </c>
      <c r="BN15" s="30">
        <v>3.412141633127942E-3</v>
      </c>
      <c r="BO15" s="30">
        <v>3.412141633127942E-3</v>
      </c>
      <c r="BP15" s="30">
        <v>3.412141633127942E-3</v>
      </c>
      <c r="BQ15" s="30">
        <v>3.412141633127942E-3</v>
      </c>
      <c r="BR15" s="30">
        <v>3.412141633127942E-3</v>
      </c>
      <c r="BS15" s="30">
        <v>3.412141633127942E-3</v>
      </c>
      <c r="BT15" s="30">
        <v>3.412141633127942E-3</v>
      </c>
      <c r="BU15" s="30">
        <v>3.412141633127942E-3</v>
      </c>
      <c r="BV15" s="30">
        <v>3.412141633127942E-3</v>
      </c>
      <c r="BW15" s="30">
        <v>3.412141633127942E-3</v>
      </c>
      <c r="BX15" s="30">
        <v>3.412141633127942E-3</v>
      </c>
      <c r="BY15" s="30">
        <v>3.412141633127942E-3</v>
      </c>
      <c r="BZ15" s="30">
        <v>3.412141633127942E-3</v>
      </c>
      <c r="CA15" s="30">
        <v>3.412141633127942E-3</v>
      </c>
      <c r="CB15" s="30">
        <v>3.412141633127942E-3</v>
      </c>
      <c r="CC15" s="30">
        <v>3.412141633127942E-3</v>
      </c>
      <c r="CD15" s="30">
        <v>3.412141633127942E-3</v>
      </c>
      <c r="CE15" s="30">
        <v>3.412141633127942E-3</v>
      </c>
      <c r="CF15" s="30">
        <v>3.412141633127942E-3</v>
      </c>
      <c r="CG15" s="30">
        <v>3.412141633127942E-3</v>
      </c>
      <c r="CH15" s="30">
        <v>3.412141633127942E-3</v>
      </c>
      <c r="CI15" s="30">
        <v>3.412141633127942E-3</v>
      </c>
      <c r="CJ15" s="30">
        <v>3.412141633127942E-3</v>
      </c>
      <c r="CK15" s="30">
        <v>3.412141633127942E-3</v>
      </c>
      <c r="CL15" s="30">
        <v>3.412141633127942E-3</v>
      </c>
      <c r="CM15" s="30">
        <v>3.412141633127942E-3</v>
      </c>
      <c r="CN15" s="30">
        <v>3.412141633127942E-3</v>
      </c>
      <c r="CO15" s="30">
        <v>3.412141633127942E-3</v>
      </c>
      <c r="CP15" s="30">
        <v>3.412141633127942E-3</v>
      </c>
      <c r="CQ15" s="30">
        <v>3.412141633127942E-3</v>
      </c>
      <c r="CR15" s="30">
        <v>3.412141633127942E-3</v>
      </c>
      <c r="CS15" s="31">
        <v>3.412141633127942E-3</v>
      </c>
      <c r="CT15" s="10"/>
    </row>
    <row r="16" spans="2:98" ht="15">
      <c r="B16" s="10"/>
      <c r="C16" s="16" t="s">
        <v>54</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5"/>
      <c r="CT16" s="10"/>
    </row>
    <row r="17" spans="2:98" ht="15">
      <c r="B17" s="10"/>
      <c r="C17" s="28" t="str">
        <f>INDEX(_pcName,1)</f>
        <v>Axial Cylindrical Housed</v>
      </c>
      <c r="D17" s="12" t="s">
        <v>55</v>
      </c>
      <c r="E17" s="30">
        <f t="array" ref="E17:CS17">(tshrAxHCom*ts2sCom + tshrAxHInd*ts2sInd)/ts2bElec</f>
        <v>3.1433431999821391</v>
      </c>
      <c r="F17" s="30">
        <v>3.0789729531203593</v>
      </c>
      <c r="G17" s="30">
        <v>3.0542248120127651</v>
      </c>
      <c r="H17" s="30">
        <v>2.9976595264931407</v>
      </c>
      <c r="I17" s="30">
        <v>2.9098521137610591</v>
      </c>
      <c r="J17" s="30">
        <v>2.8564245823140433</v>
      </c>
      <c r="K17" s="30">
        <v>2.857731351519226</v>
      </c>
      <c r="L17" s="30">
        <v>2.8077600484405294</v>
      </c>
      <c r="M17" s="30">
        <v>2.745157811987414</v>
      </c>
      <c r="N17" s="30">
        <v>2.7081768123780834</v>
      </c>
      <c r="O17" s="30">
        <v>2.6919684383951141</v>
      </c>
      <c r="P17" s="30">
        <v>2.6691716556032943</v>
      </c>
      <c r="Q17" s="30">
        <v>2.6542446065308392</v>
      </c>
      <c r="R17" s="30">
        <v>2.6122231707321255</v>
      </c>
      <c r="S17" s="30">
        <v>2.5941857787605773</v>
      </c>
      <c r="T17" s="30">
        <v>2.5884906818863338</v>
      </c>
      <c r="U17" s="30">
        <v>2.5804829296629794</v>
      </c>
      <c r="V17" s="30">
        <v>2.580929263098827</v>
      </c>
      <c r="W17" s="30">
        <v>2.5845957196971234</v>
      </c>
      <c r="X17" s="30">
        <v>2.5908198979909618</v>
      </c>
      <c r="Y17" s="30">
        <v>2.5948942923896441</v>
      </c>
      <c r="Z17" s="30">
        <v>2.6031366593510188</v>
      </c>
      <c r="AA17" s="30">
        <v>2.6031366593510188</v>
      </c>
      <c r="AB17" s="30">
        <v>2.6031366593510188</v>
      </c>
      <c r="AC17" s="30">
        <v>2.6031366593510188</v>
      </c>
      <c r="AD17" s="30">
        <v>2.6031366593510188</v>
      </c>
      <c r="AE17" s="30">
        <v>2.6031366593510188</v>
      </c>
      <c r="AF17" s="30">
        <v>2.6031366593510188</v>
      </c>
      <c r="AG17" s="30">
        <v>2.6031366593510188</v>
      </c>
      <c r="AH17" s="30">
        <v>2.6031366593510188</v>
      </c>
      <c r="AI17" s="30">
        <v>2.6031366593510188</v>
      </c>
      <c r="AJ17" s="30">
        <v>2.6031366593510188</v>
      </c>
      <c r="AK17" s="30">
        <v>2.6031366593510188</v>
      </c>
      <c r="AL17" s="30">
        <v>2.6031366593510188</v>
      </c>
      <c r="AM17" s="30">
        <v>2.6031366593510188</v>
      </c>
      <c r="AN17" s="30">
        <v>2.6031366593510188</v>
      </c>
      <c r="AO17" s="30">
        <v>2.6031366593510188</v>
      </c>
      <c r="AP17" s="30">
        <v>2.6031366593510188</v>
      </c>
      <c r="AQ17" s="30">
        <v>2.6031366593510188</v>
      </c>
      <c r="AR17" s="30">
        <v>2.6031366593510188</v>
      </c>
      <c r="AS17" s="30">
        <v>2.6031366593510188</v>
      </c>
      <c r="AT17" s="30">
        <v>2.6031366593510188</v>
      </c>
      <c r="AU17" s="30">
        <v>2.6031366593510188</v>
      </c>
      <c r="AV17" s="30">
        <v>2.6031366593510188</v>
      </c>
      <c r="AW17" s="30">
        <v>2.6031366593510188</v>
      </c>
      <c r="AX17" s="30">
        <v>2.6031366593510188</v>
      </c>
      <c r="AY17" s="30">
        <v>2.6031366593510188</v>
      </c>
      <c r="AZ17" s="30">
        <v>2.6031366593510188</v>
      </c>
      <c r="BA17" s="30">
        <v>2.6031366593510188</v>
      </c>
      <c r="BB17" s="30">
        <v>2.6031366593510188</v>
      </c>
      <c r="BC17" s="30">
        <v>2.6031366593510188</v>
      </c>
      <c r="BD17" s="30">
        <v>2.6031366593510188</v>
      </c>
      <c r="BE17" s="30">
        <v>2.6031366593510188</v>
      </c>
      <c r="BF17" s="30">
        <v>2.6031366593510188</v>
      </c>
      <c r="BG17" s="30">
        <v>2.6031366593510188</v>
      </c>
      <c r="BH17" s="30">
        <v>2.6031366593510188</v>
      </c>
      <c r="BI17" s="30">
        <v>2.6031366593510188</v>
      </c>
      <c r="BJ17" s="30">
        <v>2.6031366593510188</v>
      </c>
      <c r="BK17" s="30">
        <v>2.6031366593510188</v>
      </c>
      <c r="BL17" s="30">
        <v>2.6031366593510188</v>
      </c>
      <c r="BM17" s="30">
        <v>2.6031366593510188</v>
      </c>
      <c r="BN17" s="30">
        <v>2.6031366593510188</v>
      </c>
      <c r="BO17" s="30">
        <v>2.6031366593510188</v>
      </c>
      <c r="BP17" s="30">
        <v>2.6031366593510188</v>
      </c>
      <c r="BQ17" s="30">
        <v>2.6031366593510188</v>
      </c>
      <c r="BR17" s="30">
        <v>2.6031366593510188</v>
      </c>
      <c r="BS17" s="30">
        <v>2.6031366593510188</v>
      </c>
      <c r="BT17" s="30">
        <v>2.6031366593510188</v>
      </c>
      <c r="BU17" s="30">
        <v>2.6031366593510188</v>
      </c>
      <c r="BV17" s="30">
        <v>2.6031366593510188</v>
      </c>
      <c r="BW17" s="30">
        <v>2.6031366593510188</v>
      </c>
      <c r="BX17" s="30">
        <v>2.6031366593510188</v>
      </c>
      <c r="BY17" s="30">
        <v>2.6031366593510188</v>
      </c>
      <c r="BZ17" s="30">
        <v>2.6031366593510188</v>
      </c>
      <c r="CA17" s="30">
        <v>2.6031366593510188</v>
      </c>
      <c r="CB17" s="30">
        <v>2.6031366593510188</v>
      </c>
      <c r="CC17" s="30">
        <v>2.6031366593510188</v>
      </c>
      <c r="CD17" s="30">
        <v>2.6031366593510188</v>
      </c>
      <c r="CE17" s="30">
        <v>2.6031366593510188</v>
      </c>
      <c r="CF17" s="30">
        <v>2.6031366593510188</v>
      </c>
      <c r="CG17" s="30">
        <v>2.6031366593510188</v>
      </c>
      <c r="CH17" s="30">
        <v>2.6031366593510188</v>
      </c>
      <c r="CI17" s="30">
        <v>2.6031366593510188</v>
      </c>
      <c r="CJ17" s="30">
        <v>2.6031366593510188</v>
      </c>
      <c r="CK17" s="30">
        <v>2.6031366593510188</v>
      </c>
      <c r="CL17" s="30">
        <v>2.6031366593510188</v>
      </c>
      <c r="CM17" s="30">
        <v>2.6031366593510188</v>
      </c>
      <c r="CN17" s="30">
        <v>2.6031366593510188</v>
      </c>
      <c r="CO17" s="30">
        <v>2.6031366593510188</v>
      </c>
      <c r="CP17" s="30">
        <v>2.6031366593510188</v>
      </c>
      <c r="CQ17" s="30">
        <v>2.6031366593510188</v>
      </c>
      <c r="CR17" s="30">
        <v>2.6031366593510188</v>
      </c>
      <c r="CS17" s="31">
        <v>2.6031366593510188</v>
      </c>
      <c r="CT17" s="10"/>
    </row>
    <row r="18" spans="2:98" ht="15">
      <c r="B18" s="10"/>
      <c r="C18" s="28" t="str">
        <f>INDEX(_pcName,2)</f>
        <v>Panel</v>
      </c>
      <c r="D18" s="12" t="s">
        <v>55</v>
      </c>
      <c r="E18" s="30">
        <f t="array" ref="E18:CS18">(tshrPanCom*ts2sCom + tshrPanInd*ts2sInd)/ts2bElec</f>
        <v>3.1604416456531523</v>
      </c>
      <c r="F18" s="30">
        <v>3.0956930381465577</v>
      </c>
      <c r="G18" s="30">
        <v>3.07022675386095</v>
      </c>
      <c r="H18" s="30">
        <v>3.01359971205919</v>
      </c>
      <c r="I18" s="30">
        <v>2.9268096852138976</v>
      </c>
      <c r="J18" s="30">
        <v>2.8750870881246771</v>
      </c>
      <c r="K18" s="30">
        <v>2.8759149413239511</v>
      </c>
      <c r="L18" s="30">
        <v>2.8262051824421581</v>
      </c>
      <c r="M18" s="30">
        <v>2.7643618346251109</v>
      </c>
      <c r="N18" s="30">
        <v>2.7272728628149361</v>
      </c>
      <c r="O18" s="30">
        <v>2.7112752480370892</v>
      </c>
      <c r="P18" s="30">
        <v>2.6887289638717986</v>
      </c>
      <c r="Q18" s="30">
        <v>2.6740989208338459</v>
      </c>
      <c r="R18" s="30">
        <v>2.6322707036672761</v>
      </c>
      <c r="S18" s="30">
        <v>2.6135959568901774</v>
      </c>
      <c r="T18" s="30">
        <v>2.6075061447126968</v>
      </c>
      <c r="U18" s="30">
        <v>2.599308542669696</v>
      </c>
      <c r="V18" s="30">
        <v>2.6000072406922752</v>
      </c>
      <c r="W18" s="30">
        <v>2.6038433370001619</v>
      </c>
      <c r="X18" s="30">
        <v>2.6101471541224535</v>
      </c>
      <c r="Y18" s="30">
        <v>2.6142788426748416</v>
      </c>
      <c r="Z18" s="30">
        <v>2.6227831534184691</v>
      </c>
      <c r="AA18" s="30">
        <v>2.6227831534184691</v>
      </c>
      <c r="AB18" s="30">
        <v>2.6227831534184691</v>
      </c>
      <c r="AC18" s="30">
        <v>2.6227831534184691</v>
      </c>
      <c r="AD18" s="30">
        <v>2.6227831534184691</v>
      </c>
      <c r="AE18" s="30">
        <v>2.6227831534184691</v>
      </c>
      <c r="AF18" s="30">
        <v>2.6227831534184691</v>
      </c>
      <c r="AG18" s="30">
        <v>2.6227831534184691</v>
      </c>
      <c r="AH18" s="30">
        <v>2.6227831534184691</v>
      </c>
      <c r="AI18" s="30">
        <v>2.6227831534184691</v>
      </c>
      <c r="AJ18" s="30">
        <v>2.6227831534184691</v>
      </c>
      <c r="AK18" s="30">
        <v>2.6227831534184691</v>
      </c>
      <c r="AL18" s="30">
        <v>2.6227831534184691</v>
      </c>
      <c r="AM18" s="30">
        <v>2.6227831534184691</v>
      </c>
      <c r="AN18" s="30">
        <v>2.6227831534184691</v>
      </c>
      <c r="AO18" s="30">
        <v>2.6227831534184691</v>
      </c>
      <c r="AP18" s="30">
        <v>2.6227831534184691</v>
      </c>
      <c r="AQ18" s="30">
        <v>2.6227831534184691</v>
      </c>
      <c r="AR18" s="30">
        <v>2.6227831534184691</v>
      </c>
      <c r="AS18" s="30">
        <v>2.6227831534184691</v>
      </c>
      <c r="AT18" s="30">
        <v>2.6227831534184691</v>
      </c>
      <c r="AU18" s="30">
        <v>2.6227831534184691</v>
      </c>
      <c r="AV18" s="30">
        <v>2.6227831534184691</v>
      </c>
      <c r="AW18" s="30">
        <v>2.6227831534184691</v>
      </c>
      <c r="AX18" s="30">
        <v>2.6227831534184691</v>
      </c>
      <c r="AY18" s="30">
        <v>2.6227831534184691</v>
      </c>
      <c r="AZ18" s="30">
        <v>2.6227831534184691</v>
      </c>
      <c r="BA18" s="30">
        <v>2.6227831534184691</v>
      </c>
      <c r="BB18" s="30">
        <v>2.6227831534184691</v>
      </c>
      <c r="BC18" s="30">
        <v>2.6227831534184691</v>
      </c>
      <c r="BD18" s="30">
        <v>2.6227831534184691</v>
      </c>
      <c r="BE18" s="30">
        <v>2.6227831534184691</v>
      </c>
      <c r="BF18" s="30">
        <v>2.6227831534184691</v>
      </c>
      <c r="BG18" s="30">
        <v>2.6227831534184691</v>
      </c>
      <c r="BH18" s="30">
        <v>2.6227831534184691</v>
      </c>
      <c r="BI18" s="30">
        <v>2.6227831534184691</v>
      </c>
      <c r="BJ18" s="30">
        <v>2.6227831534184691</v>
      </c>
      <c r="BK18" s="30">
        <v>2.6227831534184691</v>
      </c>
      <c r="BL18" s="30">
        <v>2.6227831534184691</v>
      </c>
      <c r="BM18" s="30">
        <v>2.6227831534184691</v>
      </c>
      <c r="BN18" s="30">
        <v>2.6227831534184691</v>
      </c>
      <c r="BO18" s="30">
        <v>2.6227831534184691</v>
      </c>
      <c r="BP18" s="30">
        <v>2.6227831534184691</v>
      </c>
      <c r="BQ18" s="30">
        <v>2.6227831534184691</v>
      </c>
      <c r="BR18" s="30">
        <v>2.6227831534184691</v>
      </c>
      <c r="BS18" s="30">
        <v>2.6227831534184691</v>
      </c>
      <c r="BT18" s="30">
        <v>2.6227831534184691</v>
      </c>
      <c r="BU18" s="30">
        <v>2.6227831534184691</v>
      </c>
      <c r="BV18" s="30">
        <v>2.6227831534184691</v>
      </c>
      <c r="BW18" s="30">
        <v>2.6227831534184691</v>
      </c>
      <c r="BX18" s="30">
        <v>2.6227831534184691</v>
      </c>
      <c r="BY18" s="30">
        <v>2.6227831534184691</v>
      </c>
      <c r="BZ18" s="30">
        <v>2.6227831534184691</v>
      </c>
      <c r="CA18" s="30">
        <v>2.6227831534184691</v>
      </c>
      <c r="CB18" s="30">
        <v>2.6227831534184691</v>
      </c>
      <c r="CC18" s="30">
        <v>2.6227831534184691</v>
      </c>
      <c r="CD18" s="30">
        <v>2.6227831534184691</v>
      </c>
      <c r="CE18" s="30">
        <v>2.6227831534184691</v>
      </c>
      <c r="CF18" s="30">
        <v>2.6227831534184691</v>
      </c>
      <c r="CG18" s="30">
        <v>2.6227831534184691</v>
      </c>
      <c r="CH18" s="30">
        <v>2.6227831534184691</v>
      </c>
      <c r="CI18" s="30">
        <v>2.6227831534184691</v>
      </c>
      <c r="CJ18" s="30">
        <v>2.6227831534184691</v>
      </c>
      <c r="CK18" s="30">
        <v>2.6227831534184691</v>
      </c>
      <c r="CL18" s="30">
        <v>2.6227831534184691</v>
      </c>
      <c r="CM18" s="30">
        <v>2.6227831534184691</v>
      </c>
      <c r="CN18" s="30">
        <v>2.6227831534184691</v>
      </c>
      <c r="CO18" s="30">
        <v>2.6227831534184691</v>
      </c>
      <c r="CP18" s="30">
        <v>2.6227831534184691</v>
      </c>
      <c r="CQ18" s="30">
        <v>2.6227831534184691</v>
      </c>
      <c r="CR18" s="30">
        <v>2.6227831534184691</v>
      </c>
      <c r="CS18" s="31">
        <v>2.6227831534184691</v>
      </c>
      <c r="CT18" s="10"/>
    </row>
    <row r="19" spans="2:98" ht="15">
      <c r="B19" s="10"/>
      <c r="C19" s="28" t="str">
        <f>INDEX(_pcName,3)</f>
        <v>Centrif Housed</v>
      </c>
      <c r="D19" s="12" t="s">
        <v>55</v>
      </c>
      <c r="E19" s="30">
        <f t="array" ref="E19:CS19">(tshrCnHCom*ts2sCom + tshrCnHInd*ts2sInd)/ts2bElec</f>
        <v>3.1694571897342319</v>
      </c>
      <c r="F19" s="30">
        <v>3.1045090829785531</v>
      </c>
      <c r="G19" s="30">
        <v>3.0786641413809019</v>
      </c>
      <c r="H19" s="30">
        <v>3.0220045371758331</v>
      </c>
      <c r="I19" s="30">
        <v>2.9357509501617578</v>
      </c>
      <c r="J19" s="30">
        <v>2.8849273184611919</v>
      </c>
      <c r="K19" s="30">
        <v>2.8855026523118967</v>
      </c>
      <c r="L19" s="30">
        <v>2.8359307985521074</v>
      </c>
      <c r="M19" s="30">
        <v>2.7744875920158969</v>
      </c>
      <c r="N19" s="30">
        <v>2.7373416894089124</v>
      </c>
      <c r="O19" s="30">
        <v>2.7214552022119483</v>
      </c>
      <c r="P19" s="30">
        <v>2.6990409991406463</v>
      </c>
      <c r="Q19" s="30">
        <v>2.6845675592845226</v>
      </c>
      <c r="R19" s="30">
        <v>2.6428412210330823</v>
      </c>
      <c r="S19" s="30">
        <v>2.6238304144494204</v>
      </c>
      <c r="T19" s="30">
        <v>2.6175324796575059</v>
      </c>
      <c r="U19" s="30">
        <v>2.6092347749823288</v>
      </c>
      <c r="V19" s="30">
        <v>2.6100665379688199</v>
      </c>
      <c r="W19" s="30">
        <v>2.613992080669036</v>
      </c>
      <c r="X19" s="30">
        <v>2.6203378891736038</v>
      </c>
      <c r="Y19" s="30">
        <v>2.6244997873706724</v>
      </c>
      <c r="Z19" s="30">
        <v>2.6331422139267602</v>
      </c>
      <c r="AA19" s="30">
        <v>2.6331422139267602</v>
      </c>
      <c r="AB19" s="30">
        <v>2.6331422139267602</v>
      </c>
      <c r="AC19" s="30">
        <v>2.6331422139267602</v>
      </c>
      <c r="AD19" s="30">
        <v>2.6331422139267602</v>
      </c>
      <c r="AE19" s="30">
        <v>2.6331422139267602</v>
      </c>
      <c r="AF19" s="30">
        <v>2.6331422139267602</v>
      </c>
      <c r="AG19" s="30">
        <v>2.6331422139267602</v>
      </c>
      <c r="AH19" s="30">
        <v>2.6331422139267602</v>
      </c>
      <c r="AI19" s="30">
        <v>2.6331422139267602</v>
      </c>
      <c r="AJ19" s="30">
        <v>2.6331422139267602</v>
      </c>
      <c r="AK19" s="30">
        <v>2.6331422139267602</v>
      </c>
      <c r="AL19" s="30">
        <v>2.6331422139267602</v>
      </c>
      <c r="AM19" s="30">
        <v>2.6331422139267602</v>
      </c>
      <c r="AN19" s="30">
        <v>2.6331422139267602</v>
      </c>
      <c r="AO19" s="30">
        <v>2.6331422139267602</v>
      </c>
      <c r="AP19" s="30">
        <v>2.6331422139267602</v>
      </c>
      <c r="AQ19" s="30">
        <v>2.6331422139267602</v>
      </c>
      <c r="AR19" s="30">
        <v>2.6331422139267602</v>
      </c>
      <c r="AS19" s="30">
        <v>2.6331422139267602</v>
      </c>
      <c r="AT19" s="30">
        <v>2.6331422139267602</v>
      </c>
      <c r="AU19" s="30">
        <v>2.6331422139267602</v>
      </c>
      <c r="AV19" s="30">
        <v>2.6331422139267602</v>
      </c>
      <c r="AW19" s="30">
        <v>2.6331422139267602</v>
      </c>
      <c r="AX19" s="30">
        <v>2.6331422139267602</v>
      </c>
      <c r="AY19" s="30">
        <v>2.6331422139267602</v>
      </c>
      <c r="AZ19" s="30">
        <v>2.6331422139267602</v>
      </c>
      <c r="BA19" s="30">
        <v>2.6331422139267602</v>
      </c>
      <c r="BB19" s="30">
        <v>2.6331422139267602</v>
      </c>
      <c r="BC19" s="30">
        <v>2.6331422139267602</v>
      </c>
      <c r="BD19" s="30">
        <v>2.6331422139267602</v>
      </c>
      <c r="BE19" s="30">
        <v>2.6331422139267602</v>
      </c>
      <c r="BF19" s="30">
        <v>2.6331422139267602</v>
      </c>
      <c r="BG19" s="30">
        <v>2.6331422139267602</v>
      </c>
      <c r="BH19" s="30">
        <v>2.6331422139267602</v>
      </c>
      <c r="BI19" s="30">
        <v>2.6331422139267602</v>
      </c>
      <c r="BJ19" s="30">
        <v>2.6331422139267602</v>
      </c>
      <c r="BK19" s="30">
        <v>2.6331422139267602</v>
      </c>
      <c r="BL19" s="30">
        <v>2.6331422139267602</v>
      </c>
      <c r="BM19" s="30">
        <v>2.6331422139267602</v>
      </c>
      <c r="BN19" s="30">
        <v>2.6331422139267602</v>
      </c>
      <c r="BO19" s="30">
        <v>2.6331422139267602</v>
      </c>
      <c r="BP19" s="30">
        <v>2.6331422139267602</v>
      </c>
      <c r="BQ19" s="30">
        <v>2.6331422139267602</v>
      </c>
      <c r="BR19" s="30">
        <v>2.6331422139267602</v>
      </c>
      <c r="BS19" s="30">
        <v>2.6331422139267602</v>
      </c>
      <c r="BT19" s="30">
        <v>2.6331422139267602</v>
      </c>
      <c r="BU19" s="30">
        <v>2.6331422139267602</v>
      </c>
      <c r="BV19" s="30">
        <v>2.6331422139267602</v>
      </c>
      <c r="BW19" s="30">
        <v>2.6331422139267602</v>
      </c>
      <c r="BX19" s="30">
        <v>2.6331422139267602</v>
      </c>
      <c r="BY19" s="30">
        <v>2.6331422139267602</v>
      </c>
      <c r="BZ19" s="30">
        <v>2.6331422139267602</v>
      </c>
      <c r="CA19" s="30">
        <v>2.6331422139267602</v>
      </c>
      <c r="CB19" s="30">
        <v>2.6331422139267602</v>
      </c>
      <c r="CC19" s="30">
        <v>2.6331422139267602</v>
      </c>
      <c r="CD19" s="30">
        <v>2.6331422139267602</v>
      </c>
      <c r="CE19" s="30">
        <v>2.6331422139267602</v>
      </c>
      <c r="CF19" s="30">
        <v>2.6331422139267602</v>
      </c>
      <c r="CG19" s="30">
        <v>2.6331422139267602</v>
      </c>
      <c r="CH19" s="30">
        <v>2.6331422139267602</v>
      </c>
      <c r="CI19" s="30">
        <v>2.6331422139267602</v>
      </c>
      <c r="CJ19" s="30">
        <v>2.6331422139267602</v>
      </c>
      <c r="CK19" s="30">
        <v>2.6331422139267602</v>
      </c>
      <c r="CL19" s="30">
        <v>2.6331422139267602</v>
      </c>
      <c r="CM19" s="30">
        <v>2.6331422139267602</v>
      </c>
      <c r="CN19" s="30">
        <v>2.6331422139267602</v>
      </c>
      <c r="CO19" s="30">
        <v>2.6331422139267602</v>
      </c>
      <c r="CP19" s="30">
        <v>2.6331422139267602</v>
      </c>
      <c r="CQ19" s="30">
        <v>2.6331422139267602</v>
      </c>
      <c r="CR19" s="30">
        <v>2.6331422139267602</v>
      </c>
      <c r="CS19" s="31">
        <v>2.6331422139267602</v>
      </c>
      <c r="CT19" s="10"/>
    </row>
    <row r="20" spans="2:98" ht="15">
      <c r="B20" s="10"/>
      <c r="C20" s="28" t="str">
        <f>INDEX(_pcName,4)</f>
        <v>Centrif Unhous</v>
      </c>
      <c r="D20" s="12" t="s">
        <v>55</v>
      </c>
      <c r="E20" s="30">
        <f t="array" ref="E20:CS20">(tshrCnUCom*ts2sCom + tshrCnUInd*ts2sInd)/ts2bElec</f>
        <v>3.1666592622607936</v>
      </c>
      <c r="F20" s="30">
        <v>3.101773069065175</v>
      </c>
      <c r="G20" s="30">
        <v>3.0760456418057442</v>
      </c>
      <c r="H20" s="30">
        <v>3.0193961431741165</v>
      </c>
      <c r="I20" s="30">
        <v>2.9329760748331113</v>
      </c>
      <c r="J20" s="30">
        <v>2.8818734538739976</v>
      </c>
      <c r="K20" s="30">
        <v>2.8825271557983965</v>
      </c>
      <c r="L20" s="30">
        <v>2.8329125038972958</v>
      </c>
      <c r="M20" s="30">
        <v>2.771345115584273</v>
      </c>
      <c r="N20" s="30">
        <v>2.7342168811556093</v>
      </c>
      <c r="O20" s="30">
        <v>2.7182959060887164</v>
      </c>
      <c r="P20" s="30">
        <v>2.695840712333073</v>
      </c>
      <c r="Q20" s="30">
        <v>2.681318671489485</v>
      </c>
      <c r="R20" s="30">
        <v>2.6395607156436944</v>
      </c>
      <c r="S20" s="30">
        <v>2.6206542034827591</v>
      </c>
      <c r="T20" s="30">
        <v>2.6144208584677378</v>
      </c>
      <c r="U20" s="30">
        <v>2.6061542201266841</v>
      </c>
      <c r="V20" s="30">
        <v>2.6069446870898925</v>
      </c>
      <c r="W20" s="30">
        <v>2.6108424705649025</v>
      </c>
      <c r="X20" s="30">
        <v>2.6171752472611778</v>
      </c>
      <c r="Y20" s="30">
        <v>2.6213277700512765</v>
      </c>
      <c r="Z20" s="30">
        <v>2.62992733307936</v>
      </c>
      <c r="AA20" s="30">
        <v>2.62992733307936</v>
      </c>
      <c r="AB20" s="30">
        <v>2.62992733307936</v>
      </c>
      <c r="AC20" s="30">
        <v>2.62992733307936</v>
      </c>
      <c r="AD20" s="30">
        <v>2.62992733307936</v>
      </c>
      <c r="AE20" s="30">
        <v>2.62992733307936</v>
      </c>
      <c r="AF20" s="30">
        <v>2.62992733307936</v>
      </c>
      <c r="AG20" s="30">
        <v>2.62992733307936</v>
      </c>
      <c r="AH20" s="30">
        <v>2.62992733307936</v>
      </c>
      <c r="AI20" s="30">
        <v>2.62992733307936</v>
      </c>
      <c r="AJ20" s="30">
        <v>2.62992733307936</v>
      </c>
      <c r="AK20" s="30">
        <v>2.62992733307936</v>
      </c>
      <c r="AL20" s="30">
        <v>2.62992733307936</v>
      </c>
      <c r="AM20" s="30">
        <v>2.62992733307936</v>
      </c>
      <c r="AN20" s="30">
        <v>2.62992733307936</v>
      </c>
      <c r="AO20" s="30">
        <v>2.62992733307936</v>
      </c>
      <c r="AP20" s="30">
        <v>2.62992733307936</v>
      </c>
      <c r="AQ20" s="30">
        <v>2.62992733307936</v>
      </c>
      <c r="AR20" s="30">
        <v>2.62992733307936</v>
      </c>
      <c r="AS20" s="30">
        <v>2.62992733307936</v>
      </c>
      <c r="AT20" s="30">
        <v>2.62992733307936</v>
      </c>
      <c r="AU20" s="30">
        <v>2.62992733307936</v>
      </c>
      <c r="AV20" s="30">
        <v>2.62992733307936</v>
      </c>
      <c r="AW20" s="30">
        <v>2.62992733307936</v>
      </c>
      <c r="AX20" s="30">
        <v>2.62992733307936</v>
      </c>
      <c r="AY20" s="30">
        <v>2.62992733307936</v>
      </c>
      <c r="AZ20" s="30">
        <v>2.62992733307936</v>
      </c>
      <c r="BA20" s="30">
        <v>2.62992733307936</v>
      </c>
      <c r="BB20" s="30">
        <v>2.62992733307936</v>
      </c>
      <c r="BC20" s="30">
        <v>2.62992733307936</v>
      </c>
      <c r="BD20" s="30">
        <v>2.62992733307936</v>
      </c>
      <c r="BE20" s="30">
        <v>2.62992733307936</v>
      </c>
      <c r="BF20" s="30">
        <v>2.62992733307936</v>
      </c>
      <c r="BG20" s="30">
        <v>2.62992733307936</v>
      </c>
      <c r="BH20" s="30">
        <v>2.62992733307936</v>
      </c>
      <c r="BI20" s="30">
        <v>2.62992733307936</v>
      </c>
      <c r="BJ20" s="30">
        <v>2.62992733307936</v>
      </c>
      <c r="BK20" s="30">
        <v>2.62992733307936</v>
      </c>
      <c r="BL20" s="30">
        <v>2.62992733307936</v>
      </c>
      <c r="BM20" s="30">
        <v>2.62992733307936</v>
      </c>
      <c r="BN20" s="30">
        <v>2.62992733307936</v>
      </c>
      <c r="BO20" s="30">
        <v>2.62992733307936</v>
      </c>
      <c r="BP20" s="30">
        <v>2.62992733307936</v>
      </c>
      <c r="BQ20" s="30">
        <v>2.62992733307936</v>
      </c>
      <c r="BR20" s="30">
        <v>2.62992733307936</v>
      </c>
      <c r="BS20" s="30">
        <v>2.62992733307936</v>
      </c>
      <c r="BT20" s="30">
        <v>2.62992733307936</v>
      </c>
      <c r="BU20" s="30">
        <v>2.62992733307936</v>
      </c>
      <c r="BV20" s="30">
        <v>2.62992733307936</v>
      </c>
      <c r="BW20" s="30">
        <v>2.62992733307936</v>
      </c>
      <c r="BX20" s="30">
        <v>2.62992733307936</v>
      </c>
      <c r="BY20" s="30">
        <v>2.62992733307936</v>
      </c>
      <c r="BZ20" s="30">
        <v>2.62992733307936</v>
      </c>
      <c r="CA20" s="30">
        <v>2.62992733307936</v>
      </c>
      <c r="CB20" s="30">
        <v>2.62992733307936</v>
      </c>
      <c r="CC20" s="30">
        <v>2.62992733307936</v>
      </c>
      <c r="CD20" s="30">
        <v>2.62992733307936</v>
      </c>
      <c r="CE20" s="30">
        <v>2.62992733307936</v>
      </c>
      <c r="CF20" s="30">
        <v>2.62992733307936</v>
      </c>
      <c r="CG20" s="30">
        <v>2.62992733307936</v>
      </c>
      <c r="CH20" s="30">
        <v>2.62992733307936</v>
      </c>
      <c r="CI20" s="30">
        <v>2.62992733307936</v>
      </c>
      <c r="CJ20" s="30">
        <v>2.62992733307936</v>
      </c>
      <c r="CK20" s="30">
        <v>2.62992733307936</v>
      </c>
      <c r="CL20" s="30">
        <v>2.62992733307936</v>
      </c>
      <c r="CM20" s="30">
        <v>2.62992733307936</v>
      </c>
      <c r="CN20" s="30">
        <v>2.62992733307936</v>
      </c>
      <c r="CO20" s="30">
        <v>2.62992733307936</v>
      </c>
      <c r="CP20" s="30">
        <v>2.62992733307936</v>
      </c>
      <c r="CQ20" s="30">
        <v>2.62992733307936</v>
      </c>
      <c r="CR20" s="30">
        <v>2.62992733307936</v>
      </c>
      <c r="CS20" s="31">
        <v>2.62992733307936</v>
      </c>
      <c r="CT20" s="10"/>
    </row>
    <row r="21" spans="2:98" ht="15">
      <c r="B21" s="10"/>
      <c r="C21" s="28" t="str">
        <f>INDEX(_pcName,5)</f>
        <v>Inline-Mixed</v>
      </c>
      <c r="D21" s="12" t="s">
        <v>55</v>
      </c>
      <c r="E21" s="30">
        <f t="array" ref="E21:CS21">(tshrInMxCom*ts2sCom + tshrInMxInd*ts2sInd)/ts2bElec</f>
        <v>3.1707007130557603</v>
      </c>
      <c r="F21" s="30">
        <v>3.1057250891622767</v>
      </c>
      <c r="G21" s="30">
        <v>3.0798279189698605</v>
      </c>
      <c r="H21" s="30">
        <v>3.0231638233988187</v>
      </c>
      <c r="I21" s="30">
        <v>2.9369842280856004</v>
      </c>
      <c r="J21" s="30">
        <v>2.8862845916110564</v>
      </c>
      <c r="K21" s="30">
        <v>2.886825095206786</v>
      </c>
      <c r="L21" s="30">
        <v>2.8372722628431353</v>
      </c>
      <c r="M21" s="30">
        <v>2.7758842482077291</v>
      </c>
      <c r="N21" s="30">
        <v>2.7387304930770475</v>
      </c>
      <c r="O21" s="30">
        <v>2.7228593338222735</v>
      </c>
      <c r="P21" s="30">
        <v>2.7004633488329013</v>
      </c>
      <c r="Q21" s="30">
        <v>2.6860115094156503</v>
      </c>
      <c r="R21" s="30">
        <v>2.6442992234283658</v>
      </c>
      <c r="S21" s="30">
        <v>2.6252420637679372</v>
      </c>
      <c r="T21" s="30">
        <v>2.6189154224085143</v>
      </c>
      <c r="U21" s="30">
        <v>2.610603910473726</v>
      </c>
      <c r="V21" s="30">
        <v>2.6114540272483437</v>
      </c>
      <c r="W21" s="30">
        <v>2.6153919073819845</v>
      </c>
      <c r="X21" s="30">
        <v>2.6217435078013489</v>
      </c>
      <c r="Y21" s="30">
        <v>2.6259095728459596</v>
      </c>
      <c r="Z21" s="30">
        <v>2.6345710498589385</v>
      </c>
      <c r="AA21" s="30">
        <v>2.6345710498589385</v>
      </c>
      <c r="AB21" s="30">
        <v>2.6345710498589385</v>
      </c>
      <c r="AC21" s="30">
        <v>2.6345710498589385</v>
      </c>
      <c r="AD21" s="30">
        <v>2.6345710498589385</v>
      </c>
      <c r="AE21" s="30">
        <v>2.6345710498589385</v>
      </c>
      <c r="AF21" s="30">
        <v>2.6345710498589385</v>
      </c>
      <c r="AG21" s="30">
        <v>2.6345710498589385</v>
      </c>
      <c r="AH21" s="30">
        <v>2.6345710498589385</v>
      </c>
      <c r="AI21" s="30">
        <v>2.6345710498589385</v>
      </c>
      <c r="AJ21" s="30">
        <v>2.6345710498589385</v>
      </c>
      <c r="AK21" s="30">
        <v>2.6345710498589385</v>
      </c>
      <c r="AL21" s="30">
        <v>2.6345710498589385</v>
      </c>
      <c r="AM21" s="30">
        <v>2.6345710498589385</v>
      </c>
      <c r="AN21" s="30">
        <v>2.6345710498589385</v>
      </c>
      <c r="AO21" s="30">
        <v>2.6345710498589385</v>
      </c>
      <c r="AP21" s="30">
        <v>2.6345710498589385</v>
      </c>
      <c r="AQ21" s="30">
        <v>2.6345710498589385</v>
      </c>
      <c r="AR21" s="30">
        <v>2.6345710498589385</v>
      </c>
      <c r="AS21" s="30">
        <v>2.6345710498589385</v>
      </c>
      <c r="AT21" s="30">
        <v>2.6345710498589385</v>
      </c>
      <c r="AU21" s="30">
        <v>2.6345710498589385</v>
      </c>
      <c r="AV21" s="30">
        <v>2.6345710498589385</v>
      </c>
      <c r="AW21" s="30">
        <v>2.6345710498589385</v>
      </c>
      <c r="AX21" s="30">
        <v>2.6345710498589385</v>
      </c>
      <c r="AY21" s="30">
        <v>2.6345710498589385</v>
      </c>
      <c r="AZ21" s="30">
        <v>2.6345710498589385</v>
      </c>
      <c r="BA21" s="30">
        <v>2.6345710498589385</v>
      </c>
      <c r="BB21" s="30">
        <v>2.6345710498589385</v>
      </c>
      <c r="BC21" s="30">
        <v>2.6345710498589385</v>
      </c>
      <c r="BD21" s="30">
        <v>2.6345710498589385</v>
      </c>
      <c r="BE21" s="30">
        <v>2.6345710498589385</v>
      </c>
      <c r="BF21" s="30">
        <v>2.6345710498589385</v>
      </c>
      <c r="BG21" s="30">
        <v>2.6345710498589385</v>
      </c>
      <c r="BH21" s="30">
        <v>2.6345710498589385</v>
      </c>
      <c r="BI21" s="30">
        <v>2.6345710498589385</v>
      </c>
      <c r="BJ21" s="30">
        <v>2.6345710498589385</v>
      </c>
      <c r="BK21" s="30">
        <v>2.6345710498589385</v>
      </c>
      <c r="BL21" s="30">
        <v>2.6345710498589385</v>
      </c>
      <c r="BM21" s="30">
        <v>2.6345710498589385</v>
      </c>
      <c r="BN21" s="30">
        <v>2.6345710498589385</v>
      </c>
      <c r="BO21" s="30">
        <v>2.6345710498589385</v>
      </c>
      <c r="BP21" s="30">
        <v>2.6345710498589385</v>
      </c>
      <c r="BQ21" s="30">
        <v>2.6345710498589385</v>
      </c>
      <c r="BR21" s="30">
        <v>2.6345710498589385</v>
      </c>
      <c r="BS21" s="30">
        <v>2.6345710498589385</v>
      </c>
      <c r="BT21" s="30">
        <v>2.6345710498589385</v>
      </c>
      <c r="BU21" s="30">
        <v>2.6345710498589385</v>
      </c>
      <c r="BV21" s="30">
        <v>2.6345710498589385</v>
      </c>
      <c r="BW21" s="30">
        <v>2.6345710498589385</v>
      </c>
      <c r="BX21" s="30">
        <v>2.6345710498589385</v>
      </c>
      <c r="BY21" s="30">
        <v>2.6345710498589385</v>
      </c>
      <c r="BZ21" s="30">
        <v>2.6345710498589385</v>
      </c>
      <c r="CA21" s="30">
        <v>2.6345710498589385</v>
      </c>
      <c r="CB21" s="30">
        <v>2.6345710498589385</v>
      </c>
      <c r="CC21" s="30">
        <v>2.6345710498589385</v>
      </c>
      <c r="CD21" s="30">
        <v>2.6345710498589385</v>
      </c>
      <c r="CE21" s="30">
        <v>2.6345710498589385</v>
      </c>
      <c r="CF21" s="30">
        <v>2.6345710498589385</v>
      </c>
      <c r="CG21" s="30">
        <v>2.6345710498589385</v>
      </c>
      <c r="CH21" s="30">
        <v>2.6345710498589385</v>
      </c>
      <c r="CI21" s="30">
        <v>2.6345710498589385</v>
      </c>
      <c r="CJ21" s="30">
        <v>2.6345710498589385</v>
      </c>
      <c r="CK21" s="30">
        <v>2.6345710498589385</v>
      </c>
      <c r="CL21" s="30">
        <v>2.6345710498589385</v>
      </c>
      <c r="CM21" s="30">
        <v>2.6345710498589385</v>
      </c>
      <c r="CN21" s="30">
        <v>2.6345710498589385</v>
      </c>
      <c r="CO21" s="30">
        <v>2.6345710498589385</v>
      </c>
      <c r="CP21" s="30">
        <v>2.6345710498589385</v>
      </c>
      <c r="CQ21" s="30">
        <v>2.6345710498589385</v>
      </c>
      <c r="CR21" s="30">
        <v>2.6345710498589385</v>
      </c>
      <c r="CS21" s="31">
        <v>2.6345710498589385</v>
      </c>
      <c r="CT21" s="10"/>
    </row>
    <row r="22" spans="2:98" ht="15">
      <c r="B22" s="10"/>
      <c r="C22" s="28" t="str">
        <f>INDEX(_pcName,6)</f>
        <v>Radial</v>
      </c>
      <c r="D22" s="12" t="s">
        <v>55</v>
      </c>
      <c r="E22" s="30">
        <f t="array" ref="E22:CS22">(tshrRadCom*ts2sCom + tshrRadInd*ts2sInd)/ts2bElec</f>
        <v>3.1399235108479364</v>
      </c>
      <c r="F22" s="30">
        <v>3.0756289361151197</v>
      </c>
      <c r="G22" s="30">
        <v>3.0510244236431276</v>
      </c>
      <c r="H22" s="30">
        <v>2.9944714893799311</v>
      </c>
      <c r="I22" s="30">
        <v>2.9064605994704911</v>
      </c>
      <c r="J22" s="30">
        <v>2.852692081151917</v>
      </c>
      <c r="K22" s="30">
        <v>2.8540946335582813</v>
      </c>
      <c r="L22" s="30">
        <v>2.8040710216402029</v>
      </c>
      <c r="M22" s="30">
        <v>2.7413170074598745</v>
      </c>
      <c r="N22" s="30">
        <v>2.7043576022907132</v>
      </c>
      <c r="O22" s="30">
        <v>2.6881070764667196</v>
      </c>
      <c r="P22" s="30">
        <v>2.6652601939495928</v>
      </c>
      <c r="Q22" s="30">
        <v>2.6502737436702377</v>
      </c>
      <c r="R22" s="30">
        <v>2.6082136641450955</v>
      </c>
      <c r="S22" s="30">
        <v>2.5903037431346569</v>
      </c>
      <c r="T22" s="30">
        <v>2.5846875893210615</v>
      </c>
      <c r="U22" s="30">
        <v>2.5767178070616361</v>
      </c>
      <c r="V22" s="30">
        <v>2.5771136675801372</v>
      </c>
      <c r="W22" s="30">
        <v>2.5807461962365159</v>
      </c>
      <c r="X22" s="30">
        <v>2.5869544467646635</v>
      </c>
      <c r="Y22" s="30">
        <v>2.5910173823326046</v>
      </c>
      <c r="Z22" s="30">
        <v>2.5992073605375285</v>
      </c>
      <c r="AA22" s="30">
        <v>2.5992073605375285</v>
      </c>
      <c r="AB22" s="30">
        <v>2.5992073605375285</v>
      </c>
      <c r="AC22" s="30">
        <v>2.5992073605375285</v>
      </c>
      <c r="AD22" s="30">
        <v>2.5992073605375285</v>
      </c>
      <c r="AE22" s="30">
        <v>2.5992073605375285</v>
      </c>
      <c r="AF22" s="30">
        <v>2.5992073605375285</v>
      </c>
      <c r="AG22" s="30">
        <v>2.5992073605375285</v>
      </c>
      <c r="AH22" s="30">
        <v>2.5992073605375285</v>
      </c>
      <c r="AI22" s="30">
        <v>2.5992073605375285</v>
      </c>
      <c r="AJ22" s="30">
        <v>2.5992073605375285</v>
      </c>
      <c r="AK22" s="30">
        <v>2.5992073605375285</v>
      </c>
      <c r="AL22" s="30">
        <v>2.5992073605375285</v>
      </c>
      <c r="AM22" s="30">
        <v>2.5992073605375285</v>
      </c>
      <c r="AN22" s="30">
        <v>2.5992073605375285</v>
      </c>
      <c r="AO22" s="30">
        <v>2.5992073605375285</v>
      </c>
      <c r="AP22" s="30">
        <v>2.5992073605375285</v>
      </c>
      <c r="AQ22" s="30">
        <v>2.5992073605375285</v>
      </c>
      <c r="AR22" s="30">
        <v>2.5992073605375285</v>
      </c>
      <c r="AS22" s="30">
        <v>2.5992073605375285</v>
      </c>
      <c r="AT22" s="30">
        <v>2.5992073605375285</v>
      </c>
      <c r="AU22" s="30">
        <v>2.5992073605375285</v>
      </c>
      <c r="AV22" s="30">
        <v>2.5992073605375285</v>
      </c>
      <c r="AW22" s="30">
        <v>2.5992073605375285</v>
      </c>
      <c r="AX22" s="30">
        <v>2.5992073605375285</v>
      </c>
      <c r="AY22" s="30">
        <v>2.5992073605375285</v>
      </c>
      <c r="AZ22" s="30">
        <v>2.5992073605375285</v>
      </c>
      <c r="BA22" s="30">
        <v>2.5992073605375285</v>
      </c>
      <c r="BB22" s="30">
        <v>2.5992073605375285</v>
      </c>
      <c r="BC22" s="30">
        <v>2.5992073605375285</v>
      </c>
      <c r="BD22" s="30">
        <v>2.5992073605375285</v>
      </c>
      <c r="BE22" s="30">
        <v>2.5992073605375285</v>
      </c>
      <c r="BF22" s="30">
        <v>2.5992073605375285</v>
      </c>
      <c r="BG22" s="30">
        <v>2.5992073605375285</v>
      </c>
      <c r="BH22" s="30">
        <v>2.5992073605375285</v>
      </c>
      <c r="BI22" s="30">
        <v>2.5992073605375285</v>
      </c>
      <c r="BJ22" s="30">
        <v>2.5992073605375285</v>
      </c>
      <c r="BK22" s="30">
        <v>2.5992073605375285</v>
      </c>
      <c r="BL22" s="30">
        <v>2.5992073605375285</v>
      </c>
      <c r="BM22" s="30">
        <v>2.5992073605375285</v>
      </c>
      <c r="BN22" s="30">
        <v>2.5992073605375285</v>
      </c>
      <c r="BO22" s="30">
        <v>2.5992073605375285</v>
      </c>
      <c r="BP22" s="30">
        <v>2.5992073605375285</v>
      </c>
      <c r="BQ22" s="30">
        <v>2.5992073605375285</v>
      </c>
      <c r="BR22" s="30">
        <v>2.5992073605375285</v>
      </c>
      <c r="BS22" s="30">
        <v>2.5992073605375285</v>
      </c>
      <c r="BT22" s="30">
        <v>2.5992073605375285</v>
      </c>
      <c r="BU22" s="30">
        <v>2.5992073605375285</v>
      </c>
      <c r="BV22" s="30">
        <v>2.5992073605375285</v>
      </c>
      <c r="BW22" s="30">
        <v>2.5992073605375285</v>
      </c>
      <c r="BX22" s="30">
        <v>2.5992073605375285</v>
      </c>
      <c r="BY22" s="30">
        <v>2.5992073605375285</v>
      </c>
      <c r="BZ22" s="30">
        <v>2.5992073605375285</v>
      </c>
      <c r="CA22" s="30">
        <v>2.5992073605375285</v>
      </c>
      <c r="CB22" s="30">
        <v>2.5992073605375285</v>
      </c>
      <c r="CC22" s="30">
        <v>2.5992073605375285</v>
      </c>
      <c r="CD22" s="30">
        <v>2.5992073605375285</v>
      </c>
      <c r="CE22" s="30">
        <v>2.5992073605375285</v>
      </c>
      <c r="CF22" s="30">
        <v>2.5992073605375285</v>
      </c>
      <c r="CG22" s="30">
        <v>2.5992073605375285</v>
      </c>
      <c r="CH22" s="30">
        <v>2.5992073605375285</v>
      </c>
      <c r="CI22" s="30">
        <v>2.5992073605375285</v>
      </c>
      <c r="CJ22" s="30">
        <v>2.5992073605375285</v>
      </c>
      <c r="CK22" s="30">
        <v>2.5992073605375285</v>
      </c>
      <c r="CL22" s="30">
        <v>2.5992073605375285</v>
      </c>
      <c r="CM22" s="30">
        <v>2.5992073605375285</v>
      </c>
      <c r="CN22" s="30">
        <v>2.5992073605375285</v>
      </c>
      <c r="CO22" s="30">
        <v>2.5992073605375285</v>
      </c>
      <c r="CP22" s="30">
        <v>2.5992073605375285</v>
      </c>
      <c r="CQ22" s="30">
        <v>2.5992073605375285</v>
      </c>
      <c r="CR22" s="30">
        <v>2.5992073605375285</v>
      </c>
      <c r="CS22" s="31">
        <v>2.5992073605375285</v>
      </c>
      <c r="CT22" s="10"/>
    </row>
    <row r="23" spans="2:98" ht="15">
      <c r="B23" s="10"/>
      <c r="C23" s="28" t="str">
        <f>INDEX(_pcName,7)</f>
        <v>Power Roof Vent</v>
      </c>
      <c r="D23" s="12" t="s">
        <v>55</v>
      </c>
      <c r="E23" s="30">
        <f t="array" ref="E23:CS23">(tshrPRVCom*ts2sCom + tshrPRVInd*ts2sInd)/ts2bElec</f>
        <v>3.1700789513949958</v>
      </c>
      <c r="F23" s="30">
        <v>3.1051170860704147</v>
      </c>
      <c r="G23" s="30">
        <v>3.0792460301753817</v>
      </c>
      <c r="H23" s="30">
        <v>3.0225841802873261</v>
      </c>
      <c r="I23" s="30">
        <v>2.9363675891236789</v>
      </c>
      <c r="J23" s="30">
        <v>2.8856059550361239</v>
      </c>
      <c r="K23" s="30">
        <v>2.8861638737593416</v>
      </c>
      <c r="L23" s="30">
        <v>2.8366015306976209</v>
      </c>
      <c r="M23" s="30">
        <v>2.7751859201118125</v>
      </c>
      <c r="N23" s="30">
        <v>2.7380360912429795</v>
      </c>
      <c r="O23" s="30">
        <v>2.7221572680171109</v>
      </c>
      <c r="P23" s="30">
        <v>2.699752173986774</v>
      </c>
      <c r="Q23" s="30">
        <v>2.685289534350086</v>
      </c>
      <c r="R23" s="30">
        <v>2.643570222230724</v>
      </c>
      <c r="S23" s="30">
        <v>2.6245362391086791</v>
      </c>
      <c r="T23" s="30">
        <v>2.6182239510330101</v>
      </c>
      <c r="U23" s="30">
        <v>2.6099193427280274</v>
      </c>
      <c r="V23" s="30">
        <v>2.6107602826085818</v>
      </c>
      <c r="W23" s="30">
        <v>2.61469199402551</v>
      </c>
      <c r="X23" s="30">
        <v>2.6210406984874757</v>
      </c>
      <c r="Y23" s="30">
        <v>2.6252046801083164</v>
      </c>
      <c r="Z23" s="30">
        <v>2.6338566318928494</v>
      </c>
      <c r="AA23" s="30">
        <v>2.6338566318928494</v>
      </c>
      <c r="AB23" s="30">
        <v>2.6338566318928494</v>
      </c>
      <c r="AC23" s="30">
        <v>2.6338566318928494</v>
      </c>
      <c r="AD23" s="30">
        <v>2.6338566318928494</v>
      </c>
      <c r="AE23" s="30">
        <v>2.6338566318928494</v>
      </c>
      <c r="AF23" s="30">
        <v>2.6338566318928494</v>
      </c>
      <c r="AG23" s="30">
        <v>2.6338566318928494</v>
      </c>
      <c r="AH23" s="30">
        <v>2.6338566318928494</v>
      </c>
      <c r="AI23" s="30">
        <v>2.6338566318928494</v>
      </c>
      <c r="AJ23" s="30">
        <v>2.6338566318928494</v>
      </c>
      <c r="AK23" s="30">
        <v>2.6338566318928494</v>
      </c>
      <c r="AL23" s="30">
        <v>2.6338566318928494</v>
      </c>
      <c r="AM23" s="30">
        <v>2.6338566318928494</v>
      </c>
      <c r="AN23" s="30">
        <v>2.6338566318928494</v>
      </c>
      <c r="AO23" s="30">
        <v>2.6338566318928494</v>
      </c>
      <c r="AP23" s="30">
        <v>2.6338566318928494</v>
      </c>
      <c r="AQ23" s="30">
        <v>2.6338566318928494</v>
      </c>
      <c r="AR23" s="30">
        <v>2.6338566318928494</v>
      </c>
      <c r="AS23" s="30">
        <v>2.6338566318928494</v>
      </c>
      <c r="AT23" s="30">
        <v>2.6338566318928494</v>
      </c>
      <c r="AU23" s="30">
        <v>2.6338566318928494</v>
      </c>
      <c r="AV23" s="30">
        <v>2.6338566318928494</v>
      </c>
      <c r="AW23" s="30">
        <v>2.6338566318928494</v>
      </c>
      <c r="AX23" s="30">
        <v>2.6338566318928494</v>
      </c>
      <c r="AY23" s="30">
        <v>2.6338566318928494</v>
      </c>
      <c r="AZ23" s="30">
        <v>2.6338566318928494</v>
      </c>
      <c r="BA23" s="30">
        <v>2.6338566318928494</v>
      </c>
      <c r="BB23" s="30">
        <v>2.6338566318928494</v>
      </c>
      <c r="BC23" s="30">
        <v>2.6338566318928494</v>
      </c>
      <c r="BD23" s="30">
        <v>2.6338566318928494</v>
      </c>
      <c r="BE23" s="30">
        <v>2.6338566318928494</v>
      </c>
      <c r="BF23" s="30">
        <v>2.6338566318928494</v>
      </c>
      <c r="BG23" s="30">
        <v>2.6338566318928494</v>
      </c>
      <c r="BH23" s="30">
        <v>2.6338566318928494</v>
      </c>
      <c r="BI23" s="30">
        <v>2.6338566318928494</v>
      </c>
      <c r="BJ23" s="30">
        <v>2.6338566318928494</v>
      </c>
      <c r="BK23" s="30">
        <v>2.6338566318928494</v>
      </c>
      <c r="BL23" s="30">
        <v>2.6338566318928494</v>
      </c>
      <c r="BM23" s="30">
        <v>2.6338566318928494</v>
      </c>
      <c r="BN23" s="30">
        <v>2.6338566318928494</v>
      </c>
      <c r="BO23" s="30">
        <v>2.6338566318928494</v>
      </c>
      <c r="BP23" s="30">
        <v>2.6338566318928494</v>
      </c>
      <c r="BQ23" s="30">
        <v>2.6338566318928494</v>
      </c>
      <c r="BR23" s="30">
        <v>2.6338566318928494</v>
      </c>
      <c r="BS23" s="30">
        <v>2.6338566318928494</v>
      </c>
      <c r="BT23" s="30">
        <v>2.6338566318928494</v>
      </c>
      <c r="BU23" s="30">
        <v>2.6338566318928494</v>
      </c>
      <c r="BV23" s="30">
        <v>2.6338566318928494</v>
      </c>
      <c r="BW23" s="30">
        <v>2.6338566318928494</v>
      </c>
      <c r="BX23" s="30">
        <v>2.6338566318928494</v>
      </c>
      <c r="BY23" s="30">
        <v>2.6338566318928494</v>
      </c>
      <c r="BZ23" s="30">
        <v>2.6338566318928494</v>
      </c>
      <c r="CA23" s="30">
        <v>2.6338566318928494</v>
      </c>
      <c r="CB23" s="30">
        <v>2.6338566318928494</v>
      </c>
      <c r="CC23" s="30">
        <v>2.6338566318928494</v>
      </c>
      <c r="CD23" s="30">
        <v>2.6338566318928494</v>
      </c>
      <c r="CE23" s="30">
        <v>2.6338566318928494</v>
      </c>
      <c r="CF23" s="30">
        <v>2.6338566318928494</v>
      </c>
      <c r="CG23" s="30">
        <v>2.6338566318928494</v>
      </c>
      <c r="CH23" s="30">
        <v>2.6338566318928494</v>
      </c>
      <c r="CI23" s="30">
        <v>2.6338566318928494</v>
      </c>
      <c r="CJ23" s="30">
        <v>2.6338566318928494</v>
      </c>
      <c r="CK23" s="30">
        <v>2.6338566318928494</v>
      </c>
      <c r="CL23" s="30">
        <v>2.6338566318928494</v>
      </c>
      <c r="CM23" s="30">
        <v>2.6338566318928494</v>
      </c>
      <c r="CN23" s="30">
        <v>2.6338566318928494</v>
      </c>
      <c r="CO23" s="30">
        <v>2.6338566318928494</v>
      </c>
      <c r="CP23" s="30">
        <v>2.6338566318928494</v>
      </c>
      <c r="CQ23" s="30">
        <v>2.6338566318928494</v>
      </c>
      <c r="CR23" s="30">
        <v>2.6338566318928494</v>
      </c>
      <c r="CS23" s="31">
        <v>2.6338566318928494</v>
      </c>
      <c r="CT23" s="10"/>
    </row>
    <row r="24" spans="2:98" ht="15">
      <c r="B24" s="10"/>
      <c r="C24" s="17" t="s">
        <v>56</v>
      </c>
      <c r="D24" s="18" t="s">
        <v>55</v>
      </c>
      <c r="E24" s="19">
        <v>1.04379452750174</v>
      </c>
      <c r="F24" s="19">
        <v>1.04385435776603</v>
      </c>
      <c r="G24" s="19">
        <v>1.0440227368488799</v>
      </c>
      <c r="H24" s="19">
        <v>1.04417175925163</v>
      </c>
      <c r="I24" s="19">
        <v>1.04432702724223</v>
      </c>
      <c r="J24" s="19">
        <v>1.04453842073179</v>
      </c>
      <c r="K24" s="19">
        <v>1.04478972668379</v>
      </c>
      <c r="L24" s="19">
        <v>1.04498852363366</v>
      </c>
      <c r="M24" s="19">
        <v>1.0451787561894501</v>
      </c>
      <c r="N24" s="19">
        <v>1.0453224330239499</v>
      </c>
      <c r="O24" s="19">
        <v>1.0455100139006801</v>
      </c>
      <c r="P24" s="19">
        <v>1.0455670121799101</v>
      </c>
      <c r="Q24" s="19">
        <v>1.0454356138682399</v>
      </c>
      <c r="R24" s="19">
        <v>1.0453262836235699</v>
      </c>
      <c r="S24" s="19">
        <v>1.04530910672411</v>
      </c>
      <c r="T24" s="19">
        <v>1.04532824811882</v>
      </c>
      <c r="U24" s="19">
        <v>1.045422728618</v>
      </c>
      <c r="V24" s="19">
        <v>1.0454842015838799</v>
      </c>
      <c r="W24" s="19">
        <v>1.04545425301824</v>
      </c>
      <c r="X24" s="19">
        <v>1.0453746870693601</v>
      </c>
      <c r="Y24" s="19">
        <v>1.04526441668396</v>
      </c>
      <c r="Z24" s="19">
        <v>1.0452542059343899</v>
      </c>
      <c r="AA24" s="19">
        <f t="array" ref="AA24:CS24">Z$24</f>
        <v>1.0452542059343899</v>
      </c>
      <c r="AB24" s="19">
        <v>1.0452542059343899</v>
      </c>
      <c r="AC24" s="19">
        <v>1.0452542059343899</v>
      </c>
      <c r="AD24" s="19">
        <v>1.0452542059343899</v>
      </c>
      <c r="AE24" s="19">
        <v>1.0452542059343899</v>
      </c>
      <c r="AF24" s="19">
        <v>1.0452542059343899</v>
      </c>
      <c r="AG24" s="19">
        <v>1.0452542059343899</v>
      </c>
      <c r="AH24" s="19">
        <v>1.0452542059343899</v>
      </c>
      <c r="AI24" s="19">
        <v>1.0452542059343899</v>
      </c>
      <c r="AJ24" s="19">
        <v>1.0452542059343899</v>
      </c>
      <c r="AK24" s="19">
        <v>1.0452542059343899</v>
      </c>
      <c r="AL24" s="19">
        <v>1.0452542059343899</v>
      </c>
      <c r="AM24" s="19">
        <v>1.0452542059343899</v>
      </c>
      <c r="AN24" s="19">
        <v>1.0452542059343899</v>
      </c>
      <c r="AO24" s="19">
        <v>1.0452542059343899</v>
      </c>
      <c r="AP24" s="19">
        <v>1.0452542059343899</v>
      </c>
      <c r="AQ24" s="19">
        <v>1.0452542059343899</v>
      </c>
      <c r="AR24" s="19">
        <v>1.0452542059343899</v>
      </c>
      <c r="AS24" s="19">
        <v>1.0452542059343899</v>
      </c>
      <c r="AT24" s="19">
        <v>1.0452542059343899</v>
      </c>
      <c r="AU24" s="19">
        <v>1.0452542059343899</v>
      </c>
      <c r="AV24" s="19">
        <v>1.0452542059343899</v>
      </c>
      <c r="AW24" s="19">
        <v>1.0452542059343899</v>
      </c>
      <c r="AX24" s="19">
        <v>1.0452542059343899</v>
      </c>
      <c r="AY24" s="19">
        <v>1.0452542059343899</v>
      </c>
      <c r="AZ24" s="19">
        <v>1.0452542059343899</v>
      </c>
      <c r="BA24" s="19">
        <v>1.0452542059343899</v>
      </c>
      <c r="BB24" s="19">
        <v>1.0452542059343899</v>
      </c>
      <c r="BC24" s="19">
        <v>1.0452542059343899</v>
      </c>
      <c r="BD24" s="19">
        <v>1.0452542059343899</v>
      </c>
      <c r="BE24" s="19">
        <v>1.0452542059343899</v>
      </c>
      <c r="BF24" s="19">
        <v>1.0452542059343899</v>
      </c>
      <c r="BG24" s="19">
        <v>1.0452542059343899</v>
      </c>
      <c r="BH24" s="19">
        <v>1.0452542059343899</v>
      </c>
      <c r="BI24" s="19">
        <v>1.0452542059343899</v>
      </c>
      <c r="BJ24" s="19">
        <v>1.0452542059343899</v>
      </c>
      <c r="BK24" s="19">
        <v>1.0452542059343899</v>
      </c>
      <c r="BL24" s="19">
        <v>1.0452542059343899</v>
      </c>
      <c r="BM24" s="19">
        <v>1.0452542059343899</v>
      </c>
      <c r="BN24" s="19">
        <v>1.0452542059343899</v>
      </c>
      <c r="BO24" s="19">
        <v>1.0452542059343899</v>
      </c>
      <c r="BP24" s="19">
        <v>1.0452542059343899</v>
      </c>
      <c r="BQ24" s="19">
        <v>1.0452542059343899</v>
      </c>
      <c r="BR24" s="19">
        <v>1.0452542059343899</v>
      </c>
      <c r="BS24" s="19">
        <v>1.0452542059343899</v>
      </c>
      <c r="BT24" s="19">
        <v>1.0452542059343899</v>
      </c>
      <c r="BU24" s="19">
        <v>1.0452542059343899</v>
      </c>
      <c r="BV24" s="19">
        <v>1.0452542059343899</v>
      </c>
      <c r="BW24" s="19">
        <v>1.0452542059343899</v>
      </c>
      <c r="BX24" s="19">
        <v>1.0452542059343899</v>
      </c>
      <c r="BY24" s="19">
        <v>1.0452542059343899</v>
      </c>
      <c r="BZ24" s="19">
        <v>1.0452542059343899</v>
      </c>
      <c r="CA24" s="19">
        <v>1.0452542059343899</v>
      </c>
      <c r="CB24" s="19">
        <v>1.0452542059343899</v>
      </c>
      <c r="CC24" s="19">
        <v>1.0452542059343899</v>
      </c>
      <c r="CD24" s="19">
        <v>1.0452542059343899</v>
      </c>
      <c r="CE24" s="19">
        <v>1.0452542059343899</v>
      </c>
      <c r="CF24" s="19">
        <v>1.0452542059343899</v>
      </c>
      <c r="CG24" s="19">
        <v>1.0452542059343899</v>
      </c>
      <c r="CH24" s="19">
        <v>1.0452542059343899</v>
      </c>
      <c r="CI24" s="19">
        <v>1.0452542059343899</v>
      </c>
      <c r="CJ24" s="19">
        <v>1.0452542059343899</v>
      </c>
      <c r="CK24" s="19">
        <v>1.0452542059343899</v>
      </c>
      <c r="CL24" s="19">
        <v>1.0452542059343899</v>
      </c>
      <c r="CM24" s="19">
        <v>1.0452542059343899</v>
      </c>
      <c r="CN24" s="19">
        <v>1.0452542059343899</v>
      </c>
      <c r="CO24" s="19">
        <v>1.0452542059343899</v>
      </c>
      <c r="CP24" s="19">
        <v>1.0452542059343899</v>
      </c>
      <c r="CQ24" s="19">
        <v>1.0452542059343899</v>
      </c>
      <c r="CR24" s="19">
        <v>1.0452542059343899</v>
      </c>
      <c r="CS24" s="20">
        <v>1.0452542059343899</v>
      </c>
      <c r="CT24" s="10"/>
    </row>
    <row r="25" spans="2:98" ht="15">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row>
    <row r="26" spans="2:98" ht="15">
      <c r="B26" s="10"/>
      <c r="C26" s="22" t="s">
        <v>45</v>
      </c>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34"/>
      <c r="CT26" s="10"/>
    </row>
    <row r="27" spans="2:98" ht="15">
      <c r="B27" s="10"/>
      <c r="C27" s="27" t="s">
        <v>46</v>
      </c>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5"/>
      <c r="CT27" s="10"/>
    </row>
    <row r="28" spans="2:98" ht="15">
      <c r="B28" s="10"/>
      <c r="C28" s="16" t="str">
        <f>INDEX(_pcName,1)</f>
        <v>Axial Cylindrical Housed</v>
      </c>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5"/>
      <c r="CT28" s="10"/>
    </row>
    <row r="29" spans="2:98" ht="15">
      <c r="B29" s="10"/>
      <c r="C29" s="28" t="s">
        <v>17</v>
      </c>
      <c r="D29" s="12" t="s">
        <v>47</v>
      </c>
      <c r="E29" s="91">
        <v>0.11</v>
      </c>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5"/>
      <c r="CT29" s="10"/>
    </row>
    <row r="30" spans="2:98" ht="15">
      <c r="B30" s="10"/>
      <c r="C30" s="28" t="s">
        <v>18</v>
      </c>
      <c r="D30" s="12" t="s">
        <v>47</v>
      </c>
      <c r="E30" s="91">
        <v>0.89</v>
      </c>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5"/>
      <c r="CT30" s="10"/>
    </row>
    <row r="31" spans="2:98" ht="15">
      <c r="B31" s="10"/>
      <c r="C31" s="16" t="str">
        <f>INDEX(_pcName,2)</f>
        <v>Panel</v>
      </c>
      <c r="D31" s="14"/>
      <c r="E31" s="91"/>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5"/>
      <c r="CT31" s="10"/>
    </row>
    <row r="32" spans="2:98" ht="15">
      <c r="B32" s="10"/>
      <c r="C32" s="28" t="s">
        <v>17</v>
      </c>
      <c r="D32" s="12" t="s">
        <v>47</v>
      </c>
      <c r="E32" s="91">
        <v>0.66</v>
      </c>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5"/>
      <c r="CT32" s="10"/>
    </row>
    <row r="33" spans="2:98" ht="15">
      <c r="B33" s="10"/>
      <c r="C33" s="28" t="s">
        <v>18</v>
      </c>
      <c r="D33" s="12" t="s">
        <v>47</v>
      </c>
      <c r="E33" s="91">
        <v>0.34</v>
      </c>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5"/>
      <c r="CT33" s="10"/>
    </row>
    <row r="34" spans="2:98" ht="15">
      <c r="B34" s="10"/>
      <c r="C34" s="16" t="str">
        <f>INDEX(_pcName,3)</f>
        <v>Centrif Housed</v>
      </c>
      <c r="D34" s="14"/>
      <c r="E34" s="91"/>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5"/>
      <c r="CT34" s="10"/>
    </row>
    <row r="35" spans="2:98" ht="15">
      <c r="B35" s="10"/>
      <c r="C35" s="28" t="s">
        <v>17</v>
      </c>
      <c r="D35" s="12" t="s">
        <v>47</v>
      </c>
      <c r="E35" s="91">
        <v>0.95</v>
      </c>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5"/>
      <c r="CT35" s="10"/>
    </row>
    <row r="36" spans="2:98" ht="15">
      <c r="B36" s="10"/>
      <c r="C36" s="28" t="s">
        <v>18</v>
      </c>
      <c r="D36" s="12" t="s">
        <v>47</v>
      </c>
      <c r="E36" s="91">
        <v>0.05</v>
      </c>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5"/>
      <c r="CT36" s="10"/>
    </row>
    <row r="37" spans="2:98" ht="15">
      <c r="B37" s="10"/>
      <c r="C37" s="16" t="str">
        <f>INDEX(_pcName,4)</f>
        <v>Centrif Unhous</v>
      </c>
      <c r="D37" s="14"/>
      <c r="E37" s="91"/>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5"/>
      <c r="CT37" s="10"/>
    </row>
    <row r="38" spans="2:98" ht="15">
      <c r="B38" s="10"/>
      <c r="C38" s="28" t="s">
        <v>17</v>
      </c>
      <c r="D38" s="12" t="s">
        <v>47</v>
      </c>
      <c r="E38" s="91">
        <v>0.86</v>
      </c>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5"/>
      <c r="CT38" s="10"/>
    </row>
    <row r="39" spans="2:98" ht="15">
      <c r="B39" s="10"/>
      <c r="C39" s="28" t="s">
        <v>18</v>
      </c>
      <c r="D39" s="12" t="s">
        <v>47</v>
      </c>
      <c r="E39" s="91">
        <v>0.14000000000000001</v>
      </c>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5"/>
      <c r="CT39" s="10"/>
    </row>
    <row r="40" spans="2:98" ht="15">
      <c r="B40" s="10"/>
      <c r="C40" s="16" t="str">
        <f>INDEX(_pcName,5)</f>
        <v>Inline-Mixed</v>
      </c>
      <c r="D40" s="14"/>
      <c r="E40" s="91"/>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5"/>
      <c r="CT40" s="10"/>
    </row>
    <row r="41" spans="2:98" ht="15">
      <c r="B41" s="10"/>
      <c r="C41" s="28" t="s">
        <v>17</v>
      </c>
      <c r="D41" s="12" t="s">
        <v>47</v>
      </c>
      <c r="E41" s="91">
        <v>0.99</v>
      </c>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5"/>
      <c r="CT41" s="10"/>
    </row>
    <row r="42" spans="2:98" ht="15">
      <c r="B42" s="10"/>
      <c r="C42" s="28" t="s">
        <v>18</v>
      </c>
      <c r="D42" s="12" t="s">
        <v>47</v>
      </c>
      <c r="E42" s="91">
        <v>0.01</v>
      </c>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5"/>
      <c r="CT42" s="10"/>
    </row>
    <row r="43" spans="2:98" ht="15">
      <c r="B43" s="10"/>
      <c r="C43" s="16" t="str">
        <f>INDEX(_pcName,6)</f>
        <v>Radial</v>
      </c>
      <c r="D43" s="14"/>
      <c r="E43" s="91"/>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5"/>
      <c r="CT43" s="10"/>
    </row>
    <row r="44" spans="2:98" ht="15">
      <c r="B44" s="10"/>
      <c r="C44" s="28" t="s">
        <v>17</v>
      </c>
      <c r="D44" s="12" t="s">
        <v>47</v>
      </c>
      <c r="E44" s="91">
        <v>0</v>
      </c>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5"/>
      <c r="CT44" s="10"/>
    </row>
    <row r="45" spans="2:98" ht="15">
      <c r="B45" s="10"/>
      <c r="C45" s="28" t="s">
        <v>18</v>
      </c>
      <c r="D45" s="12" t="s">
        <v>47</v>
      </c>
      <c r="E45" s="91">
        <v>1</v>
      </c>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5"/>
      <c r="CT45" s="10"/>
    </row>
    <row r="46" spans="2:98" ht="15">
      <c r="B46" s="10"/>
      <c r="C46" s="16" t="str">
        <f>INDEX(_pcName,7)</f>
        <v>Power Roof Vent</v>
      </c>
      <c r="D46" s="14"/>
      <c r="E46" s="91"/>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5"/>
      <c r="CT46" s="10"/>
    </row>
    <row r="47" spans="2:98" ht="15">
      <c r="B47" s="10"/>
      <c r="C47" s="28" t="s">
        <v>17</v>
      </c>
      <c r="D47" s="12" t="s">
        <v>47</v>
      </c>
      <c r="E47" s="91">
        <v>0.97</v>
      </c>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5"/>
      <c r="CT47" s="10"/>
    </row>
    <row r="48" spans="2:98" ht="15">
      <c r="B48" s="10"/>
      <c r="C48" s="28" t="s">
        <v>18</v>
      </c>
      <c r="D48" s="12" t="s">
        <v>47</v>
      </c>
      <c r="E48" s="91">
        <v>0.03</v>
      </c>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5"/>
      <c r="CT48" s="10"/>
    </row>
    <row r="49" spans="2:98">
      <c r="B49" s="10"/>
      <c r="C49" s="35" t="s">
        <v>48</v>
      </c>
      <c r="D49" s="36"/>
      <c r="E49" s="37">
        <f t="array" ref="E49:CS49">_yL</f>
        <v>2019</v>
      </c>
      <c r="F49" s="37">
        <v>2020</v>
      </c>
      <c r="G49" s="37">
        <v>2021</v>
      </c>
      <c r="H49" s="37">
        <v>2022</v>
      </c>
      <c r="I49" s="37">
        <v>2023</v>
      </c>
      <c r="J49" s="37">
        <v>2024</v>
      </c>
      <c r="K49" s="37">
        <v>2025</v>
      </c>
      <c r="L49" s="37">
        <v>2026</v>
      </c>
      <c r="M49" s="37">
        <v>2027</v>
      </c>
      <c r="N49" s="37">
        <v>2028</v>
      </c>
      <c r="O49" s="37">
        <v>2029</v>
      </c>
      <c r="P49" s="37">
        <v>2030</v>
      </c>
      <c r="Q49" s="37">
        <v>2031</v>
      </c>
      <c r="R49" s="37">
        <v>2032</v>
      </c>
      <c r="S49" s="37">
        <v>2033</v>
      </c>
      <c r="T49" s="37">
        <v>2034</v>
      </c>
      <c r="U49" s="37">
        <v>2035</v>
      </c>
      <c r="V49" s="37">
        <v>2036</v>
      </c>
      <c r="W49" s="37">
        <v>2037</v>
      </c>
      <c r="X49" s="37">
        <v>2038</v>
      </c>
      <c r="Y49" s="37">
        <v>2039</v>
      </c>
      <c r="Z49" s="37">
        <v>2040</v>
      </c>
      <c r="AA49" s="37">
        <v>2041</v>
      </c>
      <c r="AB49" s="37">
        <v>2042</v>
      </c>
      <c r="AC49" s="37">
        <v>2043</v>
      </c>
      <c r="AD49" s="37">
        <v>2044</v>
      </c>
      <c r="AE49" s="37">
        <v>2045</v>
      </c>
      <c r="AF49" s="37">
        <v>2046</v>
      </c>
      <c r="AG49" s="37">
        <v>2047</v>
      </c>
      <c r="AH49" s="37">
        <v>2048</v>
      </c>
      <c r="AI49" s="37">
        <v>2049</v>
      </c>
      <c r="AJ49" s="37">
        <v>2050</v>
      </c>
      <c r="AK49" s="37">
        <v>2051</v>
      </c>
      <c r="AL49" s="37">
        <v>2052</v>
      </c>
      <c r="AM49" s="37">
        <v>2053</v>
      </c>
      <c r="AN49" s="37">
        <v>2054</v>
      </c>
      <c r="AO49" s="37">
        <v>2055</v>
      </c>
      <c r="AP49" s="37">
        <v>2056</v>
      </c>
      <c r="AQ49" s="37">
        <v>2057</v>
      </c>
      <c r="AR49" s="37">
        <v>2058</v>
      </c>
      <c r="AS49" s="37">
        <v>2059</v>
      </c>
      <c r="AT49" s="37">
        <v>2060</v>
      </c>
      <c r="AU49" s="37">
        <v>2061</v>
      </c>
      <c r="AV49" s="37">
        <v>2062</v>
      </c>
      <c r="AW49" s="37">
        <v>2063</v>
      </c>
      <c r="AX49" s="37">
        <v>2064</v>
      </c>
      <c r="AY49" s="37">
        <v>2065</v>
      </c>
      <c r="AZ49" s="37">
        <v>2066</v>
      </c>
      <c r="BA49" s="37">
        <v>2067</v>
      </c>
      <c r="BB49" s="37">
        <v>2068</v>
      </c>
      <c r="BC49" s="37">
        <v>2069</v>
      </c>
      <c r="BD49" s="37">
        <v>2070</v>
      </c>
      <c r="BE49" s="37">
        <v>2071</v>
      </c>
      <c r="BF49" s="37">
        <v>2072</v>
      </c>
      <c r="BG49" s="37">
        <v>2073</v>
      </c>
      <c r="BH49" s="37">
        <v>2074</v>
      </c>
      <c r="BI49" s="37">
        <v>2075</v>
      </c>
      <c r="BJ49" s="37">
        <v>2076</v>
      </c>
      <c r="BK49" s="37">
        <v>2077</v>
      </c>
      <c r="BL49" s="37">
        <v>2078</v>
      </c>
      <c r="BM49" s="37">
        <v>2079</v>
      </c>
      <c r="BN49" s="37">
        <v>2080</v>
      </c>
      <c r="BO49" s="37">
        <v>2081</v>
      </c>
      <c r="BP49" s="37">
        <v>2082</v>
      </c>
      <c r="BQ49" s="37">
        <v>2083</v>
      </c>
      <c r="BR49" s="37">
        <v>2084</v>
      </c>
      <c r="BS49" s="37">
        <v>2085</v>
      </c>
      <c r="BT49" s="37">
        <v>2086</v>
      </c>
      <c r="BU49" s="37">
        <v>2087</v>
      </c>
      <c r="BV49" s="37">
        <v>2088</v>
      </c>
      <c r="BW49" s="37">
        <v>2089</v>
      </c>
      <c r="BX49" s="37">
        <v>2090</v>
      </c>
      <c r="BY49" s="37">
        <v>2091</v>
      </c>
      <c r="BZ49" s="37">
        <v>2092</v>
      </c>
      <c r="CA49" s="37">
        <v>2093</v>
      </c>
      <c r="CB49" s="37">
        <v>2094</v>
      </c>
      <c r="CC49" s="37">
        <v>2095</v>
      </c>
      <c r="CD49" s="37">
        <v>2096</v>
      </c>
      <c r="CE49" s="37">
        <v>2097</v>
      </c>
      <c r="CF49" s="37">
        <v>2098</v>
      </c>
      <c r="CG49" s="37">
        <v>2099</v>
      </c>
      <c r="CH49" s="37">
        <v>2100</v>
      </c>
      <c r="CI49" s="37">
        <v>2101</v>
      </c>
      <c r="CJ49" s="37">
        <v>2102</v>
      </c>
      <c r="CK49" s="37">
        <v>2103</v>
      </c>
      <c r="CL49" s="37">
        <v>2104</v>
      </c>
      <c r="CM49" s="37">
        <v>2105</v>
      </c>
      <c r="CN49" s="37">
        <v>2106</v>
      </c>
      <c r="CO49" s="37">
        <v>2107</v>
      </c>
      <c r="CP49" s="37">
        <v>2108</v>
      </c>
      <c r="CQ49" s="37">
        <v>2109</v>
      </c>
      <c r="CR49" s="37">
        <v>2110</v>
      </c>
      <c r="CS49" s="38">
        <v>2111</v>
      </c>
      <c r="CT49" s="10"/>
    </row>
    <row r="50" spans="2:98">
      <c r="B50" s="10"/>
      <c r="C50" s="16" t="s">
        <v>49</v>
      </c>
      <c r="D50" s="12" t="s">
        <v>50</v>
      </c>
      <c r="E50" s="30">
        <v>1.08199406786303E-2</v>
      </c>
      <c r="F50" s="30">
        <v>1.0598211174112001E-2</v>
      </c>
      <c r="G50" s="30">
        <v>1.05098018086776E-2</v>
      </c>
      <c r="H50" s="30">
        <v>1.0316452057781899E-2</v>
      </c>
      <c r="I50" s="30">
        <v>1.00224581902283E-2</v>
      </c>
      <c r="J50" s="30">
        <v>9.8495696221473101E-3</v>
      </c>
      <c r="K50" s="30">
        <v>9.8513841855283803E-3</v>
      </c>
      <c r="L50" s="30">
        <v>9.6823191291053792E-3</v>
      </c>
      <c r="M50" s="30">
        <v>9.4729016092384797E-3</v>
      </c>
      <c r="N50" s="30">
        <v>9.3461210360492805E-3</v>
      </c>
      <c r="O50" s="30">
        <v>9.2919794680674898E-3</v>
      </c>
      <c r="P50" s="30">
        <v>9.2155767359393004E-3</v>
      </c>
      <c r="Q50" s="30">
        <v>9.1662834389276103E-3</v>
      </c>
      <c r="R50" s="30">
        <v>9.0239671983763509E-3</v>
      </c>
      <c r="S50" s="30">
        <v>8.9589019296740704E-3</v>
      </c>
      <c r="T50" s="30">
        <v>8.9372900455751796E-3</v>
      </c>
      <c r="U50" s="30">
        <v>8.9089182115869095E-3</v>
      </c>
      <c r="V50" s="30">
        <v>8.9118345868577503E-3</v>
      </c>
      <c r="W50" s="30">
        <v>8.9252817158755708E-3</v>
      </c>
      <c r="X50" s="30">
        <v>8.9469592168118801E-3</v>
      </c>
      <c r="Y50" s="30">
        <v>8.9611779752654108E-3</v>
      </c>
      <c r="Z50" s="30">
        <v>8.9907484123000498E-3</v>
      </c>
      <c r="AA50" s="30">
        <f t="array" ref="AA50:CS50">Z$50</f>
        <v>8.9907484123000498E-3</v>
      </c>
      <c r="AB50" s="30">
        <v>8.9907484123000498E-3</v>
      </c>
      <c r="AC50" s="30">
        <v>8.9907484123000498E-3</v>
      </c>
      <c r="AD50" s="30">
        <v>8.9907484123000498E-3</v>
      </c>
      <c r="AE50" s="30">
        <v>8.9907484123000498E-3</v>
      </c>
      <c r="AF50" s="30">
        <v>8.9907484123000498E-3</v>
      </c>
      <c r="AG50" s="30">
        <v>8.9907484123000498E-3</v>
      </c>
      <c r="AH50" s="30">
        <v>8.9907484123000498E-3</v>
      </c>
      <c r="AI50" s="30">
        <v>8.9907484123000498E-3</v>
      </c>
      <c r="AJ50" s="30">
        <v>8.9907484123000498E-3</v>
      </c>
      <c r="AK50" s="30">
        <v>8.9907484123000498E-3</v>
      </c>
      <c r="AL50" s="30">
        <v>8.9907484123000498E-3</v>
      </c>
      <c r="AM50" s="30">
        <v>8.9907484123000498E-3</v>
      </c>
      <c r="AN50" s="30">
        <v>8.9907484123000498E-3</v>
      </c>
      <c r="AO50" s="30">
        <v>8.9907484123000498E-3</v>
      </c>
      <c r="AP50" s="30">
        <v>8.9907484123000498E-3</v>
      </c>
      <c r="AQ50" s="30">
        <v>8.9907484123000498E-3</v>
      </c>
      <c r="AR50" s="30">
        <v>8.9907484123000498E-3</v>
      </c>
      <c r="AS50" s="30">
        <v>8.9907484123000498E-3</v>
      </c>
      <c r="AT50" s="30">
        <v>8.9907484123000498E-3</v>
      </c>
      <c r="AU50" s="30">
        <v>8.9907484123000498E-3</v>
      </c>
      <c r="AV50" s="30">
        <v>8.9907484123000498E-3</v>
      </c>
      <c r="AW50" s="30">
        <v>8.9907484123000498E-3</v>
      </c>
      <c r="AX50" s="30">
        <v>8.9907484123000498E-3</v>
      </c>
      <c r="AY50" s="30">
        <v>8.9907484123000498E-3</v>
      </c>
      <c r="AZ50" s="30">
        <v>8.9907484123000498E-3</v>
      </c>
      <c r="BA50" s="30">
        <v>8.9907484123000498E-3</v>
      </c>
      <c r="BB50" s="30">
        <v>8.9907484123000498E-3</v>
      </c>
      <c r="BC50" s="30">
        <v>8.9907484123000498E-3</v>
      </c>
      <c r="BD50" s="30">
        <v>8.9907484123000498E-3</v>
      </c>
      <c r="BE50" s="30">
        <v>8.9907484123000498E-3</v>
      </c>
      <c r="BF50" s="30">
        <v>8.9907484123000498E-3</v>
      </c>
      <c r="BG50" s="30">
        <v>8.9907484123000498E-3</v>
      </c>
      <c r="BH50" s="30">
        <v>8.9907484123000498E-3</v>
      </c>
      <c r="BI50" s="30">
        <v>8.9907484123000498E-3</v>
      </c>
      <c r="BJ50" s="30">
        <v>8.9907484123000498E-3</v>
      </c>
      <c r="BK50" s="30">
        <v>8.9907484123000498E-3</v>
      </c>
      <c r="BL50" s="30">
        <v>8.9907484123000498E-3</v>
      </c>
      <c r="BM50" s="30">
        <v>8.9907484123000498E-3</v>
      </c>
      <c r="BN50" s="30">
        <v>8.9907484123000498E-3</v>
      </c>
      <c r="BO50" s="30">
        <v>8.9907484123000498E-3</v>
      </c>
      <c r="BP50" s="30">
        <v>8.9907484123000498E-3</v>
      </c>
      <c r="BQ50" s="30">
        <v>8.9907484123000498E-3</v>
      </c>
      <c r="BR50" s="30">
        <v>8.9907484123000498E-3</v>
      </c>
      <c r="BS50" s="30">
        <v>8.9907484123000498E-3</v>
      </c>
      <c r="BT50" s="30">
        <v>8.9907484123000498E-3</v>
      </c>
      <c r="BU50" s="30">
        <v>8.9907484123000498E-3</v>
      </c>
      <c r="BV50" s="30">
        <v>8.9907484123000498E-3</v>
      </c>
      <c r="BW50" s="30">
        <v>8.9907484123000498E-3</v>
      </c>
      <c r="BX50" s="30">
        <v>8.9907484123000498E-3</v>
      </c>
      <c r="BY50" s="30">
        <v>8.9907484123000498E-3</v>
      </c>
      <c r="BZ50" s="30">
        <v>8.9907484123000498E-3</v>
      </c>
      <c r="CA50" s="30">
        <v>8.9907484123000498E-3</v>
      </c>
      <c r="CB50" s="30">
        <v>8.9907484123000498E-3</v>
      </c>
      <c r="CC50" s="30">
        <v>8.9907484123000498E-3</v>
      </c>
      <c r="CD50" s="30">
        <v>8.9907484123000498E-3</v>
      </c>
      <c r="CE50" s="30">
        <v>8.9907484123000498E-3</v>
      </c>
      <c r="CF50" s="30">
        <v>8.9907484123000498E-3</v>
      </c>
      <c r="CG50" s="30">
        <v>8.9907484123000498E-3</v>
      </c>
      <c r="CH50" s="30">
        <v>8.9907484123000498E-3</v>
      </c>
      <c r="CI50" s="30">
        <v>8.9907484123000498E-3</v>
      </c>
      <c r="CJ50" s="30">
        <v>8.9907484123000498E-3</v>
      </c>
      <c r="CK50" s="30">
        <v>8.9907484123000498E-3</v>
      </c>
      <c r="CL50" s="30">
        <v>8.9907484123000498E-3</v>
      </c>
      <c r="CM50" s="30">
        <v>8.9907484123000498E-3</v>
      </c>
      <c r="CN50" s="30">
        <v>8.9907484123000498E-3</v>
      </c>
      <c r="CO50" s="30">
        <v>8.9907484123000498E-3</v>
      </c>
      <c r="CP50" s="30">
        <v>8.9907484123000498E-3</v>
      </c>
      <c r="CQ50" s="30">
        <v>8.9907484123000498E-3</v>
      </c>
      <c r="CR50" s="30">
        <v>8.9907484123000498E-3</v>
      </c>
      <c r="CS50" s="31">
        <v>8.9907484123000498E-3</v>
      </c>
      <c r="CT50" s="10"/>
    </row>
    <row r="51" spans="2:98">
      <c r="B51" s="10"/>
      <c r="C51" s="17" t="s">
        <v>51</v>
      </c>
      <c r="D51" s="18" t="s">
        <v>50</v>
      </c>
      <c r="E51" s="32">
        <v>1.07138637362015E-2</v>
      </c>
      <c r="F51" s="32">
        <v>1.04944815409714E-2</v>
      </c>
      <c r="G51" s="32">
        <v>1.04105274596029E-2</v>
      </c>
      <c r="H51" s="32">
        <v>1.0217560838127899E-2</v>
      </c>
      <c r="I51" s="32">
        <v>9.9172552164992593E-3</v>
      </c>
      <c r="J51" s="32">
        <v>9.7337894165928501E-3</v>
      </c>
      <c r="K51" s="32">
        <v>9.7385751240512495E-3</v>
      </c>
      <c r="L51" s="32">
        <v>9.5678874751861393E-3</v>
      </c>
      <c r="M51" s="32">
        <v>9.3537618907555391E-3</v>
      </c>
      <c r="N51" s="32">
        <v>9.2276511656421995E-3</v>
      </c>
      <c r="O51" s="32">
        <v>9.1722020699179299E-3</v>
      </c>
      <c r="P51" s="32">
        <v>9.0942452708940597E-3</v>
      </c>
      <c r="Q51" s="32">
        <v>9.0431093799630703E-3</v>
      </c>
      <c r="R51" s="32">
        <v>8.8995944315226599E-3</v>
      </c>
      <c r="S51" s="32">
        <v>8.8384832443969101E-3</v>
      </c>
      <c r="T51" s="32">
        <v>8.8193201321514897E-3</v>
      </c>
      <c r="U51" s="32">
        <v>8.7921261062971403E-3</v>
      </c>
      <c r="V51" s="32">
        <v>8.7934768384532302E-3</v>
      </c>
      <c r="W51" s="32">
        <v>8.8058715407151895E-3</v>
      </c>
      <c r="X51" s="32">
        <v>8.8270549708111701E-3</v>
      </c>
      <c r="Y51" s="32">
        <v>8.8409182824152593E-3</v>
      </c>
      <c r="Z51" s="32">
        <v>8.8688636480226905E-3</v>
      </c>
      <c r="AA51" s="32">
        <f t="array" ref="AA51:CS51">Z$51</f>
        <v>8.8688636480226905E-3</v>
      </c>
      <c r="AB51" s="32">
        <v>8.8688636480226905E-3</v>
      </c>
      <c r="AC51" s="32">
        <v>8.8688636480226905E-3</v>
      </c>
      <c r="AD51" s="32">
        <v>8.8688636480226905E-3</v>
      </c>
      <c r="AE51" s="32">
        <v>8.8688636480226905E-3</v>
      </c>
      <c r="AF51" s="32">
        <v>8.8688636480226905E-3</v>
      </c>
      <c r="AG51" s="32">
        <v>8.8688636480226905E-3</v>
      </c>
      <c r="AH51" s="32">
        <v>8.8688636480226905E-3</v>
      </c>
      <c r="AI51" s="32">
        <v>8.8688636480226905E-3</v>
      </c>
      <c r="AJ51" s="32">
        <v>8.8688636480226905E-3</v>
      </c>
      <c r="AK51" s="32">
        <v>8.8688636480226905E-3</v>
      </c>
      <c r="AL51" s="32">
        <v>8.8688636480226905E-3</v>
      </c>
      <c r="AM51" s="32">
        <v>8.8688636480226905E-3</v>
      </c>
      <c r="AN51" s="32">
        <v>8.8688636480226905E-3</v>
      </c>
      <c r="AO51" s="32">
        <v>8.8688636480226905E-3</v>
      </c>
      <c r="AP51" s="32">
        <v>8.8688636480226905E-3</v>
      </c>
      <c r="AQ51" s="32">
        <v>8.8688636480226905E-3</v>
      </c>
      <c r="AR51" s="32">
        <v>8.8688636480226905E-3</v>
      </c>
      <c r="AS51" s="32">
        <v>8.8688636480226905E-3</v>
      </c>
      <c r="AT51" s="32">
        <v>8.8688636480226905E-3</v>
      </c>
      <c r="AU51" s="32">
        <v>8.8688636480226905E-3</v>
      </c>
      <c r="AV51" s="32">
        <v>8.8688636480226905E-3</v>
      </c>
      <c r="AW51" s="32">
        <v>8.8688636480226905E-3</v>
      </c>
      <c r="AX51" s="32">
        <v>8.8688636480226905E-3</v>
      </c>
      <c r="AY51" s="32">
        <v>8.8688636480226905E-3</v>
      </c>
      <c r="AZ51" s="32">
        <v>8.8688636480226905E-3</v>
      </c>
      <c r="BA51" s="32">
        <v>8.8688636480226905E-3</v>
      </c>
      <c r="BB51" s="32">
        <v>8.8688636480226905E-3</v>
      </c>
      <c r="BC51" s="32">
        <v>8.8688636480226905E-3</v>
      </c>
      <c r="BD51" s="32">
        <v>8.8688636480226905E-3</v>
      </c>
      <c r="BE51" s="32">
        <v>8.8688636480226905E-3</v>
      </c>
      <c r="BF51" s="32">
        <v>8.8688636480226905E-3</v>
      </c>
      <c r="BG51" s="32">
        <v>8.8688636480226905E-3</v>
      </c>
      <c r="BH51" s="32">
        <v>8.8688636480226905E-3</v>
      </c>
      <c r="BI51" s="32">
        <v>8.8688636480226905E-3</v>
      </c>
      <c r="BJ51" s="32">
        <v>8.8688636480226905E-3</v>
      </c>
      <c r="BK51" s="32">
        <v>8.8688636480226905E-3</v>
      </c>
      <c r="BL51" s="32">
        <v>8.8688636480226905E-3</v>
      </c>
      <c r="BM51" s="32">
        <v>8.8688636480226905E-3</v>
      </c>
      <c r="BN51" s="32">
        <v>8.8688636480226905E-3</v>
      </c>
      <c r="BO51" s="32">
        <v>8.8688636480226905E-3</v>
      </c>
      <c r="BP51" s="32">
        <v>8.8688636480226905E-3</v>
      </c>
      <c r="BQ51" s="32">
        <v>8.8688636480226905E-3</v>
      </c>
      <c r="BR51" s="32">
        <v>8.8688636480226905E-3</v>
      </c>
      <c r="BS51" s="32">
        <v>8.8688636480226905E-3</v>
      </c>
      <c r="BT51" s="32">
        <v>8.8688636480226905E-3</v>
      </c>
      <c r="BU51" s="32">
        <v>8.8688636480226905E-3</v>
      </c>
      <c r="BV51" s="32">
        <v>8.8688636480226905E-3</v>
      </c>
      <c r="BW51" s="32">
        <v>8.8688636480226905E-3</v>
      </c>
      <c r="BX51" s="32">
        <v>8.8688636480226905E-3</v>
      </c>
      <c r="BY51" s="32">
        <v>8.8688636480226905E-3</v>
      </c>
      <c r="BZ51" s="32">
        <v>8.8688636480226905E-3</v>
      </c>
      <c r="CA51" s="32">
        <v>8.8688636480226905E-3</v>
      </c>
      <c r="CB51" s="32">
        <v>8.8688636480226905E-3</v>
      </c>
      <c r="CC51" s="32">
        <v>8.8688636480226905E-3</v>
      </c>
      <c r="CD51" s="32">
        <v>8.8688636480226905E-3</v>
      </c>
      <c r="CE51" s="32">
        <v>8.8688636480226905E-3</v>
      </c>
      <c r="CF51" s="32">
        <v>8.8688636480226905E-3</v>
      </c>
      <c r="CG51" s="32">
        <v>8.8688636480226905E-3</v>
      </c>
      <c r="CH51" s="32">
        <v>8.8688636480226905E-3</v>
      </c>
      <c r="CI51" s="32">
        <v>8.8688636480226905E-3</v>
      </c>
      <c r="CJ51" s="32">
        <v>8.8688636480226905E-3</v>
      </c>
      <c r="CK51" s="32">
        <v>8.8688636480226905E-3</v>
      </c>
      <c r="CL51" s="32">
        <v>8.8688636480226905E-3</v>
      </c>
      <c r="CM51" s="32">
        <v>8.8688636480226905E-3</v>
      </c>
      <c r="CN51" s="32">
        <v>8.8688636480226905E-3</v>
      </c>
      <c r="CO51" s="32">
        <v>8.8688636480226905E-3</v>
      </c>
      <c r="CP51" s="32">
        <v>8.8688636480226905E-3</v>
      </c>
      <c r="CQ51" s="32">
        <v>8.8688636480226905E-3</v>
      </c>
      <c r="CR51" s="32">
        <v>8.8688636480226905E-3</v>
      </c>
      <c r="CS51" s="33">
        <v>8.8688636480226905E-3</v>
      </c>
      <c r="CT51" s="10"/>
    </row>
    <row r="52" spans="2:98">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row>
  </sheetData>
  <conditionalFormatting sqref="E50:CS50">
    <cfRule type="containsBlanks" dxfId="298" priority="56" stopIfTrue="1">
      <formula>LEN(TRIM(E50))=0</formula>
    </cfRule>
    <cfRule type="notContainsBlanks" dxfId="297" priority="57" stopIfTrue="1">
      <formula>LEN(TRIM(E50))&gt;0</formula>
    </cfRule>
  </conditionalFormatting>
  <conditionalFormatting sqref="E51:CS51">
    <cfRule type="containsBlanks" dxfId="296" priority="58" stopIfTrue="1">
      <formula>LEN(TRIM(E51))=0</formula>
    </cfRule>
    <cfRule type="notContainsBlanks" dxfId="295" priority="59" stopIfTrue="1">
      <formula>LEN(TRIM(E51))&gt;0</formula>
    </cfRule>
  </conditionalFormatting>
  <conditionalFormatting sqref="E7:CS7">
    <cfRule type="containsBlanks" dxfId="294" priority="81" stopIfTrue="1">
      <formula>LEN(TRIM(E7))=0</formula>
    </cfRule>
    <cfRule type="notContainsBlanks" dxfId="293" priority="82" stopIfTrue="1">
      <formula>LEN(TRIM(E7))&gt;0</formula>
    </cfRule>
  </conditionalFormatting>
  <conditionalFormatting sqref="E8:CS8">
    <cfRule type="containsBlanks" dxfId="292" priority="83" stopIfTrue="1">
      <formula>LEN(TRIM(E8))=0</formula>
    </cfRule>
    <cfRule type="notContainsBlanks" dxfId="291" priority="84" stopIfTrue="1">
      <formula>LEN(TRIM(E8))&gt;0</formula>
    </cfRule>
  </conditionalFormatting>
  <conditionalFormatting sqref="E9:CS9">
    <cfRule type="containsBlanks" dxfId="290" priority="85" stopIfTrue="1">
      <formula>LEN(TRIM(E9))=0</formula>
    </cfRule>
    <cfRule type="notContainsBlanks" dxfId="289" priority="86" stopIfTrue="1">
      <formula>LEN(TRIM(E9))&gt;0</formula>
    </cfRule>
  </conditionalFormatting>
  <conditionalFormatting sqref="E10:CS10">
    <cfRule type="containsBlanks" dxfId="288" priority="87" stopIfTrue="1">
      <formula>LEN(TRIM(E10))=0</formula>
    </cfRule>
    <cfRule type="notContainsBlanks" dxfId="287" priority="88" stopIfTrue="1">
      <formula>LEN(TRIM(E10))&gt;0</formula>
    </cfRule>
  </conditionalFormatting>
  <conditionalFormatting sqref="E11:CS11">
    <cfRule type="containsBlanks" dxfId="286" priority="89" stopIfTrue="1">
      <formula>LEN(TRIM(E11))=0</formula>
    </cfRule>
    <cfRule type="notContainsBlanks" dxfId="285" priority="90" stopIfTrue="1">
      <formula>LEN(TRIM(E11))&gt;0</formula>
    </cfRule>
  </conditionalFormatting>
  <conditionalFormatting sqref="E12:CS12">
    <cfRule type="containsBlanks" dxfId="284" priority="91" stopIfTrue="1">
      <formula>LEN(TRIM(E12))=0</formula>
    </cfRule>
    <cfRule type="notContainsBlanks" dxfId="283" priority="92" stopIfTrue="1">
      <formula>LEN(TRIM(E12))&gt;0</formula>
    </cfRule>
  </conditionalFormatting>
  <conditionalFormatting sqref="E13:CS13">
    <cfRule type="containsBlanks" dxfId="282" priority="93" stopIfTrue="1">
      <formula>LEN(TRIM(E13))=0</formula>
    </cfRule>
    <cfRule type="notContainsBlanks" dxfId="281" priority="94" stopIfTrue="1">
      <formula>LEN(TRIM(E13))&gt;0</formula>
    </cfRule>
  </conditionalFormatting>
  <conditionalFormatting sqref="E15:CS15">
    <cfRule type="containsBlanks" dxfId="280" priority="95" stopIfTrue="1">
      <formula>LEN(TRIM(E15))=0</formula>
    </cfRule>
    <cfRule type="notContainsBlanks" dxfId="279" priority="96" stopIfTrue="1">
      <formula>LEN(TRIM(E15))&gt;0</formula>
    </cfRule>
  </conditionalFormatting>
  <conditionalFormatting sqref="E17:CS17">
    <cfRule type="containsBlanks" dxfId="278" priority="97" stopIfTrue="1">
      <formula>LEN(TRIM(E17))=0</formula>
    </cfRule>
    <cfRule type="notContainsBlanks" dxfId="277" priority="98" stopIfTrue="1">
      <formula>LEN(TRIM(E17))&gt;0</formula>
    </cfRule>
  </conditionalFormatting>
  <conditionalFormatting sqref="E18:CS18">
    <cfRule type="containsBlanks" dxfId="276" priority="99" stopIfTrue="1">
      <formula>LEN(TRIM(E18))=0</formula>
    </cfRule>
    <cfRule type="notContainsBlanks" dxfId="275" priority="100" stopIfTrue="1">
      <formula>LEN(TRIM(E18))&gt;0</formula>
    </cfRule>
  </conditionalFormatting>
  <conditionalFormatting sqref="E19:CS19">
    <cfRule type="containsBlanks" dxfId="274" priority="101" stopIfTrue="1">
      <formula>LEN(TRIM(E19))=0</formula>
    </cfRule>
    <cfRule type="notContainsBlanks" dxfId="273" priority="102" stopIfTrue="1">
      <formula>LEN(TRIM(E19))&gt;0</formula>
    </cfRule>
  </conditionalFormatting>
  <conditionalFormatting sqref="E20:CS20">
    <cfRule type="containsBlanks" dxfId="272" priority="103" stopIfTrue="1">
      <formula>LEN(TRIM(E20))=0</formula>
    </cfRule>
  </conditionalFormatting>
  <conditionalFormatting sqref="E20:CS20">
    <cfRule type="notContainsBlanks" dxfId="271" priority="104" stopIfTrue="1">
      <formula>LEN(TRIM(E20))&gt;0</formula>
    </cfRule>
  </conditionalFormatting>
  <conditionalFormatting sqref="E21:CS21">
    <cfRule type="containsBlanks" dxfId="270" priority="105" stopIfTrue="1">
      <formula>LEN(TRIM(E21))=0</formula>
    </cfRule>
  </conditionalFormatting>
  <conditionalFormatting sqref="E21:CS21">
    <cfRule type="notContainsBlanks" dxfId="269" priority="106" stopIfTrue="1">
      <formula>LEN(TRIM(E21))&gt;0</formula>
    </cfRule>
  </conditionalFormatting>
  <conditionalFormatting sqref="E22:CS22">
    <cfRule type="containsBlanks" dxfId="268" priority="107" stopIfTrue="1">
      <formula>LEN(TRIM(E22))=0</formula>
    </cfRule>
  </conditionalFormatting>
  <conditionalFormatting sqref="E22:CS22">
    <cfRule type="notContainsBlanks" dxfId="267" priority="108" stopIfTrue="1">
      <formula>LEN(TRIM(E22))&gt;0</formula>
    </cfRule>
  </conditionalFormatting>
  <conditionalFormatting sqref="E23:CS23">
    <cfRule type="containsBlanks" dxfId="266" priority="109" stopIfTrue="1">
      <formula>LEN(TRIM(E23))=0</formula>
    </cfRule>
  </conditionalFormatting>
  <conditionalFormatting sqref="E23:CS23">
    <cfRule type="notContainsBlanks" dxfId="265" priority="110" stopIfTrue="1">
      <formula>LEN(TRIM(E23))&gt;0</formula>
    </cfRule>
  </conditionalFormatting>
  <conditionalFormatting sqref="E24:CS24">
    <cfRule type="containsBlanks" dxfId="264" priority="111" stopIfTrue="1">
      <formula>LEN(TRIM(E24))=0</formula>
    </cfRule>
  </conditionalFormatting>
  <conditionalFormatting sqref="E24:CS24">
    <cfRule type="notContainsBlanks" dxfId="263" priority="112" stopIfTrue="1">
      <formula>LEN(TRIM(E24))&gt;0</formula>
    </cfRule>
  </conditionalFormatting>
  <conditionalFormatting sqref="E35:E36">
    <cfRule type="containsBlanks" dxfId="262" priority="19" stopIfTrue="1">
      <formula>LEN(TRIM(E35))=0</formula>
    </cfRule>
    <cfRule type="expression" dxfId="261" priority="20" stopIfTrue="1">
      <formula>SUM($E$29:$E$30)&lt;&gt;1</formula>
    </cfRule>
    <cfRule type="notContainsBlanks" dxfId="260" priority="21" stopIfTrue="1">
      <formula>LEN(TRIM(E35))&gt;0</formula>
    </cfRule>
  </conditionalFormatting>
  <conditionalFormatting sqref="E38:E39">
    <cfRule type="containsBlanks" dxfId="259" priority="16" stopIfTrue="1">
      <formula>LEN(TRIM(E38))=0</formula>
    </cfRule>
    <cfRule type="expression" dxfId="258" priority="17" stopIfTrue="1">
      <formula>SUM($E$29:$E$30)&lt;&gt;1</formula>
    </cfRule>
    <cfRule type="notContainsBlanks" dxfId="257" priority="18" stopIfTrue="1">
      <formula>LEN(TRIM(E38))&gt;0</formula>
    </cfRule>
  </conditionalFormatting>
  <conditionalFormatting sqref="E41:E42">
    <cfRule type="containsBlanks" dxfId="256" priority="13" stopIfTrue="1">
      <formula>LEN(TRIM(E41))=0</formula>
    </cfRule>
    <cfRule type="expression" dxfId="255" priority="14" stopIfTrue="1">
      <formula>SUM($E$29:$E$30)&lt;&gt;1</formula>
    </cfRule>
    <cfRule type="notContainsBlanks" dxfId="254" priority="15" stopIfTrue="1">
      <formula>LEN(TRIM(E41))&gt;0</formula>
    </cfRule>
  </conditionalFormatting>
  <conditionalFormatting sqref="E44:E45">
    <cfRule type="containsBlanks" dxfId="253" priority="10" stopIfTrue="1">
      <formula>LEN(TRIM(E44))=0</formula>
    </cfRule>
    <cfRule type="expression" dxfId="252" priority="11" stopIfTrue="1">
      <formula>SUM($E$29:$E$30)&lt;&gt;1</formula>
    </cfRule>
    <cfRule type="notContainsBlanks" dxfId="251" priority="12" stopIfTrue="1">
      <formula>LEN(TRIM(E44))&gt;0</formula>
    </cfRule>
  </conditionalFormatting>
  <conditionalFormatting sqref="E47:E48">
    <cfRule type="containsBlanks" dxfId="250" priority="7" stopIfTrue="1">
      <formula>LEN(TRIM(E47))=0</formula>
    </cfRule>
    <cfRule type="expression" dxfId="249" priority="8" stopIfTrue="1">
      <formula>SUM($E$29:$E$30)&lt;&gt;1</formula>
    </cfRule>
    <cfRule type="notContainsBlanks" dxfId="248" priority="9" stopIfTrue="1">
      <formula>LEN(TRIM(E47))&gt;0</formula>
    </cfRule>
  </conditionalFormatting>
  <conditionalFormatting sqref="E29:E30">
    <cfRule type="containsBlanks" dxfId="247" priority="4" stopIfTrue="1">
      <formula>LEN(TRIM(E29))=0</formula>
    </cfRule>
    <cfRule type="expression" dxfId="246" priority="5" stopIfTrue="1">
      <formula>SUM($E$29:$E$30)&lt;&gt;1</formula>
    </cfRule>
    <cfRule type="notContainsBlanks" dxfId="245" priority="6" stopIfTrue="1">
      <formula>LEN(TRIM(E29))&gt;0</formula>
    </cfRule>
  </conditionalFormatting>
  <conditionalFormatting sqref="E32:E33">
    <cfRule type="containsBlanks" dxfId="244" priority="1" stopIfTrue="1">
      <formula>LEN(TRIM(E32))=0</formula>
    </cfRule>
    <cfRule type="expression" dxfId="243" priority="2" stopIfTrue="1">
      <formula>SUM($E$29:$E$30)&lt;&gt;1</formula>
    </cfRule>
    <cfRule type="notContainsBlanks" dxfId="242" priority="3" stopIfTrue="1">
      <formula>LEN(TRIM(E32))&gt;0</formula>
    </cfRule>
  </conditionalFormatting>
  <pageMargins left="0.7" right="0.7" top="0.75" bottom="0.75" header="0.3" footer="0.3"/>
  <customProperties>
    <customPr name="IsPC" r:id="rId1"/>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B1:CT38"/>
  <sheetViews>
    <sheetView zoomScale="85" zoomScaleNormal="85" zoomScalePageLayoutView="85" workbookViewId="0">
      <selection activeCell="B1" sqref="B1"/>
    </sheetView>
  </sheetViews>
  <sheetFormatPr defaultColWidth="8.77734375" defaultRowHeight="14.4"/>
  <cols>
    <col min="1" max="1" width="8.77734375" style="9"/>
    <col min="2" max="2" width="10.44140625" style="9" bestFit="1" customWidth="1"/>
    <col min="3" max="3" width="21.77734375" style="9" bestFit="1" customWidth="1"/>
    <col min="4" max="4" width="10.44140625" style="9" bestFit="1" customWidth="1"/>
    <col min="5" max="97" width="6.109375" style="9" bestFit="1" customWidth="1"/>
    <col min="98" max="98" width="3.6640625" style="9" customWidth="1"/>
    <col min="99" max="16384" width="8.77734375" style="9"/>
  </cols>
  <sheetData>
    <row r="1" spans="2:98" s="134" customFormat="1" ht="15">
      <c r="B1" s="135" t="s">
        <v>152</v>
      </c>
    </row>
    <row r="3" spans="2:98" ht="15">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row>
    <row r="4" spans="2:98" ht="15">
      <c r="B4" s="10"/>
      <c r="C4" s="22" t="str">
        <f>"Energy Prices [" &amp; sAEO &amp; "]"</f>
        <v>Energy Prices [Reference]</v>
      </c>
      <c r="D4" s="23"/>
      <c r="E4" s="24">
        <f t="array" ref="E4:CS4">_yL</f>
        <v>2019</v>
      </c>
      <c r="F4" s="24">
        <v>2020</v>
      </c>
      <c r="G4" s="24">
        <v>2021</v>
      </c>
      <c r="H4" s="24">
        <v>2022</v>
      </c>
      <c r="I4" s="24">
        <v>2023</v>
      </c>
      <c r="J4" s="24">
        <v>2024</v>
      </c>
      <c r="K4" s="24">
        <v>2025</v>
      </c>
      <c r="L4" s="24">
        <v>2026</v>
      </c>
      <c r="M4" s="24">
        <v>2027</v>
      </c>
      <c r="N4" s="24">
        <v>2028</v>
      </c>
      <c r="O4" s="24">
        <v>2029</v>
      </c>
      <c r="P4" s="24">
        <v>2030</v>
      </c>
      <c r="Q4" s="24">
        <v>2031</v>
      </c>
      <c r="R4" s="24">
        <v>2032</v>
      </c>
      <c r="S4" s="24">
        <v>2033</v>
      </c>
      <c r="T4" s="24">
        <v>2034</v>
      </c>
      <c r="U4" s="24">
        <v>2035</v>
      </c>
      <c r="V4" s="24">
        <v>2036</v>
      </c>
      <c r="W4" s="24">
        <v>2037</v>
      </c>
      <c r="X4" s="24">
        <v>2038</v>
      </c>
      <c r="Y4" s="24">
        <v>2039</v>
      </c>
      <c r="Z4" s="24">
        <v>2040</v>
      </c>
      <c r="AA4" s="24">
        <v>2041</v>
      </c>
      <c r="AB4" s="24">
        <v>2042</v>
      </c>
      <c r="AC4" s="24">
        <v>2043</v>
      </c>
      <c r="AD4" s="24">
        <v>2044</v>
      </c>
      <c r="AE4" s="24">
        <v>2045</v>
      </c>
      <c r="AF4" s="24">
        <v>2046</v>
      </c>
      <c r="AG4" s="24">
        <v>2047</v>
      </c>
      <c r="AH4" s="24">
        <v>2048</v>
      </c>
      <c r="AI4" s="24">
        <v>2049</v>
      </c>
      <c r="AJ4" s="24">
        <v>2050</v>
      </c>
      <c r="AK4" s="24">
        <v>2051</v>
      </c>
      <c r="AL4" s="24">
        <v>2052</v>
      </c>
      <c r="AM4" s="24">
        <v>2053</v>
      </c>
      <c r="AN4" s="24">
        <v>2054</v>
      </c>
      <c r="AO4" s="24">
        <v>2055</v>
      </c>
      <c r="AP4" s="24">
        <v>2056</v>
      </c>
      <c r="AQ4" s="24">
        <v>2057</v>
      </c>
      <c r="AR4" s="24">
        <v>2058</v>
      </c>
      <c r="AS4" s="24">
        <v>2059</v>
      </c>
      <c r="AT4" s="24">
        <v>2060</v>
      </c>
      <c r="AU4" s="24">
        <v>2061</v>
      </c>
      <c r="AV4" s="24">
        <v>2062</v>
      </c>
      <c r="AW4" s="24">
        <v>2063</v>
      </c>
      <c r="AX4" s="24">
        <v>2064</v>
      </c>
      <c r="AY4" s="24">
        <v>2065</v>
      </c>
      <c r="AZ4" s="24">
        <v>2066</v>
      </c>
      <c r="BA4" s="24">
        <v>2067</v>
      </c>
      <c r="BB4" s="24">
        <v>2068</v>
      </c>
      <c r="BC4" s="24">
        <v>2069</v>
      </c>
      <c r="BD4" s="24">
        <v>2070</v>
      </c>
      <c r="BE4" s="24">
        <v>2071</v>
      </c>
      <c r="BF4" s="24">
        <v>2072</v>
      </c>
      <c r="BG4" s="24">
        <v>2073</v>
      </c>
      <c r="BH4" s="24">
        <v>2074</v>
      </c>
      <c r="BI4" s="24">
        <v>2075</v>
      </c>
      <c r="BJ4" s="24">
        <v>2076</v>
      </c>
      <c r="BK4" s="24">
        <v>2077</v>
      </c>
      <c r="BL4" s="24">
        <v>2078</v>
      </c>
      <c r="BM4" s="24">
        <v>2079</v>
      </c>
      <c r="BN4" s="24">
        <v>2080</v>
      </c>
      <c r="BO4" s="24">
        <v>2081</v>
      </c>
      <c r="BP4" s="24">
        <v>2082</v>
      </c>
      <c r="BQ4" s="24">
        <v>2083</v>
      </c>
      <c r="BR4" s="24">
        <v>2084</v>
      </c>
      <c r="BS4" s="24">
        <v>2085</v>
      </c>
      <c r="BT4" s="24">
        <v>2086</v>
      </c>
      <c r="BU4" s="24">
        <v>2087</v>
      </c>
      <c r="BV4" s="24">
        <v>2088</v>
      </c>
      <c r="BW4" s="24">
        <v>2089</v>
      </c>
      <c r="BX4" s="24">
        <v>2090</v>
      </c>
      <c r="BY4" s="24">
        <v>2091</v>
      </c>
      <c r="BZ4" s="24">
        <v>2092</v>
      </c>
      <c r="CA4" s="24">
        <v>2093</v>
      </c>
      <c r="CB4" s="24">
        <v>2094</v>
      </c>
      <c r="CC4" s="24">
        <v>2095</v>
      </c>
      <c r="CD4" s="24">
        <v>2096</v>
      </c>
      <c r="CE4" s="24">
        <v>2097</v>
      </c>
      <c r="CF4" s="24">
        <v>2098</v>
      </c>
      <c r="CG4" s="24">
        <v>2099</v>
      </c>
      <c r="CH4" s="24">
        <v>2100</v>
      </c>
      <c r="CI4" s="24">
        <v>2101</v>
      </c>
      <c r="CJ4" s="24">
        <v>2102</v>
      </c>
      <c r="CK4" s="24">
        <v>2103</v>
      </c>
      <c r="CL4" s="24">
        <v>2104</v>
      </c>
      <c r="CM4" s="24">
        <v>2105</v>
      </c>
      <c r="CN4" s="24">
        <v>2106</v>
      </c>
      <c r="CO4" s="24">
        <v>2107</v>
      </c>
      <c r="CP4" s="24">
        <v>2108</v>
      </c>
      <c r="CQ4" s="24">
        <v>2109</v>
      </c>
      <c r="CR4" s="24">
        <v>2110</v>
      </c>
      <c r="CS4" s="25">
        <v>2111</v>
      </c>
      <c r="CT4" s="10"/>
    </row>
    <row r="5" spans="2:98" ht="15">
      <c r="B5" s="10"/>
      <c r="C5" s="21" t="str">
        <f>INDEX(_fuel,1)</f>
        <v>Electricity</v>
      </c>
      <c r="D5" s="18" t="str">
        <f>_yearDol &amp; "$/kWh"</f>
        <v>2015$/kWh</v>
      </c>
      <c r="E5" s="19">
        <f t="array" ref="E5:CS5">CHOOSE(iAEO,tPrcElecR,tPrcElecL,tPrcElecH)</f>
        <v>0.10094269486359658</v>
      </c>
      <c r="F5" s="19">
        <v>0.10210408722885876</v>
      </c>
      <c r="G5" s="19">
        <v>0.10390135550313789</v>
      </c>
      <c r="H5" s="19">
        <v>0.10549345044591038</v>
      </c>
      <c r="I5" s="19">
        <v>0.1061570718928472</v>
      </c>
      <c r="J5" s="19">
        <v>0.10682495618559544</v>
      </c>
      <c r="K5" s="19">
        <v>0.10749713135152866</v>
      </c>
      <c r="L5" s="19">
        <v>0.10817362560690494</v>
      </c>
      <c r="M5" s="19">
        <v>0.10885446735817206</v>
      </c>
      <c r="N5" s="19">
        <v>0.10953968520328186</v>
      </c>
      <c r="O5" s="19">
        <v>0.11022930793301396</v>
      </c>
      <c r="P5" s="19">
        <v>0.11092336453230886</v>
      </c>
      <c r="Q5" s="19">
        <v>0.11162188418161045</v>
      </c>
      <c r="R5" s="19">
        <v>0.11232489625821802</v>
      </c>
      <c r="S5" s="19">
        <v>0.11303243033764787</v>
      </c>
      <c r="T5" s="19">
        <v>0.11374451619500459</v>
      </c>
      <c r="U5" s="19">
        <v>0.11446118380636201</v>
      </c>
      <c r="V5" s="19">
        <v>0.11518246335015393</v>
      </c>
      <c r="W5" s="19">
        <v>0.11590838520857476</v>
      </c>
      <c r="X5" s="19">
        <v>0.11663897996899006</v>
      </c>
      <c r="Y5" s="19">
        <v>0.11737427842535708</v>
      </c>
      <c r="Z5" s="19">
        <v>0.11811431157965538</v>
      </c>
      <c r="AA5" s="19">
        <v>0.11885911064332762</v>
      </c>
      <c r="AB5" s="19">
        <v>0.11960870703873042</v>
      </c>
      <c r="AC5" s="19">
        <v>0.12036313240059582</v>
      </c>
      <c r="AD5" s="19">
        <v>0.12112241857750281</v>
      </c>
      <c r="AE5" s="19">
        <v>0.12188659763335943</v>
      </c>
      <c r="AF5" s="19">
        <v>0.12265570184889546</v>
      </c>
      <c r="AG5" s="19">
        <v>0.12342976372316553</v>
      </c>
      <c r="AH5" s="19">
        <v>0.12420881597506298</v>
      </c>
      <c r="AI5" s="19">
        <v>0.12499289154484466</v>
      </c>
      <c r="AJ5" s="19">
        <v>0.12578202359566626</v>
      </c>
      <c r="AK5" s="19">
        <v>0.12657624551512864</v>
      </c>
      <c r="AL5" s="19">
        <v>0.12737559091683526</v>
      </c>
      <c r="AM5" s="19">
        <v>0.12818009364196065</v>
      </c>
      <c r="AN5" s="19">
        <v>0.12898978776082984</v>
      </c>
      <c r="AO5" s="19">
        <v>0.12980470757450924</v>
      </c>
      <c r="AP5" s="19">
        <v>0.1306248876164087</v>
      </c>
      <c r="AQ5" s="19">
        <v>0.13145036265389509</v>
      </c>
      <c r="AR5" s="19">
        <v>0.13228116768991721</v>
      </c>
      <c r="AS5" s="19">
        <v>0.13311733796464226</v>
      </c>
      <c r="AT5" s="19">
        <v>0.13395890895710408</v>
      </c>
      <c r="AU5" s="19">
        <v>0.13480591638686304</v>
      </c>
      <c r="AV5" s="19">
        <v>0.13565839621567771</v>
      </c>
      <c r="AW5" s="19">
        <v>0.13651638464918853</v>
      </c>
      <c r="AX5" s="19">
        <v>0.13737991813861325</v>
      </c>
      <c r="AY5" s="19">
        <v>0.13824903338245478</v>
      </c>
      <c r="AZ5" s="19">
        <v>0.13912376732822082</v>
      </c>
      <c r="BA5" s="19">
        <v>0.14000415717415607</v>
      </c>
      <c r="BB5" s="19">
        <v>0.14089024037098652</v>
      </c>
      <c r="BC5" s="19">
        <v>0.14178205462367635</v>
      </c>
      <c r="BD5" s="19">
        <v>0.14267963789319721</v>
      </c>
      <c r="BE5" s="19">
        <v>0.14358302839831019</v>
      </c>
      <c r="BF5" s="19">
        <v>0.14449226461736051</v>
      </c>
      <c r="BG5" s="19">
        <v>0.14540738529008476</v>
      </c>
      <c r="BH5" s="19">
        <v>0.14632842941943161</v>
      </c>
      <c r="BI5" s="19">
        <v>0.14725543627339469</v>
      </c>
      <c r="BJ5" s="19">
        <v>0.14818844538685921</v>
      </c>
      <c r="BK5" s="19">
        <v>0.14912749656346144</v>
      </c>
      <c r="BL5" s="19">
        <v>0.15007262987746156</v>
      </c>
      <c r="BM5" s="19">
        <v>0.15102388567562972</v>
      </c>
      <c r="BN5" s="19">
        <v>0.15198130457914566</v>
      </c>
      <c r="BO5" s="19">
        <v>0.15294492748551217</v>
      </c>
      <c r="BP5" s="19">
        <v>0.15391479557048154</v>
      </c>
      <c r="BQ5" s="19">
        <v>0.15489095028999639</v>
      </c>
      <c r="BR5" s="19">
        <v>0.15587343338214402</v>
      </c>
      <c r="BS5" s="19">
        <v>0.15686228686912485</v>
      </c>
      <c r="BT5" s="19">
        <v>0.15785755305923496</v>
      </c>
      <c r="BU5" s="19">
        <v>0.15885927454886251</v>
      </c>
      <c r="BV5" s="19">
        <v>0.15986749422449875</v>
      </c>
      <c r="BW5" s="19">
        <v>0.16088225526476341</v>
      </c>
      <c r="BX5" s="19">
        <v>0.16190360114244409</v>
      </c>
      <c r="BY5" s="19">
        <v>0.16293157562655086</v>
      </c>
      <c r="BZ5" s="19">
        <v>0.16396622278438508</v>
      </c>
      <c r="CA5" s="19">
        <v>0.16500758698362325</v>
      </c>
      <c r="CB5" s="19">
        <v>0.1660557128944157</v>
      </c>
      <c r="CC5" s="19">
        <v>0.1671106454915002</v>
      </c>
      <c r="CD5" s="19">
        <v>0.16817243005633087</v>
      </c>
      <c r="CE5" s="19">
        <v>0.16924111217922214</v>
      </c>
      <c r="CF5" s="19">
        <v>0.17031673776150807</v>
      </c>
      <c r="CG5" s="19">
        <v>0.17139935301771736</v>
      </c>
      <c r="CH5" s="19">
        <v>0.17248900447776361</v>
      </c>
      <c r="CI5" s="19">
        <v>0.17358573898915128</v>
      </c>
      <c r="CJ5" s="19">
        <v>0.17468960371919787</v>
      </c>
      <c r="CK5" s="19">
        <v>0.17580064615727131</v>
      </c>
      <c r="CL5" s="19">
        <v>0.17691891411704411</v>
      </c>
      <c r="CM5" s="19">
        <v>0.17804445573876301</v>
      </c>
      <c r="CN5" s="19">
        <v>0.17917731949153537</v>
      </c>
      <c r="CO5" s="19">
        <v>0.18031755417563161</v>
      </c>
      <c r="CP5" s="19">
        <v>0.18146520892480442</v>
      </c>
      <c r="CQ5" s="19">
        <v>0.18262033320862434</v>
      </c>
      <c r="CR5" s="19">
        <v>0.18378297683483227</v>
      </c>
      <c r="CS5" s="20">
        <v>0.18495318995170867</v>
      </c>
      <c r="CT5" s="10"/>
    </row>
    <row r="6" spans="2:98" ht="15">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row>
    <row r="7" spans="2:98" ht="15">
      <c r="B7" s="10"/>
      <c r="C7" s="22" t="s">
        <v>44</v>
      </c>
      <c r="D7" s="23"/>
      <c r="E7" s="24">
        <f t="array" ref="E7:CS7">_yL</f>
        <v>2019</v>
      </c>
      <c r="F7" s="24">
        <v>2020</v>
      </c>
      <c r="G7" s="24">
        <v>2021</v>
      </c>
      <c r="H7" s="24">
        <v>2022</v>
      </c>
      <c r="I7" s="24">
        <v>2023</v>
      </c>
      <c r="J7" s="24">
        <v>2024</v>
      </c>
      <c r="K7" s="24">
        <v>2025</v>
      </c>
      <c r="L7" s="24">
        <v>2026</v>
      </c>
      <c r="M7" s="24">
        <v>2027</v>
      </c>
      <c r="N7" s="24">
        <v>2028</v>
      </c>
      <c r="O7" s="24">
        <v>2029</v>
      </c>
      <c r="P7" s="24">
        <v>2030</v>
      </c>
      <c r="Q7" s="24">
        <v>2031</v>
      </c>
      <c r="R7" s="24">
        <v>2032</v>
      </c>
      <c r="S7" s="24">
        <v>2033</v>
      </c>
      <c r="T7" s="24">
        <v>2034</v>
      </c>
      <c r="U7" s="24">
        <v>2035</v>
      </c>
      <c r="V7" s="24">
        <v>2036</v>
      </c>
      <c r="W7" s="24">
        <v>2037</v>
      </c>
      <c r="X7" s="24">
        <v>2038</v>
      </c>
      <c r="Y7" s="24">
        <v>2039</v>
      </c>
      <c r="Z7" s="24">
        <v>2040</v>
      </c>
      <c r="AA7" s="24">
        <v>2041</v>
      </c>
      <c r="AB7" s="24">
        <v>2042</v>
      </c>
      <c r="AC7" s="24">
        <v>2043</v>
      </c>
      <c r="AD7" s="24">
        <v>2044</v>
      </c>
      <c r="AE7" s="24">
        <v>2045</v>
      </c>
      <c r="AF7" s="24">
        <v>2046</v>
      </c>
      <c r="AG7" s="24">
        <v>2047</v>
      </c>
      <c r="AH7" s="24">
        <v>2048</v>
      </c>
      <c r="AI7" s="24">
        <v>2049</v>
      </c>
      <c r="AJ7" s="24">
        <v>2050</v>
      </c>
      <c r="AK7" s="24">
        <v>2051</v>
      </c>
      <c r="AL7" s="24">
        <v>2052</v>
      </c>
      <c r="AM7" s="24">
        <v>2053</v>
      </c>
      <c r="AN7" s="24">
        <v>2054</v>
      </c>
      <c r="AO7" s="24">
        <v>2055</v>
      </c>
      <c r="AP7" s="24">
        <v>2056</v>
      </c>
      <c r="AQ7" s="24">
        <v>2057</v>
      </c>
      <c r="AR7" s="24">
        <v>2058</v>
      </c>
      <c r="AS7" s="24">
        <v>2059</v>
      </c>
      <c r="AT7" s="24">
        <v>2060</v>
      </c>
      <c r="AU7" s="24">
        <v>2061</v>
      </c>
      <c r="AV7" s="24">
        <v>2062</v>
      </c>
      <c r="AW7" s="24">
        <v>2063</v>
      </c>
      <c r="AX7" s="24">
        <v>2064</v>
      </c>
      <c r="AY7" s="24">
        <v>2065</v>
      </c>
      <c r="AZ7" s="24">
        <v>2066</v>
      </c>
      <c r="BA7" s="24">
        <v>2067</v>
      </c>
      <c r="BB7" s="24">
        <v>2068</v>
      </c>
      <c r="BC7" s="24">
        <v>2069</v>
      </c>
      <c r="BD7" s="24">
        <v>2070</v>
      </c>
      <c r="BE7" s="24">
        <v>2071</v>
      </c>
      <c r="BF7" s="24">
        <v>2072</v>
      </c>
      <c r="BG7" s="24">
        <v>2073</v>
      </c>
      <c r="BH7" s="24">
        <v>2074</v>
      </c>
      <c r="BI7" s="24">
        <v>2075</v>
      </c>
      <c r="BJ7" s="24">
        <v>2076</v>
      </c>
      <c r="BK7" s="24">
        <v>2077</v>
      </c>
      <c r="BL7" s="24">
        <v>2078</v>
      </c>
      <c r="BM7" s="24">
        <v>2079</v>
      </c>
      <c r="BN7" s="24">
        <v>2080</v>
      </c>
      <c r="BO7" s="24">
        <v>2081</v>
      </c>
      <c r="BP7" s="24">
        <v>2082</v>
      </c>
      <c r="BQ7" s="24">
        <v>2083</v>
      </c>
      <c r="BR7" s="24">
        <v>2084</v>
      </c>
      <c r="BS7" s="24">
        <v>2085</v>
      </c>
      <c r="BT7" s="24">
        <v>2086</v>
      </c>
      <c r="BU7" s="24">
        <v>2087</v>
      </c>
      <c r="BV7" s="24">
        <v>2088</v>
      </c>
      <c r="BW7" s="24">
        <v>2089</v>
      </c>
      <c r="BX7" s="24">
        <v>2090</v>
      </c>
      <c r="BY7" s="24">
        <v>2091</v>
      </c>
      <c r="BZ7" s="24">
        <v>2092</v>
      </c>
      <c r="CA7" s="24">
        <v>2093</v>
      </c>
      <c r="CB7" s="24">
        <v>2094</v>
      </c>
      <c r="CC7" s="24">
        <v>2095</v>
      </c>
      <c r="CD7" s="24">
        <v>2096</v>
      </c>
      <c r="CE7" s="24">
        <v>2097</v>
      </c>
      <c r="CF7" s="24">
        <v>2098</v>
      </c>
      <c r="CG7" s="24">
        <v>2099</v>
      </c>
      <c r="CH7" s="24">
        <v>2100</v>
      </c>
      <c r="CI7" s="24">
        <v>2101</v>
      </c>
      <c r="CJ7" s="24">
        <v>2102</v>
      </c>
      <c r="CK7" s="24">
        <v>2103</v>
      </c>
      <c r="CL7" s="24">
        <v>2104</v>
      </c>
      <c r="CM7" s="24">
        <v>2105</v>
      </c>
      <c r="CN7" s="24">
        <v>2106</v>
      </c>
      <c r="CO7" s="24">
        <v>2107</v>
      </c>
      <c r="CP7" s="24">
        <v>2108</v>
      </c>
      <c r="CQ7" s="24">
        <v>2109</v>
      </c>
      <c r="CR7" s="24">
        <v>2110</v>
      </c>
      <c r="CS7" s="25">
        <v>2111</v>
      </c>
      <c r="CT7" s="10"/>
    </row>
    <row r="8" spans="2:98" ht="15">
      <c r="B8" s="10"/>
      <c r="C8" s="21" t="str">
        <f>INDEX(_fuel,1)</f>
        <v>Electricity</v>
      </c>
      <c r="D8" s="18" t="str">
        <f>_yearDol &amp; "$/kWh"</f>
        <v>2015$/kWh</v>
      </c>
      <c r="E8" s="19">
        <f t="array" ref="E8:CS8">tBaseElec*tTrendRElec</f>
        <v>0.10094269486359658</v>
      </c>
      <c r="F8" s="19">
        <v>0.10210408722885876</v>
      </c>
      <c r="G8" s="19">
        <v>0.10390135550313789</v>
      </c>
      <c r="H8" s="19">
        <v>0.10549345044591038</v>
      </c>
      <c r="I8" s="19">
        <v>0.1061570718928472</v>
      </c>
      <c r="J8" s="19">
        <v>0.10682495618559544</v>
      </c>
      <c r="K8" s="19">
        <v>0.10749713135152866</v>
      </c>
      <c r="L8" s="19">
        <v>0.10817362560690494</v>
      </c>
      <c r="M8" s="19">
        <v>0.10885446735817206</v>
      </c>
      <c r="N8" s="19">
        <v>0.10953968520328186</v>
      </c>
      <c r="O8" s="19">
        <v>0.11022930793301396</v>
      </c>
      <c r="P8" s="19">
        <v>0.11092336453230886</v>
      </c>
      <c r="Q8" s="19">
        <v>0.11162188418161045</v>
      </c>
      <c r="R8" s="19">
        <v>0.11232489625821802</v>
      </c>
      <c r="S8" s="19">
        <v>0.11303243033764787</v>
      </c>
      <c r="T8" s="19">
        <v>0.11374451619500459</v>
      </c>
      <c r="U8" s="19">
        <v>0.11446118380636201</v>
      </c>
      <c r="V8" s="19">
        <v>0.11518246335015393</v>
      </c>
      <c r="W8" s="19">
        <v>0.11590838520857476</v>
      </c>
      <c r="X8" s="19">
        <v>0.11663897996899006</v>
      </c>
      <c r="Y8" s="19">
        <v>0.11737427842535708</v>
      </c>
      <c r="Z8" s="19">
        <v>0.11811431157965538</v>
      </c>
      <c r="AA8" s="19">
        <v>0.11885911064332762</v>
      </c>
      <c r="AB8" s="19">
        <v>0.11960870703873042</v>
      </c>
      <c r="AC8" s="19">
        <v>0.12036313240059582</v>
      </c>
      <c r="AD8" s="19">
        <v>0.12112241857750281</v>
      </c>
      <c r="AE8" s="19">
        <v>0.12188659763335943</v>
      </c>
      <c r="AF8" s="19">
        <v>0.12265570184889546</v>
      </c>
      <c r="AG8" s="19">
        <v>0.12342976372316553</v>
      </c>
      <c r="AH8" s="19">
        <v>0.12420881597506298</v>
      </c>
      <c r="AI8" s="19">
        <v>0.12499289154484466</v>
      </c>
      <c r="AJ8" s="19">
        <v>0.12578202359566626</v>
      </c>
      <c r="AK8" s="19">
        <v>0.12657624551512864</v>
      </c>
      <c r="AL8" s="19">
        <v>0.12737559091683526</v>
      </c>
      <c r="AM8" s="19">
        <v>0.12818009364196065</v>
      </c>
      <c r="AN8" s="19">
        <v>0.12898978776082984</v>
      </c>
      <c r="AO8" s="19">
        <v>0.12980470757450924</v>
      </c>
      <c r="AP8" s="19">
        <v>0.1306248876164087</v>
      </c>
      <c r="AQ8" s="19">
        <v>0.13145036265389509</v>
      </c>
      <c r="AR8" s="19">
        <v>0.13228116768991721</v>
      </c>
      <c r="AS8" s="19">
        <v>0.13311733796464226</v>
      </c>
      <c r="AT8" s="19">
        <v>0.13395890895710408</v>
      </c>
      <c r="AU8" s="19">
        <v>0.13480591638686304</v>
      </c>
      <c r="AV8" s="19">
        <v>0.13565839621567771</v>
      </c>
      <c r="AW8" s="19">
        <v>0.13651638464918853</v>
      </c>
      <c r="AX8" s="19">
        <v>0.13737991813861325</v>
      </c>
      <c r="AY8" s="19">
        <v>0.13824903338245478</v>
      </c>
      <c r="AZ8" s="19">
        <v>0.13912376732822082</v>
      </c>
      <c r="BA8" s="19">
        <v>0.14000415717415607</v>
      </c>
      <c r="BB8" s="19">
        <v>0.14089024037098652</v>
      </c>
      <c r="BC8" s="19">
        <v>0.14178205462367635</v>
      </c>
      <c r="BD8" s="19">
        <v>0.14267963789319721</v>
      </c>
      <c r="BE8" s="19">
        <v>0.14358302839831019</v>
      </c>
      <c r="BF8" s="19">
        <v>0.14449226461736051</v>
      </c>
      <c r="BG8" s="19">
        <v>0.14540738529008476</v>
      </c>
      <c r="BH8" s="19">
        <v>0.14632842941943161</v>
      </c>
      <c r="BI8" s="19">
        <v>0.14725543627339469</v>
      </c>
      <c r="BJ8" s="19">
        <v>0.14818844538685921</v>
      </c>
      <c r="BK8" s="19">
        <v>0.14912749656346144</v>
      </c>
      <c r="BL8" s="19">
        <v>0.15007262987746156</v>
      </c>
      <c r="BM8" s="19">
        <v>0.15102388567562972</v>
      </c>
      <c r="BN8" s="19">
        <v>0.15198130457914566</v>
      </c>
      <c r="BO8" s="19">
        <v>0.15294492748551217</v>
      </c>
      <c r="BP8" s="19">
        <v>0.15391479557048154</v>
      </c>
      <c r="BQ8" s="19">
        <v>0.15489095028999639</v>
      </c>
      <c r="BR8" s="19">
        <v>0.15587343338214402</v>
      </c>
      <c r="BS8" s="19">
        <v>0.15686228686912485</v>
      </c>
      <c r="BT8" s="19">
        <v>0.15785755305923496</v>
      </c>
      <c r="BU8" s="19">
        <v>0.15885927454886251</v>
      </c>
      <c r="BV8" s="19">
        <v>0.15986749422449875</v>
      </c>
      <c r="BW8" s="19">
        <v>0.16088225526476341</v>
      </c>
      <c r="BX8" s="19">
        <v>0.16190360114244409</v>
      </c>
      <c r="BY8" s="19">
        <v>0.16293157562655086</v>
      </c>
      <c r="BZ8" s="19">
        <v>0.16396622278438508</v>
      </c>
      <c r="CA8" s="19">
        <v>0.16500758698362325</v>
      </c>
      <c r="CB8" s="19">
        <v>0.1660557128944157</v>
      </c>
      <c r="CC8" s="19">
        <v>0.1671106454915002</v>
      </c>
      <c r="CD8" s="19">
        <v>0.16817243005633087</v>
      </c>
      <c r="CE8" s="19">
        <v>0.16924111217922214</v>
      </c>
      <c r="CF8" s="19">
        <v>0.17031673776150807</v>
      </c>
      <c r="CG8" s="19">
        <v>0.17139935301771736</v>
      </c>
      <c r="CH8" s="19">
        <v>0.17248900447776361</v>
      </c>
      <c r="CI8" s="19">
        <v>0.17358573898915128</v>
      </c>
      <c r="CJ8" s="19">
        <v>0.17468960371919787</v>
      </c>
      <c r="CK8" s="19">
        <v>0.17580064615727131</v>
      </c>
      <c r="CL8" s="19">
        <v>0.17691891411704411</v>
      </c>
      <c r="CM8" s="19">
        <v>0.17804445573876301</v>
      </c>
      <c r="CN8" s="19">
        <v>0.17917731949153537</v>
      </c>
      <c r="CO8" s="19">
        <v>0.18031755417563161</v>
      </c>
      <c r="CP8" s="19">
        <v>0.18146520892480442</v>
      </c>
      <c r="CQ8" s="19">
        <v>0.18262033320862434</v>
      </c>
      <c r="CR8" s="19">
        <v>0.18378297683483227</v>
      </c>
      <c r="CS8" s="20">
        <v>0.18495318995170867</v>
      </c>
      <c r="CT8" s="10"/>
    </row>
    <row r="9" spans="2:98" ht="15">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row>
    <row r="10" spans="2:98" ht="15">
      <c r="B10" s="10"/>
      <c r="C10" s="22" t="s">
        <v>43</v>
      </c>
      <c r="D10" s="23"/>
      <c r="E10" s="24">
        <f t="array" ref="E10:CS10">_yL</f>
        <v>2019</v>
      </c>
      <c r="F10" s="24">
        <v>2020</v>
      </c>
      <c r="G10" s="24">
        <v>2021</v>
      </c>
      <c r="H10" s="24">
        <v>2022</v>
      </c>
      <c r="I10" s="24">
        <v>2023</v>
      </c>
      <c r="J10" s="24">
        <v>2024</v>
      </c>
      <c r="K10" s="24">
        <v>2025</v>
      </c>
      <c r="L10" s="24">
        <v>2026</v>
      </c>
      <c r="M10" s="24">
        <v>2027</v>
      </c>
      <c r="N10" s="24">
        <v>2028</v>
      </c>
      <c r="O10" s="24">
        <v>2029</v>
      </c>
      <c r="P10" s="24">
        <v>2030</v>
      </c>
      <c r="Q10" s="24">
        <v>2031</v>
      </c>
      <c r="R10" s="24">
        <v>2032</v>
      </c>
      <c r="S10" s="24">
        <v>2033</v>
      </c>
      <c r="T10" s="24">
        <v>2034</v>
      </c>
      <c r="U10" s="24">
        <v>2035</v>
      </c>
      <c r="V10" s="24">
        <v>2036</v>
      </c>
      <c r="W10" s="24">
        <v>2037</v>
      </c>
      <c r="X10" s="24">
        <v>2038</v>
      </c>
      <c r="Y10" s="24">
        <v>2039</v>
      </c>
      <c r="Z10" s="24">
        <v>2040</v>
      </c>
      <c r="AA10" s="24">
        <v>2041</v>
      </c>
      <c r="AB10" s="24">
        <v>2042</v>
      </c>
      <c r="AC10" s="24">
        <v>2043</v>
      </c>
      <c r="AD10" s="24">
        <v>2044</v>
      </c>
      <c r="AE10" s="24">
        <v>2045</v>
      </c>
      <c r="AF10" s="24">
        <v>2046</v>
      </c>
      <c r="AG10" s="24">
        <v>2047</v>
      </c>
      <c r="AH10" s="24">
        <v>2048</v>
      </c>
      <c r="AI10" s="24">
        <v>2049</v>
      </c>
      <c r="AJ10" s="24">
        <v>2050</v>
      </c>
      <c r="AK10" s="24">
        <v>2051</v>
      </c>
      <c r="AL10" s="24">
        <v>2052</v>
      </c>
      <c r="AM10" s="24">
        <v>2053</v>
      </c>
      <c r="AN10" s="24">
        <v>2054</v>
      </c>
      <c r="AO10" s="24">
        <v>2055</v>
      </c>
      <c r="AP10" s="24">
        <v>2056</v>
      </c>
      <c r="AQ10" s="24">
        <v>2057</v>
      </c>
      <c r="AR10" s="24">
        <v>2058</v>
      </c>
      <c r="AS10" s="24">
        <v>2059</v>
      </c>
      <c r="AT10" s="24">
        <v>2060</v>
      </c>
      <c r="AU10" s="24">
        <v>2061</v>
      </c>
      <c r="AV10" s="24">
        <v>2062</v>
      </c>
      <c r="AW10" s="24">
        <v>2063</v>
      </c>
      <c r="AX10" s="24">
        <v>2064</v>
      </c>
      <c r="AY10" s="24">
        <v>2065</v>
      </c>
      <c r="AZ10" s="24">
        <v>2066</v>
      </c>
      <c r="BA10" s="24">
        <v>2067</v>
      </c>
      <c r="BB10" s="24">
        <v>2068</v>
      </c>
      <c r="BC10" s="24">
        <v>2069</v>
      </c>
      <c r="BD10" s="24">
        <v>2070</v>
      </c>
      <c r="BE10" s="24">
        <v>2071</v>
      </c>
      <c r="BF10" s="24">
        <v>2072</v>
      </c>
      <c r="BG10" s="24">
        <v>2073</v>
      </c>
      <c r="BH10" s="24">
        <v>2074</v>
      </c>
      <c r="BI10" s="24">
        <v>2075</v>
      </c>
      <c r="BJ10" s="24">
        <v>2076</v>
      </c>
      <c r="BK10" s="24">
        <v>2077</v>
      </c>
      <c r="BL10" s="24">
        <v>2078</v>
      </c>
      <c r="BM10" s="24">
        <v>2079</v>
      </c>
      <c r="BN10" s="24">
        <v>2080</v>
      </c>
      <c r="BO10" s="24">
        <v>2081</v>
      </c>
      <c r="BP10" s="24">
        <v>2082</v>
      </c>
      <c r="BQ10" s="24">
        <v>2083</v>
      </c>
      <c r="BR10" s="24">
        <v>2084</v>
      </c>
      <c r="BS10" s="24">
        <v>2085</v>
      </c>
      <c r="BT10" s="24">
        <v>2086</v>
      </c>
      <c r="BU10" s="24">
        <v>2087</v>
      </c>
      <c r="BV10" s="24">
        <v>2088</v>
      </c>
      <c r="BW10" s="24">
        <v>2089</v>
      </c>
      <c r="BX10" s="24">
        <v>2090</v>
      </c>
      <c r="BY10" s="24">
        <v>2091</v>
      </c>
      <c r="BZ10" s="24">
        <v>2092</v>
      </c>
      <c r="CA10" s="24">
        <v>2093</v>
      </c>
      <c r="CB10" s="24">
        <v>2094</v>
      </c>
      <c r="CC10" s="24">
        <v>2095</v>
      </c>
      <c r="CD10" s="24">
        <v>2096</v>
      </c>
      <c r="CE10" s="24">
        <v>2097</v>
      </c>
      <c r="CF10" s="24">
        <v>2098</v>
      </c>
      <c r="CG10" s="24">
        <v>2099</v>
      </c>
      <c r="CH10" s="24">
        <v>2100</v>
      </c>
      <c r="CI10" s="24">
        <v>2101</v>
      </c>
      <c r="CJ10" s="24">
        <v>2102</v>
      </c>
      <c r="CK10" s="24">
        <v>2103</v>
      </c>
      <c r="CL10" s="24">
        <v>2104</v>
      </c>
      <c r="CM10" s="24">
        <v>2105</v>
      </c>
      <c r="CN10" s="24">
        <v>2106</v>
      </c>
      <c r="CO10" s="24">
        <v>2107</v>
      </c>
      <c r="CP10" s="24">
        <v>2108</v>
      </c>
      <c r="CQ10" s="24">
        <v>2109</v>
      </c>
      <c r="CR10" s="24">
        <v>2110</v>
      </c>
      <c r="CS10" s="25">
        <v>2111</v>
      </c>
      <c r="CT10" s="10"/>
    </row>
    <row r="11" spans="2:98" ht="15">
      <c r="B11" s="10"/>
      <c r="C11" s="21" t="str">
        <f>INDEX(_fuel,1)</f>
        <v>Electricity</v>
      </c>
      <c r="D11" s="18" t="str">
        <f>_yearDol &amp; "$/kWh"</f>
        <v>2015$/kWh</v>
      </c>
      <c r="E11" s="19">
        <f t="array" ref="E11:CS11">tBaseElec*tTrendLElec</f>
        <v>9.9551025212316999E-2</v>
      </c>
      <c r="F11" s="19">
        <v>0.10043635041821819</v>
      </c>
      <c r="G11" s="19">
        <v>0.1012060867550356</v>
      </c>
      <c r="H11" s="19">
        <v>0.10179764982865805</v>
      </c>
      <c r="I11" s="19">
        <v>0.10231625011128305</v>
      </c>
      <c r="J11" s="19">
        <v>0.10283755815011585</v>
      </c>
      <c r="K11" s="19">
        <v>0.10336158847652727</v>
      </c>
      <c r="L11" s="19">
        <v>0.1038883557021674</v>
      </c>
      <c r="M11" s="19">
        <v>0.10441787451942218</v>
      </c>
      <c r="N11" s="19">
        <v>0.10495015970187251</v>
      </c>
      <c r="O11" s="19">
        <v>0.10548522610475623</v>
      </c>
      <c r="P11" s="19">
        <v>0.10602308866543264</v>
      </c>
      <c r="Q11" s="19">
        <v>0.10656376240384995</v>
      </c>
      <c r="R11" s="19">
        <v>0.10710726242301503</v>
      </c>
      <c r="S11" s="19">
        <v>0.1076536039094665</v>
      </c>
      <c r="T11" s="19">
        <v>0.10820280213375019</v>
      </c>
      <c r="U11" s="19">
        <v>0.10875487245089742</v>
      </c>
      <c r="V11" s="19">
        <v>0.10930983030090613</v>
      </c>
      <c r="W11" s="19">
        <v>0.10986769120922493</v>
      </c>
      <c r="X11" s="19">
        <v>0.11042847078723982</v>
      </c>
      <c r="Y11" s="19">
        <v>0.11099218473276382</v>
      </c>
      <c r="Z11" s="19">
        <v>0.11155884883052941</v>
      </c>
      <c r="AA11" s="19">
        <v>0.1121284789526841</v>
      </c>
      <c r="AB11" s="19">
        <v>0.11270109105928854</v>
      </c>
      <c r="AC11" s="19">
        <v>0.11327670119881772</v>
      </c>
      <c r="AD11" s="19">
        <v>0.11385532550866528</v>
      </c>
      <c r="AE11" s="19">
        <v>0.11443698021565042</v>
      </c>
      <c r="AF11" s="19">
        <v>0.11502168163652805</v>
      </c>
      <c r="AG11" s="19">
        <v>0.1156094461785018</v>
      </c>
      <c r="AH11" s="19">
        <v>0.11620029033974011</v>
      </c>
      <c r="AI11" s="19">
        <v>0.11679423070989531</v>
      </c>
      <c r="AJ11" s="19">
        <v>0.11739128397062579</v>
      </c>
      <c r="AK11" s="19">
        <v>0.11799146689612106</v>
      </c>
      <c r="AL11" s="19">
        <v>0.1185947963536302</v>
      </c>
      <c r="AM11" s="19">
        <v>0.11920128930399303</v>
      </c>
      <c r="AN11" s="19">
        <v>0.11981096280217474</v>
      </c>
      <c r="AO11" s="19">
        <v>0.12042383399780346</v>
      </c>
      <c r="AP11" s="19">
        <v>0.12103992013571106</v>
      </c>
      <c r="AQ11" s="19">
        <v>0.12165923855647708</v>
      </c>
      <c r="AR11" s="19">
        <v>0.12228180669697578</v>
      </c>
      <c r="AS11" s="19">
        <v>0.12290764209092662</v>
      </c>
      <c r="AT11" s="19">
        <v>0.12353676236944788</v>
      </c>
      <c r="AU11" s="19">
        <v>0.12416918526161337</v>
      </c>
      <c r="AV11" s="19">
        <v>0.12480492859501248</v>
      </c>
      <c r="AW11" s="19">
        <v>0.12544401029631383</v>
      </c>
      <c r="AX11" s="19">
        <v>0.12608644839183172</v>
      </c>
      <c r="AY11" s="19">
        <v>0.12673226100809626</v>
      </c>
      <c r="AZ11" s="19">
        <v>0.12738146637242678</v>
      </c>
      <c r="BA11" s="19">
        <v>0.12803408281350856</v>
      </c>
      <c r="BB11" s="19">
        <v>0.12869012876197292</v>
      </c>
      <c r="BC11" s="19">
        <v>0.12934962275098083</v>
      </c>
      <c r="BD11" s="19">
        <v>0.13001258341680991</v>
      </c>
      <c r="BE11" s="19">
        <v>0.13067902949944479</v>
      </c>
      <c r="BF11" s="19">
        <v>0.13134897984317112</v>
      </c>
      <c r="BG11" s="19">
        <v>0.13202245339717281</v>
      </c>
      <c r="BH11" s="19">
        <v>0.13269946921613304</v>
      </c>
      <c r="BI11" s="19">
        <v>0.13338004646083884</v>
      </c>
      <c r="BJ11" s="19">
        <v>0.13406420439878886</v>
      </c>
      <c r="BK11" s="19">
        <v>0.13475196240480505</v>
      </c>
      <c r="BL11" s="19">
        <v>0.1354433399616479</v>
      </c>
      <c r="BM11" s="19">
        <v>0.13613835666063515</v>
      </c>
      <c r="BN11" s="19">
        <v>0.13683703220226431</v>
      </c>
      <c r="BO11" s="19">
        <v>0.13753938639683874</v>
      </c>
      <c r="BP11" s="19">
        <v>0.13824543916509743</v>
      </c>
      <c r="BQ11" s="19">
        <v>0.13895521053884857</v>
      </c>
      <c r="BR11" s="19">
        <v>0.13966872066160668</v>
      </c>
      <c r="BS11" s="19">
        <v>0.14038598978923381</v>
      </c>
      <c r="BT11" s="19">
        <v>0.14110703829058399</v>
      </c>
      <c r="BU11" s="19">
        <v>0.14183188664815222</v>
      </c>
      <c r="BV11" s="19">
        <v>0.14256055545872637</v>
      </c>
      <c r="BW11" s="19">
        <v>0.14329306543404396</v>
      </c>
      <c r="BX11" s="19">
        <v>0.1440294374014518</v>
      </c>
      <c r="BY11" s="19">
        <v>0.14476969230457024</v>
      </c>
      <c r="BZ11" s="19">
        <v>0.14551385120396101</v>
      </c>
      <c r="CA11" s="19">
        <v>0.14626193527779918</v>
      </c>
      <c r="CB11" s="19">
        <v>0.1470139658225488</v>
      </c>
      <c r="CC11" s="19">
        <v>0.14776996425364278</v>
      </c>
      <c r="CD11" s="19">
        <v>0.1485299521061669</v>
      </c>
      <c r="CE11" s="19">
        <v>0.14929395103554727</v>
      </c>
      <c r="CF11" s="19">
        <v>0.15006198281824257</v>
      </c>
      <c r="CG11" s="19">
        <v>0.15083406935243995</v>
      </c>
      <c r="CH11" s="19">
        <v>0.15161023265875509</v>
      </c>
      <c r="CI11" s="19">
        <v>0.15239049488093648</v>
      </c>
      <c r="CJ11" s="19">
        <v>0.15317487828657378</v>
      </c>
      <c r="CK11" s="19">
        <v>0.15396340526781049</v>
      </c>
      <c r="CL11" s="19">
        <v>0.15475609834206064</v>
      </c>
      <c r="CM11" s="19">
        <v>0.15555298015272981</v>
      </c>
      <c r="CN11" s="19">
        <v>0.15635407346994054</v>
      </c>
      <c r="CO11" s="19">
        <v>0.15715940119126176</v>
      </c>
      <c r="CP11" s="19">
        <v>0.15796898634244277</v>
      </c>
      <c r="CQ11" s="19">
        <v>0.1587828520781514</v>
      </c>
      <c r="CR11" s="19">
        <v>0.15960102168271662</v>
      </c>
      <c r="CS11" s="20">
        <v>0.16042351857087545</v>
      </c>
      <c r="CT11" s="10"/>
    </row>
    <row r="12" spans="2:98" ht="15">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row>
    <row r="13" spans="2:98" ht="15">
      <c r="B13" s="10"/>
      <c r="C13" s="22" t="s">
        <v>42</v>
      </c>
      <c r="D13" s="23"/>
      <c r="E13" s="24">
        <f t="array" ref="E13:CS13">_yL</f>
        <v>2019</v>
      </c>
      <c r="F13" s="24">
        <v>2020</v>
      </c>
      <c r="G13" s="24">
        <v>2021</v>
      </c>
      <c r="H13" s="24">
        <v>2022</v>
      </c>
      <c r="I13" s="24">
        <v>2023</v>
      </c>
      <c r="J13" s="24">
        <v>2024</v>
      </c>
      <c r="K13" s="24">
        <v>2025</v>
      </c>
      <c r="L13" s="24">
        <v>2026</v>
      </c>
      <c r="M13" s="24">
        <v>2027</v>
      </c>
      <c r="N13" s="24">
        <v>2028</v>
      </c>
      <c r="O13" s="24">
        <v>2029</v>
      </c>
      <c r="P13" s="24">
        <v>2030</v>
      </c>
      <c r="Q13" s="24">
        <v>2031</v>
      </c>
      <c r="R13" s="24">
        <v>2032</v>
      </c>
      <c r="S13" s="24">
        <v>2033</v>
      </c>
      <c r="T13" s="24">
        <v>2034</v>
      </c>
      <c r="U13" s="24">
        <v>2035</v>
      </c>
      <c r="V13" s="24">
        <v>2036</v>
      </c>
      <c r="W13" s="24">
        <v>2037</v>
      </c>
      <c r="X13" s="24">
        <v>2038</v>
      </c>
      <c r="Y13" s="24">
        <v>2039</v>
      </c>
      <c r="Z13" s="24">
        <v>2040</v>
      </c>
      <c r="AA13" s="24">
        <v>2041</v>
      </c>
      <c r="AB13" s="24">
        <v>2042</v>
      </c>
      <c r="AC13" s="24">
        <v>2043</v>
      </c>
      <c r="AD13" s="24">
        <v>2044</v>
      </c>
      <c r="AE13" s="24">
        <v>2045</v>
      </c>
      <c r="AF13" s="24">
        <v>2046</v>
      </c>
      <c r="AG13" s="24">
        <v>2047</v>
      </c>
      <c r="AH13" s="24">
        <v>2048</v>
      </c>
      <c r="AI13" s="24">
        <v>2049</v>
      </c>
      <c r="AJ13" s="24">
        <v>2050</v>
      </c>
      <c r="AK13" s="24">
        <v>2051</v>
      </c>
      <c r="AL13" s="24">
        <v>2052</v>
      </c>
      <c r="AM13" s="24">
        <v>2053</v>
      </c>
      <c r="AN13" s="24">
        <v>2054</v>
      </c>
      <c r="AO13" s="24">
        <v>2055</v>
      </c>
      <c r="AP13" s="24">
        <v>2056</v>
      </c>
      <c r="AQ13" s="24">
        <v>2057</v>
      </c>
      <c r="AR13" s="24">
        <v>2058</v>
      </c>
      <c r="AS13" s="24">
        <v>2059</v>
      </c>
      <c r="AT13" s="24">
        <v>2060</v>
      </c>
      <c r="AU13" s="24">
        <v>2061</v>
      </c>
      <c r="AV13" s="24">
        <v>2062</v>
      </c>
      <c r="AW13" s="24">
        <v>2063</v>
      </c>
      <c r="AX13" s="24">
        <v>2064</v>
      </c>
      <c r="AY13" s="24">
        <v>2065</v>
      </c>
      <c r="AZ13" s="24">
        <v>2066</v>
      </c>
      <c r="BA13" s="24">
        <v>2067</v>
      </c>
      <c r="BB13" s="24">
        <v>2068</v>
      </c>
      <c r="BC13" s="24">
        <v>2069</v>
      </c>
      <c r="BD13" s="24">
        <v>2070</v>
      </c>
      <c r="BE13" s="24">
        <v>2071</v>
      </c>
      <c r="BF13" s="24">
        <v>2072</v>
      </c>
      <c r="BG13" s="24">
        <v>2073</v>
      </c>
      <c r="BH13" s="24">
        <v>2074</v>
      </c>
      <c r="BI13" s="24">
        <v>2075</v>
      </c>
      <c r="BJ13" s="24">
        <v>2076</v>
      </c>
      <c r="BK13" s="24">
        <v>2077</v>
      </c>
      <c r="BL13" s="24">
        <v>2078</v>
      </c>
      <c r="BM13" s="24">
        <v>2079</v>
      </c>
      <c r="BN13" s="24">
        <v>2080</v>
      </c>
      <c r="BO13" s="24">
        <v>2081</v>
      </c>
      <c r="BP13" s="24">
        <v>2082</v>
      </c>
      <c r="BQ13" s="24">
        <v>2083</v>
      </c>
      <c r="BR13" s="24">
        <v>2084</v>
      </c>
      <c r="BS13" s="24">
        <v>2085</v>
      </c>
      <c r="BT13" s="24">
        <v>2086</v>
      </c>
      <c r="BU13" s="24">
        <v>2087</v>
      </c>
      <c r="BV13" s="24">
        <v>2088</v>
      </c>
      <c r="BW13" s="24">
        <v>2089</v>
      </c>
      <c r="BX13" s="24">
        <v>2090</v>
      </c>
      <c r="BY13" s="24">
        <v>2091</v>
      </c>
      <c r="BZ13" s="24">
        <v>2092</v>
      </c>
      <c r="CA13" s="24">
        <v>2093</v>
      </c>
      <c r="CB13" s="24">
        <v>2094</v>
      </c>
      <c r="CC13" s="24">
        <v>2095</v>
      </c>
      <c r="CD13" s="24">
        <v>2096</v>
      </c>
      <c r="CE13" s="24">
        <v>2097</v>
      </c>
      <c r="CF13" s="24">
        <v>2098</v>
      </c>
      <c r="CG13" s="24">
        <v>2099</v>
      </c>
      <c r="CH13" s="24">
        <v>2100</v>
      </c>
      <c r="CI13" s="24">
        <v>2101</v>
      </c>
      <c r="CJ13" s="24">
        <v>2102</v>
      </c>
      <c r="CK13" s="24">
        <v>2103</v>
      </c>
      <c r="CL13" s="24">
        <v>2104</v>
      </c>
      <c r="CM13" s="24">
        <v>2105</v>
      </c>
      <c r="CN13" s="24">
        <v>2106</v>
      </c>
      <c r="CO13" s="24">
        <v>2107</v>
      </c>
      <c r="CP13" s="24">
        <v>2108</v>
      </c>
      <c r="CQ13" s="24">
        <v>2109</v>
      </c>
      <c r="CR13" s="24">
        <v>2110</v>
      </c>
      <c r="CS13" s="25">
        <v>2111</v>
      </c>
      <c r="CT13" s="10"/>
    </row>
    <row r="14" spans="2:98" ht="15">
      <c r="B14" s="10"/>
      <c r="C14" s="21" t="str">
        <f>INDEX(_fuel,1)</f>
        <v>Electricity</v>
      </c>
      <c r="D14" s="18" t="str">
        <f>_yearDol &amp; "$/kWh"</f>
        <v>2015$/kWh</v>
      </c>
      <c r="E14" s="19">
        <f t="array" ref="E14:CS14">tBaseElec*tTrendHElec</f>
        <v>0.10243271757842867</v>
      </c>
      <c r="F14" s="19">
        <v>0.10481746333074915</v>
      </c>
      <c r="G14" s="19">
        <v>0.10667990880913182</v>
      </c>
      <c r="H14" s="19">
        <v>0.10756892208487295</v>
      </c>
      <c r="I14" s="19">
        <v>0.10846875175665452</v>
      </c>
      <c r="J14" s="19">
        <v>0.109376215340256</v>
      </c>
      <c r="K14" s="19">
        <v>0.11029137861321651</v>
      </c>
      <c r="L14" s="19">
        <v>0.11121430792933854</v>
      </c>
      <c r="M14" s="19">
        <v>0.11214507022382383</v>
      </c>
      <c r="N14" s="19">
        <v>0.11308373301845612</v>
      </c>
      <c r="O14" s="19">
        <v>0.11403036442683058</v>
      </c>
      <c r="P14" s="19">
        <v>0.11498503315963104</v>
      </c>
      <c r="Q14" s="19">
        <v>0.11594780852995482</v>
      </c>
      <c r="R14" s="19">
        <v>0.11691876045868585</v>
      </c>
      <c r="S14" s="19">
        <v>0.11789795947991692</v>
      </c>
      <c r="T14" s="19">
        <v>0.11888547674642061</v>
      </c>
      <c r="U14" s="19">
        <v>0.11988138403517025</v>
      </c>
      <c r="V14" s="19">
        <v>0.1208857537529109</v>
      </c>
      <c r="W14" s="19">
        <v>0.12189865894178091</v>
      </c>
      <c r="X14" s="19">
        <v>0.12292017328498436</v>
      </c>
      <c r="Y14" s="19">
        <v>0.12395037111251547</v>
      </c>
      <c r="Z14" s="19">
        <v>0.12498932740693443</v>
      </c>
      <c r="AA14" s="19">
        <v>0.12603711780919624</v>
      </c>
      <c r="AB14" s="19">
        <v>0.12709381862453195</v>
      </c>
      <c r="AC14" s="19">
        <v>0.12815950682838401</v>
      </c>
      <c r="AD14" s="19">
        <v>0.12923426007239494</v>
      </c>
      <c r="AE14" s="19">
        <v>0.13031815669045085</v>
      </c>
      <c r="AF14" s="19">
        <v>0.13141127570477976</v>
      </c>
      <c r="AG14" s="19">
        <v>0.13251369683210534</v>
      </c>
      <c r="AH14" s="19">
        <v>0.13362550048985666</v>
      </c>
      <c r="AI14" s="19">
        <v>0.13474676780243453</v>
      </c>
      <c r="AJ14" s="19">
        <v>0.13587758060753452</v>
      </c>
      <c r="AK14" s="19">
        <v>0.13701802146252795</v>
      </c>
      <c r="AL14" s="19">
        <v>0.13816817365090059</v>
      </c>
      <c r="AM14" s="19">
        <v>0.13932812118875013</v>
      </c>
      <c r="AN14" s="19">
        <v>0.14049794883134278</v>
      </c>
      <c r="AO14" s="19">
        <v>0.14167774207972958</v>
      </c>
      <c r="AP14" s="19">
        <v>0.14286758718742265</v>
      </c>
      <c r="AQ14" s="19">
        <v>0.14406757116713301</v>
      </c>
      <c r="AR14" s="19">
        <v>0.14527778179756864</v>
      </c>
      <c r="AS14" s="19">
        <v>0.14649830763029564</v>
      </c>
      <c r="AT14" s="19">
        <v>0.14772923799666102</v>
      </c>
      <c r="AU14" s="19">
        <v>0.14897066301477901</v>
      </c>
      <c r="AV14" s="19">
        <v>0.15022267359658084</v>
      </c>
      <c r="AW14" s="19">
        <v>0.15148536145492911</v>
      </c>
      <c r="AX14" s="19">
        <v>0.15275881911079639</v>
      </c>
      <c r="AY14" s="19">
        <v>0.15404313990050997</v>
      </c>
      <c r="AZ14" s="19">
        <v>0.15533841798306222</v>
      </c>
      <c r="BA14" s="19">
        <v>0.15664474834748782</v>
      </c>
      <c r="BB14" s="19">
        <v>0.15796222682030819</v>
      </c>
      <c r="BC14" s="19">
        <v>0.15929095007304384</v>
      </c>
      <c r="BD14" s="19">
        <v>0.16063101562979534</v>
      </c>
      <c r="BE14" s="19">
        <v>0.1619825218748934</v>
      </c>
      <c r="BF14" s="19">
        <v>0.16334556806061878</v>
      </c>
      <c r="BG14" s="19">
        <v>0.16472025431499282</v>
      </c>
      <c r="BH14" s="19">
        <v>0.16610668164963871</v>
      </c>
      <c r="BI14" s="19">
        <v>0.16750495196771506</v>
      </c>
      <c r="BJ14" s="19">
        <v>0.16891516807192147</v>
      </c>
      <c r="BK14" s="19">
        <v>0.1703374336725775</v>
      </c>
      <c r="BL14" s="19">
        <v>0.17177185339577539</v>
      </c>
      <c r="BM14" s="19">
        <v>0.17321853279160704</v>
      </c>
      <c r="BN14" s="19">
        <v>0.17467757834246658</v>
      </c>
      <c r="BO14" s="19">
        <v>0.17614909747142851</v>
      </c>
      <c r="BP14" s="19">
        <v>0.1776331985507025</v>
      </c>
      <c r="BQ14" s="19">
        <v>0.17912999091016546</v>
      </c>
      <c r="BR14" s="19">
        <v>0.18063958484597165</v>
      </c>
      <c r="BS14" s="19">
        <v>0.1821620916292416</v>
      </c>
      <c r="BT14" s="19">
        <v>0.18369762351483035</v>
      </c>
      <c r="BU14" s="19">
        <v>0.18524629375017601</v>
      </c>
      <c r="BV14" s="19">
        <v>0.18680821658422925</v>
      </c>
      <c r="BW14" s="19">
        <v>0.18838350727646441</v>
      </c>
      <c r="BX14" s="19">
        <v>0.18997228210597314</v>
      </c>
      <c r="BY14" s="19">
        <v>0.19157465838064136</v>
      </c>
      <c r="BZ14" s="19">
        <v>0.1931907544464101</v>
      </c>
      <c r="CA14" s="19">
        <v>0.19482068969662109</v>
      </c>
      <c r="CB14" s="19">
        <v>0.19646458458144808</v>
      </c>
      <c r="CC14" s="19">
        <v>0.19812256061741443</v>
      </c>
      <c r="CD14" s="19">
        <v>0.19979474039699791</v>
      </c>
      <c r="CE14" s="19">
        <v>0.20148124759832345</v>
      </c>
      <c r="CF14" s="19">
        <v>0.20318220699494471</v>
      </c>
      <c r="CG14" s="19">
        <v>0.20489774446571526</v>
      </c>
      <c r="CH14" s="19">
        <v>0.20662798700475052</v>
      </c>
      <c r="CI14" s="19">
        <v>0.20837306273148021</v>
      </c>
      <c r="CJ14" s="19">
        <v>0.21013310090079412</v>
      </c>
      <c r="CK14" s="19">
        <v>0.21190823191327976</v>
      </c>
      <c r="CL14" s="19">
        <v>0.21369858732555483</v>
      </c>
      <c r="CM14" s="19">
        <v>0.21550429986069364</v>
      </c>
      <c r="CN14" s="19">
        <v>0.21732550341874998</v>
      </c>
      <c r="CO14" s="19">
        <v>0.21916233308737579</v>
      </c>
      <c r="CP14" s="19">
        <v>0.22101492515253762</v>
      </c>
      <c r="CQ14" s="19">
        <v>0.2228834171093316</v>
      </c>
      <c r="CR14" s="19">
        <v>0.22476794767289726</v>
      </c>
      <c r="CS14" s="20">
        <v>0.22666865678943185</v>
      </c>
      <c r="CT14" s="10"/>
    </row>
    <row r="15" spans="2:98" ht="15">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row>
    <row r="16" spans="2:98" ht="15">
      <c r="B16" s="10"/>
      <c r="C16" s="22" t="str">
        <f>INDEX(_fuel,1)</f>
        <v>Electricity</v>
      </c>
      <c r="D16" s="23"/>
      <c r="E16" s="24">
        <f t="array" ref="E16:CS16">_yL</f>
        <v>2019</v>
      </c>
      <c r="F16" s="24">
        <v>2020</v>
      </c>
      <c r="G16" s="24">
        <v>2021</v>
      </c>
      <c r="H16" s="24">
        <v>2022</v>
      </c>
      <c r="I16" s="24">
        <v>2023</v>
      </c>
      <c r="J16" s="24">
        <v>2024</v>
      </c>
      <c r="K16" s="24">
        <v>2025</v>
      </c>
      <c r="L16" s="24">
        <v>2026</v>
      </c>
      <c r="M16" s="24">
        <v>2027</v>
      </c>
      <c r="N16" s="24">
        <v>2028</v>
      </c>
      <c r="O16" s="24">
        <v>2029</v>
      </c>
      <c r="P16" s="24">
        <v>2030</v>
      </c>
      <c r="Q16" s="24">
        <v>2031</v>
      </c>
      <c r="R16" s="24">
        <v>2032</v>
      </c>
      <c r="S16" s="24">
        <v>2033</v>
      </c>
      <c r="T16" s="24">
        <v>2034</v>
      </c>
      <c r="U16" s="24">
        <v>2035</v>
      </c>
      <c r="V16" s="24">
        <v>2036</v>
      </c>
      <c r="W16" s="24">
        <v>2037</v>
      </c>
      <c r="X16" s="24">
        <v>2038</v>
      </c>
      <c r="Y16" s="24">
        <v>2039</v>
      </c>
      <c r="Z16" s="24">
        <v>2040</v>
      </c>
      <c r="AA16" s="24">
        <v>2041</v>
      </c>
      <c r="AB16" s="24">
        <v>2042</v>
      </c>
      <c r="AC16" s="24">
        <v>2043</v>
      </c>
      <c r="AD16" s="24">
        <v>2044</v>
      </c>
      <c r="AE16" s="24">
        <v>2045</v>
      </c>
      <c r="AF16" s="24">
        <v>2046</v>
      </c>
      <c r="AG16" s="24">
        <v>2047</v>
      </c>
      <c r="AH16" s="24">
        <v>2048</v>
      </c>
      <c r="AI16" s="24">
        <v>2049</v>
      </c>
      <c r="AJ16" s="24">
        <v>2050</v>
      </c>
      <c r="AK16" s="24">
        <v>2051</v>
      </c>
      <c r="AL16" s="24">
        <v>2052</v>
      </c>
      <c r="AM16" s="24">
        <v>2053</v>
      </c>
      <c r="AN16" s="24">
        <v>2054</v>
      </c>
      <c r="AO16" s="24">
        <v>2055</v>
      </c>
      <c r="AP16" s="24">
        <v>2056</v>
      </c>
      <c r="AQ16" s="24">
        <v>2057</v>
      </c>
      <c r="AR16" s="24">
        <v>2058</v>
      </c>
      <c r="AS16" s="24">
        <v>2059</v>
      </c>
      <c r="AT16" s="24">
        <v>2060</v>
      </c>
      <c r="AU16" s="24">
        <v>2061</v>
      </c>
      <c r="AV16" s="24">
        <v>2062</v>
      </c>
      <c r="AW16" s="24">
        <v>2063</v>
      </c>
      <c r="AX16" s="24">
        <v>2064</v>
      </c>
      <c r="AY16" s="24">
        <v>2065</v>
      </c>
      <c r="AZ16" s="24">
        <v>2066</v>
      </c>
      <c r="BA16" s="24">
        <v>2067</v>
      </c>
      <c r="BB16" s="24">
        <v>2068</v>
      </c>
      <c r="BC16" s="24">
        <v>2069</v>
      </c>
      <c r="BD16" s="24">
        <v>2070</v>
      </c>
      <c r="BE16" s="24">
        <v>2071</v>
      </c>
      <c r="BF16" s="24">
        <v>2072</v>
      </c>
      <c r="BG16" s="24">
        <v>2073</v>
      </c>
      <c r="BH16" s="24">
        <v>2074</v>
      </c>
      <c r="BI16" s="24">
        <v>2075</v>
      </c>
      <c r="BJ16" s="24">
        <v>2076</v>
      </c>
      <c r="BK16" s="24">
        <v>2077</v>
      </c>
      <c r="BL16" s="24">
        <v>2078</v>
      </c>
      <c r="BM16" s="24">
        <v>2079</v>
      </c>
      <c r="BN16" s="24">
        <v>2080</v>
      </c>
      <c r="BO16" s="24">
        <v>2081</v>
      </c>
      <c r="BP16" s="24">
        <v>2082</v>
      </c>
      <c r="BQ16" s="24">
        <v>2083</v>
      </c>
      <c r="BR16" s="24">
        <v>2084</v>
      </c>
      <c r="BS16" s="24">
        <v>2085</v>
      </c>
      <c r="BT16" s="24">
        <v>2086</v>
      </c>
      <c r="BU16" s="24">
        <v>2087</v>
      </c>
      <c r="BV16" s="24">
        <v>2088</v>
      </c>
      <c r="BW16" s="24">
        <v>2089</v>
      </c>
      <c r="BX16" s="24">
        <v>2090</v>
      </c>
      <c r="BY16" s="24">
        <v>2091</v>
      </c>
      <c r="BZ16" s="24">
        <v>2092</v>
      </c>
      <c r="CA16" s="24">
        <v>2093</v>
      </c>
      <c r="CB16" s="24">
        <v>2094</v>
      </c>
      <c r="CC16" s="24">
        <v>2095</v>
      </c>
      <c r="CD16" s="24">
        <v>2096</v>
      </c>
      <c r="CE16" s="24">
        <v>2097</v>
      </c>
      <c r="CF16" s="24">
        <v>2098</v>
      </c>
      <c r="CG16" s="24">
        <v>2099</v>
      </c>
      <c r="CH16" s="24">
        <v>2100</v>
      </c>
      <c r="CI16" s="24">
        <v>2101</v>
      </c>
      <c r="CJ16" s="24">
        <v>2102</v>
      </c>
      <c r="CK16" s="24">
        <v>2103</v>
      </c>
      <c r="CL16" s="24">
        <v>2104</v>
      </c>
      <c r="CM16" s="24">
        <v>2105</v>
      </c>
      <c r="CN16" s="24">
        <v>2106</v>
      </c>
      <c r="CO16" s="24">
        <v>2107</v>
      </c>
      <c r="CP16" s="24">
        <v>2108</v>
      </c>
      <c r="CQ16" s="24">
        <v>2109</v>
      </c>
      <c r="CR16" s="24">
        <v>2110</v>
      </c>
      <c r="CS16" s="25">
        <v>2111</v>
      </c>
      <c r="CT16" s="10"/>
    </row>
    <row r="17" spans="2:98" ht="15">
      <c r="B17" s="10"/>
      <c r="C17" s="11" t="s">
        <v>37</v>
      </c>
      <c r="D17" s="12" t="str">
        <f>_yearDol &amp; "$/kWh"</f>
        <v>2015$/kWh</v>
      </c>
      <c r="E17" s="141">
        <v>0.10040765095676746</v>
      </c>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5"/>
      <c r="CT17" s="10"/>
    </row>
    <row r="18" spans="2:98" ht="15">
      <c r="B18" s="10"/>
      <c r="C18" s="11" t="s">
        <v>38</v>
      </c>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5"/>
      <c r="CT18" s="10"/>
    </row>
    <row r="19" spans="2:98" ht="15">
      <c r="B19" s="10"/>
      <c r="C19" s="16" t="s">
        <v>39</v>
      </c>
      <c r="D19" s="12"/>
      <c r="E19" s="137">
        <v>1.0053287165044773</v>
      </c>
      <c r="F19" s="137">
        <v>1.0168954881020147</v>
      </c>
      <c r="G19" s="137">
        <v>1.0347952024878535</v>
      </c>
      <c r="H19" s="137">
        <v>1.0506515135119805</v>
      </c>
      <c r="I19" s="137">
        <v>1.0572607852219875</v>
      </c>
      <c r="J19" s="137">
        <v>1.0639125123203119</v>
      </c>
      <c r="K19" s="137">
        <v>1.0706069739427897</v>
      </c>
      <c r="L19" s="137">
        <v>1.077344451106433</v>
      </c>
      <c r="M19" s="137">
        <v>1.0841252267224293</v>
      </c>
      <c r="N19" s="137">
        <v>1.0909495856092319</v>
      </c>
      <c r="O19" s="137">
        <v>1.0978178145057433</v>
      </c>
      <c r="P19" s="137">
        <v>1.1047302020845917</v>
      </c>
      <c r="Q19" s="137">
        <v>1.1116870389655018</v>
      </c>
      <c r="R19" s="137">
        <v>1.1186886177287603</v>
      </c>
      <c r="S19" s="137">
        <v>1.1257352329287762</v>
      </c>
      <c r="T19" s="137">
        <v>1.1328271811077384</v>
      </c>
      <c r="U19" s="137">
        <v>1.1399647608093688</v>
      </c>
      <c r="V19" s="137">
        <v>1.1471482725927735</v>
      </c>
      <c r="W19" s="137">
        <v>1.1543780190463917</v>
      </c>
      <c r="X19" s="137">
        <v>1.1616543048020447</v>
      </c>
      <c r="Y19" s="137">
        <v>1.1689774365490828</v>
      </c>
      <c r="Z19" s="137">
        <v>1.1763477230486339</v>
      </c>
      <c r="AA19" s="137">
        <v>1.1837654751479527</v>
      </c>
      <c r="AB19" s="137">
        <v>1.1912310057948707</v>
      </c>
      <c r="AC19" s="137">
        <v>1.1987446300523512</v>
      </c>
      <c r="AD19" s="137">
        <v>1.2063066651131447</v>
      </c>
      <c r="AE19" s="137">
        <v>1.2139174303145501</v>
      </c>
      <c r="AF19" s="137">
        <v>1.2215772471532806</v>
      </c>
      <c r="AG19" s="137">
        <v>1.2292864393004344</v>
      </c>
      <c r="AH19" s="137">
        <v>1.2370453326165711</v>
      </c>
      <c r="AI19" s="137">
        <v>1.2448542551668984</v>
      </c>
      <c r="AJ19" s="137">
        <v>1.2527135372365623</v>
      </c>
      <c r="AK19" s="137">
        <v>1.2606235113460487</v>
      </c>
      <c r="AL19" s="137">
        <v>1.2685845122666937</v>
      </c>
      <c r="AM19" s="137">
        <v>1.2765968770363045</v>
      </c>
      <c r="AN19" s="137">
        <v>1.2846609449748905</v>
      </c>
      <c r="AO19" s="137">
        <v>1.292777057700506</v>
      </c>
      <c r="AP19" s="137">
        <v>1.3009455591452077</v>
      </c>
      <c r="AQ19" s="137">
        <v>1.3091667955711235</v>
      </c>
      <c r="AR19" s="137">
        <v>1.3174411155866355</v>
      </c>
      <c r="AS19" s="137">
        <v>1.3257688701626793</v>
      </c>
      <c r="AT19" s="137">
        <v>1.3341504126491595</v>
      </c>
      <c r="AU19" s="137">
        <v>1.3425860987914802</v>
      </c>
      <c r="AV19" s="137">
        <v>1.3510762867471939</v>
      </c>
      <c r="AW19" s="137">
        <v>1.3596213371027712</v>
      </c>
      <c r="AX19" s="137">
        <v>1.3682216128904854</v>
      </c>
      <c r="AY19" s="137">
        <v>1.3768774796054206</v>
      </c>
      <c r="AZ19" s="137">
        <v>1.3855893052226007</v>
      </c>
      <c r="BA19" s="137">
        <v>1.394357460214239</v>
      </c>
      <c r="BB19" s="137">
        <v>1.403182317567111</v>
      </c>
      <c r="BC19" s="137">
        <v>1.4120642528000529</v>
      </c>
      <c r="BD19" s="137">
        <v>1.4210036439815807</v>
      </c>
      <c r="BE19" s="137">
        <v>1.4300008717476398</v>
      </c>
      <c r="BF19" s="137">
        <v>1.4390563193194765</v>
      </c>
      <c r="BG19" s="137">
        <v>1.4481703725216404</v>
      </c>
      <c r="BH19" s="137">
        <v>1.4573434198001134</v>
      </c>
      <c r="BI19" s="137">
        <v>1.4665758522405676</v>
      </c>
      <c r="BJ19" s="137">
        <v>1.4758680635867554</v>
      </c>
      <c r="BK19" s="137">
        <v>1.4852204502590276</v>
      </c>
      <c r="BL19" s="137">
        <v>1.4946334113729876</v>
      </c>
      <c r="BM19" s="137">
        <v>1.5041073487582743</v>
      </c>
      <c r="BN19" s="137">
        <v>1.5136426669774825</v>
      </c>
      <c r="BO19" s="137">
        <v>1.5232397733452174</v>
      </c>
      <c r="BP19" s="137">
        <v>1.5328990779472838</v>
      </c>
      <c r="BQ19" s="137">
        <v>1.5426209936600133</v>
      </c>
      <c r="BR19" s="137">
        <v>1.5524059361697293</v>
      </c>
      <c r="BS19" s="137">
        <v>1.5622543239923528</v>
      </c>
      <c r="BT19" s="137">
        <v>1.572166578493144</v>
      </c>
      <c r="BU19" s="137">
        <v>1.5821431239065893</v>
      </c>
      <c r="BV19" s="137">
        <v>1.592184387356427</v>
      </c>
      <c r="BW19" s="137">
        <v>1.6022907988758199</v>
      </c>
      <c r="BX19" s="137">
        <v>1.6124627914276668</v>
      </c>
      <c r="BY19" s="137">
        <v>1.6227008009250643</v>
      </c>
      <c r="BZ19" s="137">
        <v>1.6330052662519119</v>
      </c>
      <c r="CA19" s="137">
        <v>1.6433766292836649</v>
      </c>
      <c r="CB19" s="137">
        <v>1.6538153349082367</v>
      </c>
      <c r="CC19" s="137">
        <v>1.6643218310470491</v>
      </c>
      <c r="CD19" s="137">
        <v>1.6748965686762347</v>
      </c>
      <c r="CE19" s="137">
        <v>1.6855400018479898</v>
      </c>
      <c r="CF19" s="137">
        <v>1.6962525877120798</v>
      </c>
      <c r="CG19" s="137">
        <v>1.7070347865375002</v>
      </c>
      <c r="CH19" s="137">
        <v>1.7178870617342918</v>
      </c>
      <c r="CI19" s="137">
        <v>1.72880987987551</v>
      </c>
      <c r="CJ19" s="137">
        <v>1.7398037107193554</v>
      </c>
      <c r="CK19" s="137">
        <v>1.7508690272314589</v>
      </c>
      <c r="CL19" s="137">
        <v>1.7620063056073298</v>
      </c>
      <c r="CM19" s="137">
        <v>1.7732160252949614</v>
      </c>
      <c r="CN19" s="137">
        <v>1.7844986690176008</v>
      </c>
      <c r="CO19" s="137">
        <v>1.7958547227966819</v>
      </c>
      <c r="CP19" s="137">
        <v>1.8072846759749208</v>
      </c>
      <c r="CQ19" s="137">
        <v>1.8187890212395788</v>
      </c>
      <c r="CR19" s="137">
        <v>1.8303682546458908</v>
      </c>
      <c r="CS19" s="138">
        <v>1.8420228756406622</v>
      </c>
      <c r="CT19" s="10"/>
    </row>
    <row r="20" spans="2:98" ht="15">
      <c r="B20" s="10"/>
      <c r="C20" s="16" t="s">
        <v>40</v>
      </c>
      <c r="D20" s="12"/>
      <c r="E20" s="137">
        <v>0.99146852121040763</v>
      </c>
      <c r="F20" s="137">
        <v>1.000285829428109</v>
      </c>
      <c r="G20" s="137">
        <v>1.0079519418157878</v>
      </c>
      <c r="H20" s="137">
        <v>1.0138435553331397</v>
      </c>
      <c r="I20" s="137">
        <v>1.019008503199994</v>
      </c>
      <c r="J20" s="137">
        <v>1.0242004186951315</v>
      </c>
      <c r="K20" s="137">
        <v>1.0294194465422928</v>
      </c>
      <c r="L20" s="137">
        <v>1.0346657322647517</v>
      </c>
      <c r="M20" s="137">
        <v>1.0399394221898628</v>
      </c>
      <c r="N20" s="137">
        <v>1.0452406634536338</v>
      </c>
      <c r="O20" s="137">
        <v>1.0505696040053265</v>
      </c>
      <c r="P20" s="137">
        <v>1.0559263926120832</v>
      </c>
      <c r="Q20" s="137">
        <v>1.0613111788635821</v>
      </c>
      <c r="R20" s="137">
        <v>1.0667241131767162</v>
      </c>
      <c r="S20" s="137">
        <v>1.0721653468003045</v>
      </c>
      <c r="T20" s="137">
        <v>1.0776350318198271</v>
      </c>
      <c r="U20" s="137">
        <v>1.0831333211621894</v>
      </c>
      <c r="V20" s="137">
        <v>1.0886603686005132</v>
      </c>
      <c r="W20" s="137">
        <v>1.0942163287589577</v>
      </c>
      <c r="X20" s="137">
        <v>1.0998013571175669</v>
      </c>
      <c r="Y20" s="137">
        <v>1.1054156100171464</v>
      </c>
      <c r="Z20" s="137">
        <v>1.1110592446641674</v>
      </c>
      <c r="AA20" s="137">
        <v>1.116732419135702</v>
      </c>
      <c r="AB20" s="137">
        <v>1.1224352923843848</v>
      </c>
      <c r="AC20" s="137">
        <v>1.1281680242434045</v>
      </c>
      <c r="AD20" s="137">
        <v>1.1339307754315255</v>
      </c>
      <c r="AE20" s="137">
        <v>1.1397237075581379</v>
      </c>
      <c r="AF20" s="137">
        <v>1.1455469831283371</v>
      </c>
      <c r="AG20" s="137">
        <v>1.1514007655480336</v>
      </c>
      <c r="AH20" s="137">
        <v>1.157285219129093</v>
      </c>
      <c r="AI20" s="137">
        <v>1.1632005090945055</v>
      </c>
      <c r="AJ20" s="137">
        <v>1.1691468015835862</v>
      </c>
      <c r="AK20" s="137">
        <v>1.1751242636572055</v>
      </c>
      <c r="AL20" s="137">
        <v>1.1811330633030503</v>
      </c>
      <c r="AM20" s="137">
        <v>1.1871733694409159</v>
      </c>
      <c r="AN20" s="137">
        <v>1.1932453519280295</v>
      </c>
      <c r="AO20" s="137">
        <v>1.1993491815644046</v>
      </c>
      <c r="AP20" s="137">
        <v>1.2054850300982267</v>
      </c>
      <c r="AQ20" s="137">
        <v>1.2116530702312707</v>
      </c>
      <c r="AR20" s="137">
        <v>1.2178534756243493</v>
      </c>
      <c r="AS20" s="137">
        <v>1.2240864209027955</v>
      </c>
      <c r="AT20" s="137">
        <v>1.2303520816619755</v>
      </c>
      <c r="AU20" s="137">
        <v>1.2366506344728343</v>
      </c>
      <c r="AV20" s="137">
        <v>1.2429822568874733</v>
      </c>
      <c r="AW20" s="137">
        <v>1.249347127444763</v>
      </c>
      <c r="AX20" s="137">
        <v>1.2557454256759855</v>
      </c>
      <c r="AY20" s="137">
        <v>1.2621773321105121</v>
      </c>
      <c r="AZ20" s="137">
        <v>1.2686430282815147</v>
      </c>
      <c r="BA20" s="137">
        <v>1.2751426967317083</v>
      </c>
      <c r="BB20" s="137">
        <v>1.2816765210191308</v>
      </c>
      <c r="BC20" s="137">
        <v>1.2882446857229528</v>
      </c>
      <c r="BD20" s="137">
        <v>1.2948473764493251</v>
      </c>
      <c r="BE20" s="137">
        <v>1.3014847798372586</v>
      </c>
      <c r="BF20" s="137">
        <v>1.3081570835645391</v>
      </c>
      <c r="BG20" s="137">
        <v>1.3148644763536768</v>
      </c>
      <c r="BH20" s="137">
        <v>1.3216071479778915</v>
      </c>
      <c r="BI20" s="137">
        <v>1.3283852892671328</v>
      </c>
      <c r="BJ20" s="137">
        <v>1.3351990921141348</v>
      </c>
      <c r="BK20" s="137">
        <v>1.3420487494805076</v>
      </c>
      <c r="BL20" s="137">
        <v>1.3489344554028633</v>
      </c>
      <c r="BM20" s="137">
        <v>1.3558564049989803</v>
      </c>
      <c r="BN20" s="137">
        <v>1.3628147944740014</v>
      </c>
      <c r="BO20" s="137">
        <v>1.3698098211266698</v>
      </c>
      <c r="BP20" s="137">
        <v>1.3768416833556021</v>
      </c>
      <c r="BQ20" s="137">
        <v>1.3839105806655962</v>
      </c>
      <c r="BR20" s="137">
        <v>1.3910167136739795</v>
      </c>
      <c r="BS20" s="137">
        <v>1.3981602841169924</v>
      </c>
      <c r="BT20" s="137">
        <v>1.4053414948562084</v>
      </c>
      <c r="BU20" s="137">
        <v>1.4125605498849962</v>
      </c>
      <c r="BV20" s="137">
        <v>1.4198176543350138</v>
      </c>
      <c r="BW20" s="137">
        <v>1.4271130144827477</v>
      </c>
      <c r="BX20" s="137">
        <v>1.4344468377560848</v>
      </c>
      <c r="BY20" s="137">
        <v>1.4418193327409259</v>
      </c>
      <c r="BZ20" s="137">
        <v>1.449230709187838</v>
      </c>
      <c r="CA20" s="137">
        <v>1.456681178018747</v>
      </c>
      <c r="CB20" s="137">
        <v>1.4641709513336651</v>
      </c>
      <c r="CC20" s="137">
        <v>1.4717002424174641</v>
      </c>
      <c r="CD20" s="137">
        <v>1.4792692657466857</v>
      </c>
      <c r="CE20" s="137">
        <v>1.4868782369963898</v>
      </c>
      <c r="CF20" s="137">
        <v>1.4945273730470479</v>
      </c>
      <c r="CG20" s="137">
        <v>1.5022168919914738</v>
      </c>
      <c r="CH20" s="137">
        <v>1.5099470131417967</v>
      </c>
      <c r="CI20" s="137">
        <v>1.5177179570364741</v>
      </c>
      <c r="CJ20" s="137">
        <v>1.5255299454473477</v>
      </c>
      <c r="CK20" s="137">
        <v>1.5333832013867403</v>
      </c>
      <c r="CL20" s="137">
        <v>1.5412779491145949</v>
      </c>
      <c r="CM20" s="137">
        <v>1.5492144141456539</v>
      </c>
      <c r="CN20" s="137">
        <v>1.5571928232566854</v>
      </c>
      <c r="CO20" s="137">
        <v>1.5652134044937465</v>
      </c>
      <c r="CP20" s="137">
        <v>1.5732763871794941</v>
      </c>
      <c r="CQ20" s="137">
        <v>1.5813820019205367</v>
      </c>
      <c r="CR20" s="137">
        <v>1.5895304806148294</v>
      </c>
      <c r="CS20" s="138">
        <v>1.5977220564591141</v>
      </c>
      <c r="CT20" s="10"/>
    </row>
    <row r="21" spans="2:98" ht="15">
      <c r="B21" s="10"/>
      <c r="C21" s="17" t="s">
        <v>41</v>
      </c>
      <c r="D21" s="18"/>
      <c r="E21" s="139">
        <v>1.0201684493399128</v>
      </c>
      <c r="F21" s="139">
        <v>1.0439190871608024</v>
      </c>
      <c r="G21" s="139">
        <v>1.0624679274198439</v>
      </c>
      <c r="H21" s="139">
        <v>1.0713219666018172</v>
      </c>
      <c r="I21" s="139">
        <v>1.0802837306029391</v>
      </c>
      <c r="J21" s="139">
        <v>1.0893215237885621</v>
      </c>
      <c r="K21" s="139">
        <v>1.0984360012635361</v>
      </c>
      <c r="L21" s="139">
        <v>1.1076278238719488</v>
      </c>
      <c r="M21" s="139">
        <v>1.1168976582482759</v>
      </c>
      <c r="N21" s="139">
        <v>1.1262461768689978</v>
      </c>
      <c r="O21" s="139">
        <v>1.1356740581046822</v>
      </c>
      <c r="P21" s="139">
        <v>1.1451819862725419</v>
      </c>
      <c r="Q21" s="139">
        <v>1.1547706516894662</v>
      </c>
      <c r="R21" s="139">
        <v>1.1644407507255357</v>
      </c>
      <c r="S21" s="139">
        <v>1.1741929858580227</v>
      </c>
      <c r="T21" s="139">
        <v>1.1840280657258793</v>
      </c>
      <c r="U21" s="139">
        <v>1.1939467051847235</v>
      </c>
      <c r="V21" s="139">
        <v>1.2039496253623212</v>
      </c>
      <c r="W21" s="139">
        <v>1.2140375537145753</v>
      </c>
      <c r="X21" s="139">
        <v>1.2242112240820187</v>
      </c>
      <c r="Y21" s="139">
        <v>1.2344713767468258</v>
      </c>
      <c r="Z21" s="139">
        <v>1.2448187584903376</v>
      </c>
      <c r="AA21" s="139">
        <v>1.2552541226511122</v>
      </c>
      <c r="AB21" s="139">
        <v>1.2657782291834989</v>
      </c>
      <c r="AC21" s="139">
        <v>1.2763918447167504</v>
      </c>
      <c r="AD21" s="139">
        <v>1.2870957426146674</v>
      </c>
      <c r="AE21" s="139">
        <v>1.2978907030357871</v>
      </c>
      <c r="AF21" s="139">
        <v>1.3087775129941197</v>
      </c>
      <c r="AG21" s="139">
        <v>1.3197569664204354</v>
      </c>
      <c r="AH21" s="139">
        <v>1.3308298642241101</v>
      </c>
      <c r="AI21" s="139">
        <v>1.3419970143555342</v>
      </c>
      <c r="AJ21" s="139">
        <v>1.353259231869087</v>
      </c>
      <c r="AK21" s="139">
        <v>1.3646173389866856</v>
      </c>
      <c r="AL21" s="139">
        <v>1.3760721651619126</v>
      </c>
      <c r="AM21" s="139">
        <v>1.3876245471447257</v>
      </c>
      <c r="AN21" s="139">
        <v>1.3992753290467577</v>
      </c>
      <c r="AO21" s="139">
        <v>1.4110253624072113</v>
      </c>
      <c r="AP21" s="139">
        <v>1.4228755062593506</v>
      </c>
      <c r="AQ21" s="139">
        <v>1.4348266271976047</v>
      </c>
      <c r="AR21" s="139">
        <v>1.4468795994452746</v>
      </c>
      <c r="AS21" s="139">
        <v>1.4590353049228635</v>
      </c>
      <c r="AT21" s="139">
        <v>1.4712946333170249</v>
      </c>
      <c r="AU21" s="139">
        <v>1.4836584821501435</v>
      </c>
      <c r="AV21" s="139">
        <v>1.4961277568505438</v>
      </c>
      <c r="AW21" s="139">
        <v>1.5087033708233468</v>
      </c>
      <c r="AX21" s="139">
        <v>1.5213862455219651</v>
      </c>
      <c r="AY21" s="139">
        <v>1.5341773105202545</v>
      </c>
      <c r="AZ21" s="139">
        <v>1.5470775035853226</v>
      </c>
      <c r="BA21" s="139">
        <v>1.5600877707509997</v>
      </c>
      <c r="BB21" s="139">
        <v>1.5732090663919827</v>
      </c>
      <c r="BC21" s="139">
        <v>1.5864423532986522</v>
      </c>
      <c r="BD21" s="139">
        <v>1.5997886027525758</v>
      </c>
      <c r="BE21" s="139">
        <v>1.6132487946026965</v>
      </c>
      <c r="BF21" s="139">
        <v>1.6268239173422205</v>
      </c>
      <c r="BG21" s="139">
        <v>1.6405149681862037</v>
      </c>
      <c r="BH21" s="139">
        <v>1.654322953149848</v>
      </c>
      <c r="BI21" s="139">
        <v>1.668248887127513</v>
      </c>
      <c r="BJ21" s="139">
        <v>1.6822937939724465</v>
      </c>
      <c r="BK21" s="139">
        <v>1.6964587065772481</v>
      </c>
      <c r="BL21" s="139">
        <v>1.7107446669550632</v>
      </c>
      <c r="BM21" s="139">
        <v>1.7251527263215207</v>
      </c>
      <c r="BN21" s="139">
        <v>1.7396839451774202</v>
      </c>
      <c r="BO21" s="139">
        <v>1.7543393933921736</v>
      </c>
      <c r="BP21" s="139">
        <v>1.7691201502880101</v>
      </c>
      <c r="BQ21" s="139">
        <v>1.7840273047249506</v>
      </c>
      <c r="BR21" s="139">
        <v>1.799061955186559</v>
      </c>
      <c r="BS21" s="139">
        <v>1.8142252098664788</v>
      </c>
      <c r="BT21" s="139">
        <v>1.8295181867557591</v>
      </c>
      <c r="BU21" s="139">
        <v>1.8449420137309809</v>
      </c>
      <c r="BV21" s="139">
        <v>1.8604978286431908</v>
      </c>
      <c r="BW21" s="139">
        <v>1.8761867794076443</v>
      </c>
      <c r="BX21" s="139">
        <v>1.8920100240943745</v>
      </c>
      <c r="BY21" s="139">
        <v>1.9079687310195883</v>
      </c>
      <c r="BZ21" s="139">
        <v>1.9240640788378993</v>
      </c>
      <c r="CA21" s="139">
        <v>1.9402972566354038</v>
      </c>
      <c r="CB21" s="139">
        <v>1.9566694640236117</v>
      </c>
      <c r="CC21" s="139">
        <v>1.9731819112342355</v>
      </c>
      <c r="CD21" s="139">
        <v>1.9898358192148482</v>
      </c>
      <c r="CE21" s="139">
        <v>2.0066324197254177</v>
      </c>
      <c r="CF21" s="139">
        <v>2.0235729554357258</v>
      </c>
      <c r="CG21" s="139">
        <v>2.0406586800236779</v>
      </c>
      <c r="CH21" s="139">
        <v>2.057890858274519</v>
      </c>
      <c r="CI21" s="139">
        <v>2.07527076618095</v>
      </c>
      <c r="CJ21" s="139">
        <v>2.0927996910441733</v>
      </c>
      <c r="CK21" s="139">
        <v>2.110478931575853</v>
      </c>
      <c r="CL21" s="139">
        <v>2.1283097980010215</v>
      </c>
      <c r="CM21" s="139">
        <v>2.1462936121619194</v>
      </c>
      <c r="CN21" s="139">
        <v>2.1644317076227972</v>
      </c>
      <c r="CO21" s="139">
        <v>2.1827254297756706</v>
      </c>
      <c r="CP21" s="139">
        <v>2.2011761359470512</v>
      </c>
      <c r="CQ21" s="139">
        <v>2.2197851955056547</v>
      </c>
      <c r="CR21" s="139">
        <v>2.2385539899710993</v>
      </c>
      <c r="CS21" s="140">
        <v>2.2574839131235986</v>
      </c>
      <c r="CT21" s="10"/>
    </row>
    <row r="22" spans="2:98" ht="15">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row>
    <row r="25" spans="2:98" ht="15">
      <c r="C25" s="89" t="s">
        <v>126</v>
      </c>
      <c r="D25" s="90"/>
      <c r="E25" s="90"/>
      <c r="F25" s="90"/>
      <c r="G25" s="88"/>
      <c r="H25" s="88"/>
      <c r="I25" s="88"/>
      <c r="J25" s="88"/>
      <c r="K25" s="88"/>
      <c r="L25" s="88"/>
      <c r="M25" s="88"/>
      <c r="N25" s="88"/>
      <c r="O25" s="88"/>
      <c r="P25" s="88"/>
      <c r="Q25" s="88"/>
      <c r="R25" s="88"/>
    </row>
    <row r="26" spans="2:98">
      <c r="C26" s="327" t="s">
        <v>241</v>
      </c>
      <c r="D26" s="327"/>
      <c r="E26" s="327"/>
      <c r="F26" s="327"/>
      <c r="G26" s="327"/>
      <c r="H26" s="327"/>
      <c r="I26" s="327"/>
      <c r="J26" s="327"/>
      <c r="K26" s="327"/>
      <c r="L26" s="327"/>
      <c r="M26" s="327"/>
      <c r="N26" s="327"/>
      <c r="O26" s="327"/>
      <c r="P26" s="327"/>
      <c r="Q26" s="327"/>
      <c r="R26" s="327"/>
    </row>
    <row r="27" spans="2:98">
      <c r="C27" s="327"/>
      <c r="D27" s="327"/>
      <c r="E27" s="327"/>
      <c r="F27" s="327"/>
      <c r="G27" s="327"/>
      <c r="H27" s="327"/>
      <c r="I27" s="327"/>
      <c r="J27" s="327"/>
      <c r="K27" s="327"/>
      <c r="L27" s="327"/>
      <c r="M27" s="327"/>
      <c r="N27" s="327"/>
      <c r="O27" s="327"/>
      <c r="P27" s="327"/>
      <c r="Q27" s="327"/>
      <c r="R27" s="327"/>
    </row>
    <row r="28" spans="2:98">
      <c r="C28" s="327"/>
      <c r="D28" s="327"/>
      <c r="E28" s="327"/>
      <c r="F28" s="327"/>
      <c r="G28" s="327"/>
      <c r="H28" s="327"/>
      <c r="I28" s="327"/>
      <c r="J28" s="327"/>
      <c r="K28" s="327"/>
      <c r="L28" s="327"/>
      <c r="M28" s="327"/>
      <c r="N28" s="327"/>
      <c r="O28" s="327"/>
      <c r="P28" s="327"/>
      <c r="Q28" s="327"/>
      <c r="R28" s="327"/>
    </row>
    <row r="29" spans="2:98">
      <c r="C29" s="327"/>
      <c r="D29" s="327"/>
      <c r="E29" s="327"/>
      <c r="F29" s="327"/>
      <c r="G29" s="327"/>
      <c r="H29" s="327"/>
      <c r="I29" s="327"/>
      <c r="J29" s="327"/>
      <c r="K29" s="327"/>
      <c r="L29" s="327"/>
      <c r="M29" s="327"/>
      <c r="N29" s="327"/>
      <c r="O29" s="327"/>
      <c r="P29" s="327"/>
      <c r="Q29" s="327"/>
      <c r="R29" s="327"/>
    </row>
    <row r="30" spans="2:98">
      <c r="C30" s="327"/>
      <c r="D30" s="327"/>
      <c r="E30" s="327"/>
      <c r="F30" s="327"/>
      <c r="G30" s="327"/>
      <c r="H30" s="327"/>
      <c r="I30" s="327"/>
      <c r="J30" s="327"/>
      <c r="K30" s="327"/>
      <c r="L30" s="327"/>
      <c r="M30" s="327"/>
      <c r="N30" s="327"/>
      <c r="O30" s="327"/>
      <c r="P30" s="327"/>
      <c r="Q30" s="327"/>
      <c r="R30" s="327"/>
    </row>
    <row r="31" spans="2:98">
      <c r="C31" s="327"/>
      <c r="D31" s="327"/>
      <c r="E31" s="327"/>
      <c r="F31" s="327"/>
      <c r="G31" s="327"/>
      <c r="H31" s="327"/>
      <c r="I31" s="327"/>
      <c r="J31" s="327"/>
      <c r="K31" s="327"/>
      <c r="L31" s="327"/>
      <c r="M31" s="327"/>
      <c r="N31" s="327"/>
      <c r="O31" s="327"/>
      <c r="P31" s="327"/>
      <c r="Q31" s="327"/>
      <c r="R31" s="327"/>
    </row>
    <row r="32" spans="2:98">
      <c r="C32" s="327"/>
      <c r="D32" s="327"/>
      <c r="E32" s="327"/>
      <c r="F32" s="327"/>
      <c r="G32" s="327"/>
      <c r="H32" s="327"/>
      <c r="I32" s="327"/>
      <c r="J32" s="327"/>
      <c r="K32" s="327"/>
      <c r="L32" s="327"/>
      <c r="M32" s="327"/>
      <c r="N32" s="327"/>
      <c r="O32" s="327"/>
      <c r="P32" s="327"/>
      <c r="Q32" s="327"/>
      <c r="R32" s="327"/>
    </row>
    <row r="33" spans="3:18">
      <c r="C33" s="327"/>
      <c r="D33" s="327"/>
      <c r="E33" s="327"/>
      <c r="F33" s="327"/>
      <c r="G33" s="327"/>
      <c r="H33" s="327"/>
      <c r="I33" s="327"/>
      <c r="J33" s="327"/>
      <c r="K33" s="327"/>
      <c r="L33" s="327"/>
      <c r="M33" s="327"/>
      <c r="N33" s="327"/>
      <c r="O33" s="327"/>
      <c r="P33" s="327"/>
      <c r="Q33" s="327"/>
      <c r="R33" s="327"/>
    </row>
    <row r="34" spans="3:18">
      <c r="C34" s="327"/>
      <c r="D34" s="327"/>
      <c r="E34" s="327"/>
      <c r="F34" s="327"/>
      <c r="G34" s="327"/>
      <c r="H34" s="327"/>
      <c r="I34" s="327"/>
      <c r="J34" s="327"/>
      <c r="K34" s="327"/>
      <c r="L34" s="327"/>
      <c r="M34" s="327"/>
      <c r="N34" s="327"/>
      <c r="O34" s="327"/>
      <c r="P34" s="327"/>
      <c r="Q34" s="327"/>
      <c r="R34" s="327"/>
    </row>
    <row r="35" spans="3:18">
      <c r="C35" s="327"/>
      <c r="D35" s="327"/>
      <c r="E35" s="327"/>
      <c r="F35" s="327"/>
      <c r="G35" s="327"/>
      <c r="H35" s="327"/>
      <c r="I35" s="327"/>
      <c r="J35" s="327"/>
      <c r="K35" s="327"/>
      <c r="L35" s="327"/>
      <c r="M35" s="327"/>
      <c r="N35" s="327"/>
      <c r="O35" s="327"/>
      <c r="P35" s="327"/>
      <c r="Q35" s="327"/>
      <c r="R35" s="327"/>
    </row>
    <row r="36" spans="3:18">
      <c r="C36" s="327"/>
      <c r="D36" s="327"/>
      <c r="E36" s="327"/>
      <c r="F36" s="327"/>
      <c r="G36" s="327"/>
      <c r="H36" s="327"/>
      <c r="I36" s="327"/>
      <c r="J36" s="327"/>
      <c r="K36" s="327"/>
      <c r="L36" s="327"/>
      <c r="M36" s="327"/>
      <c r="N36" s="327"/>
      <c r="O36" s="327"/>
      <c r="P36" s="327"/>
      <c r="Q36" s="327"/>
      <c r="R36" s="327"/>
    </row>
    <row r="37" spans="3:18">
      <c r="C37" s="327"/>
      <c r="D37" s="327"/>
      <c r="E37" s="327"/>
      <c r="F37" s="327"/>
      <c r="G37" s="327"/>
      <c r="H37" s="327"/>
      <c r="I37" s="327"/>
      <c r="J37" s="327"/>
      <c r="K37" s="327"/>
      <c r="L37" s="327"/>
      <c r="M37" s="327"/>
      <c r="N37" s="327"/>
      <c r="O37" s="327"/>
      <c r="P37" s="327"/>
      <c r="Q37" s="327"/>
      <c r="R37" s="327"/>
    </row>
    <row r="38" spans="3:18">
      <c r="C38" s="327"/>
      <c r="D38" s="327"/>
      <c r="E38" s="327"/>
      <c r="F38" s="327"/>
      <c r="G38" s="327"/>
      <c r="H38" s="327"/>
      <c r="I38" s="327"/>
      <c r="J38" s="327"/>
      <c r="K38" s="327"/>
      <c r="L38" s="327"/>
      <c r="M38" s="327"/>
      <c r="N38" s="327"/>
      <c r="O38" s="327"/>
      <c r="P38" s="327"/>
      <c r="Q38" s="327"/>
      <c r="R38" s="327"/>
    </row>
  </sheetData>
  <mergeCells count="1">
    <mergeCell ref="C26:R38"/>
  </mergeCells>
  <conditionalFormatting sqref="E17">
    <cfRule type="containsBlanks" dxfId="241" priority="25" stopIfTrue="1">
      <formula>LEN(TRIM(E17))=0</formula>
    </cfRule>
    <cfRule type="notContainsBlanks" dxfId="240" priority="26" stopIfTrue="1">
      <formula>LEN(TRIM(E17))&gt;0</formula>
    </cfRule>
  </conditionalFormatting>
  <conditionalFormatting sqref="E14:CS14">
    <cfRule type="containsBlanks" dxfId="239" priority="33" stopIfTrue="1">
      <formula>LEN(TRIM(E14))=0</formula>
    </cfRule>
    <cfRule type="notContainsBlanks" dxfId="238" priority="34" stopIfTrue="1">
      <formula>LEN(TRIM(E14))&gt;0</formula>
    </cfRule>
  </conditionalFormatting>
  <conditionalFormatting sqref="E11:CS11">
    <cfRule type="containsBlanks" dxfId="237" priority="35" stopIfTrue="1">
      <formula>LEN(TRIM(E11))=0</formula>
    </cfRule>
    <cfRule type="notContainsBlanks" dxfId="236" priority="36" stopIfTrue="1">
      <formula>LEN(TRIM(E11))&gt;0</formula>
    </cfRule>
  </conditionalFormatting>
  <conditionalFormatting sqref="E8:CS8">
    <cfRule type="containsBlanks" dxfId="235" priority="37" stopIfTrue="1">
      <formula>LEN(TRIM(E8))=0</formula>
    </cfRule>
    <cfRule type="notContainsBlanks" dxfId="234" priority="38" stopIfTrue="1">
      <formula>LEN(TRIM(E8))&gt;0</formula>
    </cfRule>
  </conditionalFormatting>
  <conditionalFormatting sqref="E5:CS5">
    <cfRule type="containsBlanks" dxfId="233" priority="39" stopIfTrue="1">
      <formula>LEN(TRIM(E5))=0</formula>
    </cfRule>
    <cfRule type="notContainsBlanks" dxfId="232" priority="40" stopIfTrue="1">
      <formula>LEN(TRIM(E5))&gt;0</formula>
    </cfRule>
  </conditionalFormatting>
  <conditionalFormatting sqref="E19:CQ19">
    <cfRule type="containsBlanks" dxfId="231" priority="11" stopIfTrue="1">
      <formula>LEN(TRIM(E19))=0</formula>
    </cfRule>
    <cfRule type="notContainsBlanks" dxfId="230" priority="12" stopIfTrue="1">
      <formula>LEN(TRIM(E19))&gt;0</formula>
    </cfRule>
  </conditionalFormatting>
  <conditionalFormatting sqref="E20:CQ20">
    <cfRule type="containsBlanks" dxfId="229" priority="9" stopIfTrue="1">
      <formula>LEN(TRIM(E20))=0</formula>
    </cfRule>
    <cfRule type="notContainsBlanks" dxfId="228" priority="10" stopIfTrue="1">
      <formula>LEN(TRIM(E20))&gt;0</formula>
    </cfRule>
  </conditionalFormatting>
  <conditionalFormatting sqref="E21:CQ21">
    <cfRule type="containsBlanks" dxfId="227" priority="7" stopIfTrue="1">
      <formula>LEN(TRIM(E21))=0</formula>
    </cfRule>
    <cfRule type="notContainsBlanks" dxfId="226" priority="8" stopIfTrue="1">
      <formula>LEN(TRIM(E21))&gt;0</formula>
    </cfRule>
  </conditionalFormatting>
  <conditionalFormatting sqref="CR19:CS19">
    <cfRule type="containsBlanks" dxfId="225" priority="5" stopIfTrue="1">
      <formula>LEN(TRIM(CR19))=0</formula>
    </cfRule>
    <cfRule type="notContainsBlanks" dxfId="224" priority="6" stopIfTrue="1">
      <formula>LEN(TRIM(CR19))&gt;0</formula>
    </cfRule>
  </conditionalFormatting>
  <conditionalFormatting sqref="CR20:CS20">
    <cfRule type="containsBlanks" dxfId="223" priority="3" stopIfTrue="1">
      <formula>LEN(TRIM(CR20))=0</formula>
    </cfRule>
    <cfRule type="notContainsBlanks" dxfId="222" priority="4" stopIfTrue="1">
      <formula>LEN(TRIM(CR20))&gt;0</formula>
    </cfRule>
  </conditionalFormatting>
  <conditionalFormatting sqref="CR21:CS21">
    <cfRule type="containsBlanks" dxfId="221" priority="1" stopIfTrue="1">
      <formula>LEN(TRIM(CR21))=0</formula>
    </cfRule>
    <cfRule type="notContainsBlanks" dxfId="220" priority="2" stopIfTrue="1">
      <formula>LEN(TRIM(CR21))&gt;0</formula>
    </cfRule>
  </conditionalFormatting>
  <pageMargins left="0.7" right="0.7" top="0.75" bottom="0.75" header="0.3" footer="0.3"/>
  <customProperties>
    <customPr name="IsPC" r:id="rId1"/>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dimension ref="B1:BT77"/>
  <sheetViews>
    <sheetView topLeftCell="W2" zoomScale="85" zoomScaleNormal="85" zoomScalePageLayoutView="85" workbookViewId="0">
      <selection activeCell="T36" sqref="T36"/>
    </sheetView>
  </sheetViews>
  <sheetFormatPr defaultColWidth="3.6640625" defaultRowHeight="14.4"/>
  <cols>
    <col min="1" max="1" width="3.6640625" style="9"/>
    <col min="2" max="2" width="9" style="9" bestFit="1" customWidth="1"/>
    <col min="3" max="3" width="19.33203125" style="9" bestFit="1" customWidth="1"/>
    <col min="4" max="4" width="7.44140625" style="9" bestFit="1" customWidth="1"/>
    <col min="5" max="11" width="7.33203125" style="9" bestFit="1" customWidth="1"/>
    <col min="12" max="12" width="3.6640625" style="9"/>
    <col min="13" max="13" width="17.6640625" style="9" bestFit="1" customWidth="1"/>
    <col min="14" max="14" width="7.44140625" style="9" bestFit="1" customWidth="1"/>
    <col min="15" max="21" width="6.33203125" style="9" bestFit="1" customWidth="1"/>
    <col min="22" max="22" width="3.6640625" style="9"/>
    <col min="23" max="23" width="17.6640625" style="9" bestFit="1" customWidth="1"/>
    <col min="24" max="24" width="7.44140625" style="9" bestFit="1" customWidth="1"/>
    <col min="25" max="27" width="6.33203125" style="9" bestFit="1" customWidth="1"/>
    <col min="28" max="31" width="7.33203125" style="9" bestFit="1" customWidth="1"/>
    <col min="32" max="32" width="3.6640625" style="9"/>
    <col min="33" max="33" width="17.6640625" style="9" bestFit="1" customWidth="1"/>
    <col min="34" max="34" width="7.44140625" style="9" bestFit="1" customWidth="1"/>
    <col min="35" max="41" width="7.33203125" style="9" bestFit="1" customWidth="1"/>
    <col min="42" max="42" width="3.6640625" style="9"/>
    <col min="43" max="43" width="17.6640625" style="9" bestFit="1" customWidth="1"/>
    <col min="44" max="44" width="7.44140625" style="9" bestFit="1" customWidth="1"/>
    <col min="45" max="51" width="7.33203125" style="9" bestFit="1" customWidth="1"/>
    <col min="52" max="52" width="3.6640625" style="9"/>
    <col min="53" max="53" width="17.6640625" style="9" bestFit="1" customWidth="1"/>
    <col min="54" max="54" width="7.44140625" style="9" bestFit="1" customWidth="1"/>
    <col min="55" max="61" width="7.33203125" style="9" bestFit="1" customWidth="1"/>
    <col min="62" max="62" width="3.6640625" style="9"/>
    <col min="63" max="63" width="17.6640625" style="9" bestFit="1" customWidth="1"/>
    <col min="64" max="64" width="7.44140625" style="9" bestFit="1" customWidth="1"/>
    <col min="65" max="66" width="7.33203125" style="9" bestFit="1" customWidth="1"/>
    <col min="67" max="71" width="6.33203125" style="9" bestFit="1" customWidth="1"/>
    <col min="72" max="16384" width="3.6640625" style="9"/>
  </cols>
  <sheetData>
    <row r="1" spans="2:72" s="134" customFormat="1" ht="15">
      <c r="B1" s="135" t="s">
        <v>150</v>
      </c>
    </row>
    <row r="3" spans="2:72" ht="15">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row>
    <row r="4" spans="2:72" ht="15">
      <c r="B4" s="10"/>
      <c r="C4" s="22" t="str">
        <f>INDEX(_pcName,1)</f>
        <v>Axial Cylindrical Housed</v>
      </c>
      <c r="D4" s="23"/>
      <c r="E4" s="24" t="str">
        <f t="array" ref="E4:K4">INDEX(_doShort,1,)</f>
        <v>EL 0</v>
      </c>
      <c r="F4" s="24" t="str">
        <v>EL 1</v>
      </c>
      <c r="G4" s="24" t="str">
        <v>EL 2</v>
      </c>
      <c r="H4" s="24" t="str">
        <v>EL 3</v>
      </c>
      <c r="I4" s="24" t="str">
        <v>EL 4</v>
      </c>
      <c r="J4" s="24" t="str">
        <v>EL 5</v>
      </c>
      <c r="K4" s="25" t="str">
        <v>EL 6</v>
      </c>
      <c r="L4" s="10"/>
      <c r="M4" s="22" t="str">
        <f>INDEX(_pcName,2)</f>
        <v>Panel</v>
      </c>
      <c r="N4" s="23"/>
      <c r="O4" s="24" t="str">
        <f t="array" ref="O4:U4">INDEX(_doShort,2,)</f>
        <v>EL 0</v>
      </c>
      <c r="P4" s="24" t="str">
        <v>EL 1</v>
      </c>
      <c r="Q4" s="24" t="str">
        <v>EL 2</v>
      </c>
      <c r="R4" s="24" t="str">
        <v>EL 3</v>
      </c>
      <c r="S4" s="24" t="str">
        <v>EL 4</v>
      </c>
      <c r="T4" s="24" t="str">
        <v>EL 5</v>
      </c>
      <c r="U4" s="25" t="str">
        <v>EL 6</v>
      </c>
      <c r="V4" s="10"/>
      <c r="W4" s="22" t="str">
        <f>INDEX(_pcName,3)</f>
        <v>Centrif Housed</v>
      </c>
      <c r="X4" s="23"/>
      <c r="Y4" s="24" t="str">
        <f t="array" ref="Y4:AE4">INDEX(_doShort,3,)</f>
        <v>EL 0</v>
      </c>
      <c r="Z4" s="24" t="str">
        <v>EL 1</v>
      </c>
      <c r="AA4" s="24" t="str">
        <v>EL 2</v>
      </c>
      <c r="AB4" s="24" t="str">
        <v>EL 3</v>
      </c>
      <c r="AC4" s="24" t="str">
        <v>EL 4</v>
      </c>
      <c r="AD4" s="24" t="str">
        <v>EL 5</v>
      </c>
      <c r="AE4" s="25" t="str">
        <v>EL 6</v>
      </c>
      <c r="AF4" s="10"/>
      <c r="AG4" s="22" t="str">
        <f>INDEX(_pcName,4)</f>
        <v>Centrif Unhous</v>
      </c>
      <c r="AH4" s="23"/>
      <c r="AI4" s="24" t="str">
        <f t="array" ref="AI4:AO4">INDEX(_doShort,4,)</f>
        <v>EL 0</v>
      </c>
      <c r="AJ4" s="24" t="str">
        <v>EL 1</v>
      </c>
      <c r="AK4" s="24" t="str">
        <v>EL 2</v>
      </c>
      <c r="AL4" s="24" t="str">
        <v>EL 3</v>
      </c>
      <c r="AM4" s="24" t="str">
        <v>EL 4</v>
      </c>
      <c r="AN4" s="24" t="str">
        <v>EL 5</v>
      </c>
      <c r="AO4" s="25" t="str">
        <v>EL 6</v>
      </c>
      <c r="AP4" s="10"/>
      <c r="AQ4" s="22" t="str">
        <f>INDEX(_pcName,5)</f>
        <v>Inline-Mixed</v>
      </c>
      <c r="AR4" s="23"/>
      <c r="AS4" s="24" t="str">
        <f t="array" ref="AS4:AY4">INDEX(_doShort,5,)</f>
        <v>EL 0</v>
      </c>
      <c r="AT4" s="24" t="str">
        <v>EL 1</v>
      </c>
      <c r="AU4" s="24" t="str">
        <v>EL 2</v>
      </c>
      <c r="AV4" s="24" t="str">
        <v>EL 3</v>
      </c>
      <c r="AW4" s="24" t="str">
        <v>EL 4</v>
      </c>
      <c r="AX4" s="24" t="str">
        <v>EL 5</v>
      </c>
      <c r="AY4" s="25" t="str">
        <v>EL 6</v>
      </c>
      <c r="AZ4" s="10"/>
      <c r="BA4" s="22" t="str">
        <f>INDEX(_pcName,6)</f>
        <v>Radial</v>
      </c>
      <c r="BB4" s="23"/>
      <c r="BC4" s="24" t="str">
        <f t="array" ref="BC4:BI4">INDEX(_doShort,6,)</f>
        <v>EL 0</v>
      </c>
      <c r="BD4" s="24" t="str">
        <v>EL 1</v>
      </c>
      <c r="BE4" s="24" t="str">
        <v>EL 2</v>
      </c>
      <c r="BF4" s="24" t="str">
        <v>EL 3</v>
      </c>
      <c r="BG4" s="24" t="str">
        <v>EL 4</v>
      </c>
      <c r="BH4" s="24" t="str">
        <v>EL 5</v>
      </c>
      <c r="BI4" s="25" t="str">
        <v>EL 6</v>
      </c>
      <c r="BJ4" s="10"/>
      <c r="BK4" s="22" t="str">
        <f>INDEX(_pcName,7)</f>
        <v>Power Roof Vent</v>
      </c>
      <c r="BL4" s="23"/>
      <c r="BM4" s="24" t="str">
        <f t="array" ref="BM4:BS4">INDEX(_doShort,7,)</f>
        <v>EL 0</v>
      </c>
      <c r="BN4" s="24" t="str">
        <v>EL 1</v>
      </c>
      <c r="BO4" s="24" t="str">
        <v>EL 2</v>
      </c>
      <c r="BP4" s="24" t="str">
        <v>EL 3</v>
      </c>
      <c r="BQ4" s="24" t="str">
        <v>EL 4</v>
      </c>
      <c r="BR4" s="24" t="str">
        <v>EL 5</v>
      </c>
      <c r="BS4" s="25" t="str">
        <v>EL 6</v>
      </c>
      <c r="BT4" s="10"/>
    </row>
    <row r="5" spans="2:72" ht="15">
      <c r="B5" s="10"/>
      <c r="C5" s="57" t="s">
        <v>69</v>
      </c>
      <c r="D5" s="42"/>
      <c r="E5" s="42"/>
      <c r="F5" s="42"/>
      <c r="G5" s="42"/>
      <c r="H5" s="42"/>
      <c r="I5" s="42"/>
      <c r="J5" s="42"/>
      <c r="K5" s="43"/>
      <c r="L5" s="10"/>
      <c r="M5" s="57" t="s">
        <v>69</v>
      </c>
      <c r="N5" s="42"/>
      <c r="O5" s="42"/>
      <c r="P5" s="42"/>
      <c r="Q5" s="42"/>
      <c r="R5" s="42"/>
      <c r="S5" s="42"/>
      <c r="T5" s="42"/>
      <c r="U5" s="43"/>
      <c r="V5" s="10"/>
      <c r="W5" s="57" t="s">
        <v>69</v>
      </c>
      <c r="X5" s="42"/>
      <c r="Y5" s="42"/>
      <c r="Z5" s="42"/>
      <c r="AA5" s="42"/>
      <c r="AB5" s="42"/>
      <c r="AC5" s="42"/>
      <c r="AD5" s="42"/>
      <c r="AE5" s="43"/>
      <c r="AF5" s="10"/>
      <c r="AG5" s="57" t="s">
        <v>69</v>
      </c>
      <c r="AH5" s="42"/>
      <c r="AI5" s="42"/>
      <c r="AJ5" s="42"/>
      <c r="AK5" s="42"/>
      <c r="AL5" s="42"/>
      <c r="AM5" s="42"/>
      <c r="AN5" s="42"/>
      <c r="AO5" s="43"/>
      <c r="AP5" s="10"/>
      <c r="AQ5" s="57" t="s">
        <v>69</v>
      </c>
      <c r="AR5" s="42"/>
      <c r="AS5" s="42"/>
      <c r="AT5" s="42"/>
      <c r="AU5" s="42"/>
      <c r="AV5" s="42"/>
      <c r="AW5" s="42"/>
      <c r="AX5" s="42"/>
      <c r="AY5" s="43"/>
      <c r="AZ5" s="10"/>
      <c r="BA5" s="57" t="s">
        <v>69</v>
      </c>
      <c r="BB5" s="42"/>
      <c r="BC5" s="42"/>
      <c r="BD5" s="42"/>
      <c r="BE5" s="42"/>
      <c r="BF5" s="42"/>
      <c r="BG5" s="42"/>
      <c r="BH5" s="42"/>
      <c r="BI5" s="43"/>
      <c r="BJ5" s="10"/>
      <c r="BK5" s="57" t="s">
        <v>69</v>
      </c>
      <c r="BL5" s="42"/>
      <c r="BM5" s="42"/>
      <c r="BN5" s="42"/>
      <c r="BO5" s="42"/>
      <c r="BP5" s="42"/>
      <c r="BQ5" s="42"/>
      <c r="BR5" s="42"/>
      <c r="BS5" s="43"/>
      <c r="BT5" s="10"/>
    </row>
    <row r="6" spans="2:72" ht="15">
      <c r="B6" s="10"/>
      <c r="C6" s="16" t="s">
        <v>29</v>
      </c>
      <c r="D6" s="14"/>
      <c r="E6" s="14"/>
      <c r="F6" s="14"/>
      <c r="G6" s="14"/>
      <c r="H6" s="14"/>
      <c r="I6" s="14"/>
      <c r="J6" s="14"/>
      <c r="K6" s="15"/>
      <c r="L6" s="10"/>
      <c r="M6" s="16" t="s">
        <v>29</v>
      </c>
      <c r="N6" s="14"/>
      <c r="O6" s="14"/>
      <c r="P6" s="14"/>
      <c r="Q6" s="14"/>
      <c r="R6" s="14"/>
      <c r="S6" s="14"/>
      <c r="T6" s="14"/>
      <c r="U6" s="15"/>
      <c r="V6" s="10"/>
      <c r="W6" s="16" t="s">
        <v>29</v>
      </c>
      <c r="X6" s="14"/>
      <c r="Y6" s="14"/>
      <c r="Z6" s="14"/>
      <c r="AA6" s="14"/>
      <c r="AB6" s="14"/>
      <c r="AC6" s="14"/>
      <c r="AD6" s="14"/>
      <c r="AE6" s="15"/>
      <c r="AF6" s="10"/>
      <c r="AG6" s="16" t="s">
        <v>29</v>
      </c>
      <c r="AH6" s="14"/>
      <c r="AI6" s="14"/>
      <c r="AJ6" s="14"/>
      <c r="AK6" s="14"/>
      <c r="AL6" s="14"/>
      <c r="AM6" s="14"/>
      <c r="AN6" s="14"/>
      <c r="AO6" s="15"/>
      <c r="AP6" s="10"/>
      <c r="AQ6" s="16" t="s">
        <v>29</v>
      </c>
      <c r="AR6" s="14"/>
      <c r="AS6" s="14"/>
      <c r="AT6" s="14"/>
      <c r="AU6" s="14"/>
      <c r="AV6" s="14"/>
      <c r="AW6" s="14"/>
      <c r="AX6" s="14"/>
      <c r="AY6" s="15"/>
      <c r="AZ6" s="10"/>
      <c r="BA6" s="16" t="s">
        <v>29</v>
      </c>
      <c r="BB6" s="14"/>
      <c r="BC6" s="14"/>
      <c r="BD6" s="14"/>
      <c r="BE6" s="14"/>
      <c r="BF6" s="14"/>
      <c r="BG6" s="14"/>
      <c r="BH6" s="14"/>
      <c r="BI6" s="15"/>
      <c r="BJ6" s="10"/>
      <c r="BK6" s="16" t="s">
        <v>29</v>
      </c>
      <c r="BL6" s="14"/>
      <c r="BM6" s="14"/>
      <c r="BN6" s="14"/>
      <c r="BO6" s="14"/>
      <c r="BP6" s="14"/>
      <c r="BQ6" s="14"/>
      <c r="BR6" s="14"/>
      <c r="BS6" s="15"/>
      <c r="BT6" s="10"/>
    </row>
    <row r="7" spans="2:72" s="239" customFormat="1" ht="15">
      <c r="B7" s="236"/>
      <c r="C7" s="237" t="s">
        <v>70</v>
      </c>
      <c r="D7" s="238" t="str">
        <f t="shared" ref="D7:D13" si="0">_yearDol &amp; "$"</f>
        <v>2015$</v>
      </c>
      <c r="E7" s="233">
        <v>3073.56073239436</v>
      </c>
      <c r="F7" s="233">
        <v>4357.8100000000004</v>
      </c>
      <c r="G7" s="233">
        <v>5053.1087500000003</v>
      </c>
      <c r="H7" s="233">
        <v>5056.6307106598897</v>
      </c>
      <c r="I7" s="233">
        <v>5622.5439436619699</v>
      </c>
      <c r="J7" s="233">
        <v>6430.7128342618098</v>
      </c>
      <c r="K7" s="234">
        <v>7267.0659445983601</v>
      </c>
      <c r="L7" s="236"/>
      <c r="M7" s="237" t="s">
        <v>70</v>
      </c>
      <c r="N7" s="238" t="str">
        <f t="shared" ref="N7:N13" si="1">_yearDol &amp; "$"</f>
        <v>2015$</v>
      </c>
      <c r="O7" s="233">
        <v>1673.5319219999999</v>
      </c>
      <c r="P7" s="233">
        <v>1696.3370890000001</v>
      </c>
      <c r="Q7" s="233">
        <v>1710.433331</v>
      </c>
      <c r="R7" s="233">
        <v>1729.822977</v>
      </c>
      <c r="S7" s="83">
        <v>1753.7208619999999</v>
      </c>
      <c r="T7" s="83">
        <v>1779.9263209999999</v>
      </c>
      <c r="U7" s="83">
        <v>1854.510309</v>
      </c>
      <c r="V7" s="236"/>
      <c r="W7" s="237" t="s">
        <v>70</v>
      </c>
      <c r="X7" s="238" t="str">
        <f t="shared" ref="X7:X13" si="2">_yearDol &amp; "$"</f>
        <v>2015$</v>
      </c>
      <c r="Y7" s="233">
        <v>923.86830322221704</v>
      </c>
      <c r="Z7" s="233">
        <v>1632.7489955022099</v>
      </c>
      <c r="AA7" s="233">
        <v>1606.73941742082</v>
      </c>
      <c r="AB7" s="233">
        <v>1642.5726172529201</v>
      </c>
      <c r="AC7" s="233">
        <v>1956.1763667180101</v>
      </c>
      <c r="AD7" s="233">
        <v>2337.7572863462001</v>
      </c>
      <c r="AE7" s="234">
        <v>3332.3279476880298</v>
      </c>
      <c r="AF7" s="236"/>
      <c r="AG7" s="237" t="s">
        <v>70</v>
      </c>
      <c r="AH7" s="238" t="str">
        <f t="shared" ref="AH7:AH13" si="3">_yearDol &amp; "$"</f>
        <v>2015$</v>
      </c>
      <c r="AI7" s="233">
        <v>3815.7517763157898</v>
      </c>
      <c r="AJ7" s="233">
        <v>4557.6058588957003</v>
      </c>
      <c r="AK7" s="233">
        <v>3826.8704991948298</v>
      </c>
      <c r="AL7" s="233">
        <v>3889.3280650994502</v>
      </c>
      <c r="AM7" s="233">
        <v>3850.15970260222</v>
      </c>
      <c r="AN7" s="233">
        <v>4270.3221718756804</v>
      </c>
      <c r="AO7" s="234">
        <v>3807.3938091960199</v>
      </c>
      <c r="AP7" s="236"/>
      <c r="AQ7" s="237" t="s">
        <v>70</v>
      </c>
      <c r="AR7" s="238" t="str">
        <f t="shared" ref="AR7:AR13" si="4">_yearDol &amp; "$"</f>
        <v>2015$</v>
      </c>
      <c r="AS7" s="233">
        <v>2462.8465126276201</v>
      </c>
      <c r="AT7" s="233">
        <v>2928.95234948603</v>
      </c>
      <c r="AU7" s="233">
        <v>2991.4848152295599</v>
      </c>
      <c r="AV7" s="233">
        <v>2795.4998600645899</v>
      </c>
      <c r="AW7" s="233">
        <v>3017.4992759051102</v>
      </c>
      <c r="AX7" s="233">
        <v>4732.2143233830202</v>
      </c>
      <c r="AY7" s="234">
        <v>5262.6649260700196</v>
      </c>
      <c r="AZ7" s="236"/>
      <c r="BA7" s="237" t="s">
        <v>70</v>
      </c>
      <c r="BB7" s="238" t="str">
        <f t="shared" ref="BB7:BB13" si="5">_yearDol &amp; "$"</f>
        <v>2015$</v>
      </c>
      <c r="BC7" s="233">
        <v>1511.50310595065</v>
      </c>
      <c r="BD7" s="233">
        <v>1949.6807457627001</v>
      </c>
      <c r="BE7" s="233">
        <v>2086.3818090452301</v>
      </c>
      <c r="BF7" s="233">
        <v>2698.0561926605501</v>
      </c>
      <c r="BG7" s="233">
        <v>2310.9753206002802</v>
      </c>
      <c r="BH7" s="233">
        <v>2332.0783975747399</v>
      </c>
      <c r="BI7" s="234">
        <v>1891.6428018076101</v>
      </c>
      <c r="BJ7" s="236"/>
      <c r="BK7" s="237" t="s">
        <v>70</v>
      </c>
      <c r="BL7" s="238" t="str">
        <f t="shared" ref="BL7:BL13" si="6">_yearDol &amp; "$"</f>
        <v>2015$</v>
      </c>
      <c r="BM7" s="233">
        <v>2958.2509241837502</v>
      </c>
      <c r="BN7" s="233">
        <v>3457.4900352423101</v>
      </c>
      <c r="BO7" s="233">
        <v>3065.95173259494</v>
      </c>
      <c r="BP7" s="233">
        <v>2909.62247263361</v>
      </c>
      <c r="BQ7" s="233">
        <v>2708.7549765990698</v>
      </c>
      <c r="BR7" s="233">
        <v>2553.5618875502</v>
      </c>
      <c r="BS7" s="234">
        <v>3821.84135460993</v>
      </c>
      <c r="BT7" s="236"/>
    </row>
    <row r="8" spans="2:72" s="239" customFormat="1" ht="15">
      <c r="B8" s="236"/>
      <c r="C8" s="237" t="s">
        <v>71</v>
      </c>
      <c r="D8" s="238" t="str">
        <f t="shared" si="0"/>
        <v>2015$</v>
      </c>
      <c r="E8" s="233"/>
      <c r="F8" s="233">
        <v>5744.6280133928503</v>
      </c>
      <c r="G8" s="233">
        <v>5053.1087500000003</v>
      </c>
      <c r="H8" s="233">
        <v>5056.6307106598897</v>
      </c>
      <c r="I8" s="233">
        <v>5622.5439436619699</v>
      </c>
      <c r="J8" s="233">
        <v>6430.7128342618098</v>
      </c>
      <c r="K8" s="234">
        <v>7267.0659445983601</v>
      </c>
      <c r="L8" s="236"/>
      <c r="M8" s="237" t="s">
        <v>71</v>
      </c>
      <c r="N8" s="238" t="str">
        <f t="shared" si="1"/>
        <v>2015$</v>
      </c>
      <c r="O8" s="233"/>
      <c r="P8" s="233">
        <f>P7</f>
        <v>1696.3370890000001</v>
      </c>
      <c r="Q8" s="233">
        <f t="shared" ref="Q8:U8" si="7">Q7</f>
        <v>1710.433331</v>
      </c>
      <c r="R8" s="233">
        <f t="shared" si="7"/>
        <v>1729.822977</v>
      </c>
      <c r="S8" s="233">
        <f t="shared" si="7"/>
        <v>1753.7208619999999</v>
      </c>
      <c r="T8" s="233">
        <f t="shared" si="7"/>
        <v>1779.9263209999999</v>
      </c>
      <c r="U8" s="233">
        <f t="shared" si="7"/>
        <v>1854.510309</v>
      </c>
      <c r="V8" s="236"/>
      <c r="W8" s="237" t="s">
        <v>71</v>
      </c>
      <c r="X8" s="238" t="str">
        <f t="shared" si="2"/>
        <v>2015$</v>
      </c>
      <c r="Y8" s="233"/>
      <c r="Z8" s="233">
        <v>1557.91849917944</v>
      </c>
      <c r="AA8" s="233">
        <v>1606.73941742082</v>
      </c>
      <c r="AB8" s="233">
        <v>1642.5726172529201</v>
      </c>
      <c r="AC8" s="233">
        <v>1956.1763667180101</v>
      </c>
      <c r="AD8" s="233">
        <v>2337.7572863462001</v>
      </c>
      <c r="AE8" s="234">
        <v>3332.3279476880298</v>
      </c>
      <c r="AF8" s="236"/>
      <c r="AG8" s="237" t="s">
        <v>71</v>
      </c>
      <c r="AH8" s="238" t="str">
        <f t="shared" si="3"/>
        <v>2015$</v>
      </c>
      <c r="AI8" s="233"/>
      <c r="AJ8" s="233">
        <v>5036.0176598465496</v>
      </c>
      <c r="AK8" s="233">
        <v>3826.8704991948298</v>
      </c>
      <c r="AL8" s="233">
        <v>3889.3280650994502</v>
      </c>
      <c r="AM8" s="233">
        <v>3850.15970260222</v>
      </c>
      <c r="AN8" s="233">
        <v>4270.3221718756804</v>
      </c>
      <c r="AO8" s="234">
        <v>3807.3938091960199</v>
      </c>
      <c r="AP8" s="236"/>
      <c r="AQ8" s="237" t="s">
        <v>71</v>
      </c>
      <c r="AR8" s="238" t="str">
        <f t="shared" si="4"/>
        <v>2015$</v>
      </c>
      <c r="AS8" s="233"/>
      <c r="AT8" s="233">
        <v>4134.4239575137599</v>
      </c>
      <c r="AU8" s="233">
        <v>2991.4848152295599</v>
      </c>
      <c r="AV8" s="233">
        <v>2795.4998600645899</v>
      </c>
      <c r="AW8" s="233">
        <v>3017.4992759051102</v>
      </c>
      <c r="AX8" s="233">
        <v>4732.2143233830202</v>
      </c>
      <c r="AY8" s="234">
        <v>5262.6649260700196</v>
      </c>
      <c r="AZ8" s="236"/>
      <c r="BA8" s="237" t="s">
        <v>71</v>
      </c>
      <c r="BB8" s="238" t="str">
        <f t="shared" si="5"/>
        <v>2015$</v>
      </c>
      <c r="BC8" s="233"/>
      <c r="BD8" s="233">
        <v>2412.3279268292699</v>
      </c>
      <c r="BE8" s="233">
        <v>2086.3818090452301</v>
      </c>
      <c r="BF8" s="233">
        <v>2698.0561926605501</v>
      </c>
      <c r="BG8" s="233">
        <v>2310.9753206002802</v>
      </c>
      <c r="BH8" s="233">
        <v>2332.0783975747399</v>
      </c>
      <c r="BI8" s="234">
        <v>1891.6428018076101</v>
      </c>
      <c r="BJ8" s="236"/>
      <c r="BK8" s="237" t="s">
        <v>71</v>
      </c>
      <c r="BL8" s="238" t="str">
        <f t="shared" si="6"/>
        <v>2015$</v>
      </c>
      <c r="BM8" s="233"/>
      <c r="BN8" s="233">
        <v>4440.5476479258596</v>
      </c>
      <c r="BO8" s="233">
        <v>3065.95173259494</v>
      </c>
      <c r="BP8" s="233">
        <v>2909.62247263361</v>
      </c>
      <c r="BQ8" s="233">
        <v>2708.7549765990698</v>
      </c>
      <c r="BR8" s="233">
        <v>2553.5618875502</v>
      </c>
      <c r="BS8" s="234">
        <v>3821.84135460993</v>
      </c>
      <c r="BT8" s="236"/>
    </row>
    <row r="9" spans="2:72" s="239" customFormat="1" ht="15">
      <c r="B9" s="236"/>
      <c r="C9" s="237" t="s">
        <v>72</v>
      </c>
      <c r="D9" s="238" t="str">
        <f t="shared" si="0"/>
        <v>2015$</v>
      </c>
      <c r="E9" s="233"/>
      <c r="F9" s="233"/>
      <c r="G9" s="233">
        <v>5913.9848519736797</v>
      </c>
      <c r="H9" s="233">
        <v>5056.6307106598897</v>
      </c>
      <c r="I9" s="233">
        <v>5622.5439436619699</v>
      </c>
      <c r="J9" s="233">
        <v>6430.7128342618098</v>
      </c>
      <c r="K9" s="234">
        <v>7267.0659445983601</v>
      </c>
      <c r="L9" s="236"/>
      <c r="M9" s="237" t="s">
        <v>72</v>
      </c>
      <c r="N9" s="238" t="str">
        <f t="shared" si="1"/>
        <v>2015$</v>
      </c>
      <c r="O9" s="233"/>
      <c r="P9" s="233"/>
      <c r="Q9" s="233">
        <f t="shared" ref="Q9" si="8">Q8</f>
        <v>1710.433331</v>
      </c>
      <c r="R9" s="233">
        <f t="shared" ref="R9" si="9">R8</f>
        <v>1729.822977</v>
      </c>
      <c r="S9" s="233">
        <f t="shared" ref="S9" si="10">S8</f>
        <v>1753.7208619999999</v>
      </c>
      <c r="T9" s="233">
        <f t="shared" ref="T9" si="11">T8</f>
        <v>1779.9263209999999</v>
      </c>
      <c r="U9" s="233">
        <f t="shared" ref="U9" si="12">U8</f>
        <v>1854.510309</v>
      </c>
      <c r="V9" s="236"/>
      <c r="W9" s="237" t="s">
        <v>72</v>
      </c>
      <c r="X9" s="238" t="str">
        <f t="shared" si="2"/>
        <v>2015$</v>
      </c>
      <c r="Y9" s="233"/>
      <c r="Z9" s="233"/>
      <c r="AA9" s="233">
        <v>1653.7706351080201</v>
      </c>
      <c r="AB9" s="233">
        <v>1642.5726172529201</v>
      </c>
      <c r="AC9" s="233">
        <v>1956.1763667180101</v>
      </c>
      <c r="AD9" s="233">
        <v>2337.7572863462001</v>
      </c>
      <c r="AE9" s="234">
        <v>3332.3279476880298</v>
      </c>
      <c r="AF9" s="236"/>
      <c r="AG9" s="237" t="s">
        <v>72</v>
      </c>
      <c r="AH9" s="238" t="str">
        <f t="shared" si="3"/>
        <v>2015$</v>
      </c>
      <c r="AI9" s="233"/>
      <c r="AJ9" s="233"/>
      <c r="AK9" s="233">
        <v>4683.5939985744699</v>
      </c>
      <c r="AL9" s="233">
        <v>3889.3280650994502</v>
      </c>
      <c r="AM9" s="233">
        <v>3850.15970260222</v>
      </c>
      <c r="AN9" s="233">
        <v>4270.3221718756804</v>
      </c>
      <c r="AO9" s="234">
        <v>3807.3938091960199</v>
      </c>
      <c r="AP9" s="236"/>
      <c r="AQ9" s="237" t="s">
        <v>72</v>
      </c>
      <c r="AR9" s="238" t="str">
        <f t="shared" si="4"/>
        <v>2015$</v>
      </c>
      <c r="AS9" s="233"/>
      <c r="AT9" s="233"/>
      <c r="AU9" s="233">
        <v>4044.0937962154298</v>
      </c>
      <c r="AV9" s="233">
        <v>2795.4998600645899</v>
      </c>
      <c r="AW9" s="233">
        <v>3017.4992759051102</v>
      </c>
      <c r="AX9" s="233">
        <v>4732.2143233830202</v>
      </c>
      <c r="AY9" s="234">
        <v>5262.6649260700196</v>
      </c>
      <c r="AZ9" s="236"/>
      <c r="BA9" s="237" t="s">
        <v>72</v>
      </c>
      <c r="BB9" s="238" t="str">
        <f t="shared" si="5"/>
        <v>2015$</v>
      </c>
      <c r="BC9" s="233"/>
      <c r="BD9" s="233"/>
      <c r="BE9" s="233">
        <v>2408.50867805187</v>
      </c>
      <c r="BF9" s="233">
        <v>2698.0561926605501</v>
      </c>
      <c r="BG9" s="233">
        <v>2310.9753206002802</v>
      </c>
      <c r="BH9" s="233">
        <v>2332.0783975747399</v>
      </c>
      <c r="BI9" s="234">
        <v>1891.6428018076101</v>
      </c>
      <c r="BJ9" s="236"/>
      <c r="BK9" s="237" t="s">
        <v>72</v>
      </c>
      <c r="BL9" s="238" t="str">
        <f t="shared" si="6"/>
        <v>2015$</v>
      </c>
      <c r="BM9" s="233"/>
      <c r="BN9" s="233"/>
      <c r="BO9" s="233">
        <v>4362.5751022783998</v>
      </c>
      <c r="BP9" s="233">
        <v>2909.62247263361</v>
      </c>
      <c r="BQ9" s="233">
        <v>2708.7549765990698</v>
      </c>
      <c r="BR9" s="233">
        <v>2553.5618875502</v>
      </c>
      <c r="BS9" s="234">
        <v>3821.84135460993</v>
      </c>
      <c r="BT9" s="236"/>
    </row>
    <row r="10" spans="2:72" s="239" customFormat="1" ht="15">
      <c r="B10" s="236"/>
      <c r="C10" s="237" t="s">
        <v>73</v>
      </c>
      <c r="D10" s="238" t="str">
        <f t="shared" si="0"/>
        <v>2015$</v>
      </c>
      <c r="E10" s="233"/>
      <c r="F10" s="233"/>
      <c r="G10" s="233"/>
      <c r="H10" s="233">
        <v>6112.3664347825998</v>
      </c>
      <c r="I10" s="233">
        <v>5622.5439436619699</v>
      </c>
      <c r="J10" s="233">
        <v>6430.7128342618098</v>
      </c>
      <c r="K10" s="234">
        <v>7267.0659445983601</v>
      </c>
      <c r="L10" s="236"/>
      <c r="M10" s="237" t="s">
        <v>73</v>
      </c>
      <c r="N10" s="238" t="str">
        <f t="shared" si="1"/>
        <v>2015$</v>
      </c>
      <c r="O10" s="233"/>
      <c r="P10" s="233"/>
      <c r="Q10" s="233"/>
      <c r="R10" s="233">
        <f t="shared" ref="R10" si="13">R9</f>
        <v>1729.822977</v>
      </c>
      <c r="S10" s="233">
        <f t="shared" ref="S10" si="14">S9</f>
        <v>1753.7208619999999</v>
      </c>
      <c r="T10" s="233">
        <f t="shared" ref="T10" si="15">T9</f>
        <v>1779.9263209999999</v>
      </c>
      <c r="U10" s="233">
        <f t="shared" ref="U10" si="16">U9</f>
        <v>1854.510309</v>
      </c>
      <c r="V10" s="236"/>
      <c r="W10" s="237" t="s">
        <v>73</v>
      </c>
      <c r="X10" s="238" t="str">
        <f t="shared" si="2"/>
        <v>2015$</v>
      </c>
      <c r="Y10" s="233"/>
      <c r="Z10" s="233"/>
      <c r="AA10" s="233"/>
      <c r="AB10" s="233">
        <v>1722.2864886269399</v>
      </c>
      <c r="AC10" s="233">
        <v>1956.1763667180101</v>
      </c>
      <c r="AD10" s="233">
        <v>2337.7572863462001</v>
      </c>
      <c r="AE10" s="234">
        <v>3332.3279476880298</v>
      </c>
      <c r="AF10" s="236"/>
      <c r="AG10" s="237" t="s">
        <v>73</v>
      </c>
      <c r="AH10" s="238" t="str">
        <f t="shared" si="3"/>
        <v>2015$</v>
      </c>
      <c r="AI10" s="233"/>
      <c r="AJ10" s="233"/>
      <c r="AK10" s="233"/>
      <c r="AL10" s="233">
        <v>4441.5951654045402</v>
      </c>
      <c r="AM10" s="233">
        <v>3850.15970260222</v>
      </c>
      <c r="AN10" s="233">
        <v>4270.3221718756804</v>
      </c>
      <c r="AO10" s="234">
        <v>3807.3938091960199</v>
      </c>
      <c r="AP10" s="236"/>
      <c r="AQ10" s="237" t="s">
        <v>73</v>
      </c>
      <c r="AR10" s="238" t="str">
        <f t="shared" si="4"/>
        <v>2015$</v>
      </c>
      <c r="AS10" s="233"/>
      <c r="AT10" s="233"/>
      <c r="AU10" s="233"/>
      <c r="AV10" s="233">
        <v>4049.3739963336302</v>
      </c>
      <c r="AW10" s="233">
        <v>3017.4992759051102</v>
      </c>
      <c r="AX10" s="233">
        <v>4732.2143233830202</v>
      </c>
      <c r="AY10" s="234">
        <v>5262.6649260700196</v>
      </c>
      <c r="AZ10" s="236"/>
      <c r="BA10" s="237" t="s">
        <v>73</v>
      </c>
      <c r="BB10" s="238" t="str">
        <f t="shared" si="5"/>
        <v>2015$</v>
      </c>
      <c r="BC10" s="233"/>
      <c r="BD10" s="233"/>
      <c r="BE10" s="233"/>
      <c r="BF10" s="233">
        <v>2744.2655167785201</v>
      </c>
      <c r="BG10" s="233">
        <v>2310.9753206002802</v>
      </c>
      <c r="BH10" s="233">
        <v>2332.0783975747399</v>
      </c>
      <c r="BI10" s="234">
        <v>1891.6428018076101</v>
      </c>
      <c r="BJ10" s="236"/>
      <c r="BK10" s="237" t="s">
        <v>73</v>
      </c>
      <c r="BL10" s="238" t="str">
        <f t="shared" si="6"/>
        <v>2015$</v>
      </c>
      <c r="BM10" s="233"/>
      <c r="BN10" s="233"/>
      <c r="BO10" s="233"/>
      <c r="BP10" s="233">
        <v>4290.70518371661</v>
      </c>
      <c r="BQ10" s="233">
        <v>2708.7549765990698</v>
      </c>
      <c r="BR10" s="233">
        <v>2553.5618875502</v>
      </c>
      <c r="BS10" s="234">
        <v>3821.84135460993</v>
      </c>
      <c r="BT10" s="236"/>
    </row>
    <row r="11" spans="2:72" s="239" customFormat="1" ht="15">
      <c r="B11" s="236"/>
      <c r="C11" s="237" t="s">
        <v>74</v>
      </c>
      <c r="D11" s="238" t="str">
        <f t="shared" si="0"/>
        <v>2015$</v>
      </c>
      <c r="E11" s="233"/>
      <c r="F11" s="233"/>
      <c r="G11" s="233"/>
      <c r="H11" s="233"/>
      <c r="I11" s="233">
        <v>6277.4150413223097</v>
      </c>
      <c r="J11" s="233">
        <v>6430.7128342618098</v>
      </c>
      <c r="K11" s="234">
        <v>7267.0659445983601</v>
      </c>
      <c r="L11" s="236"/>
      <c r="M11" s="237" t="s">
        <v>74</v>
      </c>
      <c r="N11" s="238" t="str">
        <f t="shared" si="1"/>
        <v>2015$</v>
      </c>
      <c r="O11" s="233"/>
      <c r="P11" s="233"/>
      <c r="Q11" s="233"/>
      <c r="R11" s="233"/>
      <c r="S11" s="233">
        <f t="shared" ref="S11" si="17">S10</f>
        <v>1753.7208619999999</v>
      </c>
      <c r="T11" s="233">
        <f t="shared" ref="T11" si="18">T10</f>
        <v>1779.9263209999999</v>
      </c>
      <c r="U11" s="233">
        <f t="shared" ref="U11" si="19">U10</f>
        <v>1854.510309</v>
      </c>
      <c r="V11" s="236"/>
      <c r="W11" s="237" t="s">
        <v>74</v>
      </c>
      <c r="X11" s="238" t="str">
        <f t="shared" si="2"/>
        <v>2015$</v>
      </c>
      <c r="Y11" s="233"/>
      <c r="Z11" s="233"/>
      <c r="AA11" s="233"/>
      <c r="AB11" s="233"/>
      <c r="AC11" s="233">
        <v>1852.3551028077</v>
      </c>
      <c r="AD11" s="233">
        <v>2337.7572863462001</v>
      </c>
      <c r="AE11" s="234">
        <v>3332.3279476880298</v>
      </c>
      <c r="AF11" s="236"/>
      <c r="AG11" s="237" t="s">
        <v>74</v>
      </c>
      <c r="AH11" s="238" t="str">
        <f t="shared" si="3"/>
        <v>2015$</v>
      </c>
      <c r="AI11" s="233"/>
      <c r="AJ11" s="233"/>
      <c r="AK11" s="233"/>
      <c r="AL11" s="233"/>
      <c r="AM11" s="233">
        <v>4295.2492463570097</v>
      </c>
      <c r="AN11" s="233">
        <v>4270.3221718756804</v>
      </c>
      <c r="AO11" s="234">
        <v>3807.3938091960199</v>
      </c>
      <c r="AP11" s="236"/>
      <c r="AQ11" s="237" t="s">
        <v>74</v>
      </c>
      <c r="AR11" s="238" t="str">
        <f t="shared" si="4"/>
        <v>2015$</v>
      </c>
      <c r="AS11" s="233"/>
      <c r="AT11" s="233"/>
      <c r="AU11" s="233"/>
      <c r="AV11" s="233"/>
      <c r="AW11" s="233">
        <v>4136.10554695062</v>
      </c>
      <c r="AX11" s="233">
        <v>4732.2143233830202</v>
      </c>
      <c r="AY11" s="234">
        <v>5262.6649260700196</v>
      </c>
      <c r="AZ11" s="236"/>
      <c r="BA11" s="237" t="s">
        <v>74</v>
      </c>
      <c r="BB11" s="238" t="str">
        <f t="shared" si="5"/>
        <v>2015$</v>
      </c>
      <c r="BC11" s="233"/>
      <c r="BD11" s="233"/>
      <c r="BE11" s="233"/>
      <c r="BF11" s="233"/>
      <c r="BG11" s="233">
        <v>2828.25997978436</v>
      </c>
      <c r="BH11" s="233">
        <v>2332.0783975747399</v>
      </c>
      <c r="BI11" s="234">
        <v>1891.6428018076101</v>
      </c>
      <c r="BJ11" s="236"/>
      <c r="BK11" s="237" t="s">
        <v>74</v>
      </c>
      <c r="BL11" s="238" t="str">
        <f t="shared" si="6"/>
        <v>2015$</v>
      </c>
      <c r="BM11" s="233"/>
      <c r="BN11" s="233"/>
      <c r="BO11" s="233"/>
      <c r="BP11" s="233"/>
      <c r="BQ11" s="233">
        <v>4220.2234292338298</v>
      </c>
      <c r="BR11" s="233">
        <v>2553.5618875502</v>
      </c>
      <c r="BS11" s="234">
        <v>3821.84135460993</v>
      </c>
      <c r="BT11" s="236"/>
    </row>
    <row r="12" spans="2:72" s="239" customFormat="1" ht="15">
      <c r="B12" s="236"/>
      <c r="C12" s="237" t="s">
        <v>75</v>
      </c>
      <c r="D12" s="238" t="str">
        <f t="shared" si="0"/>
        <v>2015$</v>
      </c>
      <c r="E12" s="233"/>
      <c r="F12" s="233"/>
      <c r="G12" s="233"/>
      <c r="H12" s="233"/>
      <c r="I12" s="233"/>
      <c r="J12" s="233">
        <v>6551.9977940593899</v>
      </c>
      <c r="K12" s="234">
        <v>7267.0659445983601</v>
      </c>
      <c r="L12" s="236"/>
      <c r="M12" s="237" t="s">
        <v>75</v>
      </c>
      <c r="N12" s="238" t="str">
        <f t="shared" si="1"/>
        <v>2015$</v>
      </c>
      <c r="O12" s="233"/>
      <c r="P12" s="233"/>
      <c r="Q12" s="233"/>
      <c r="R12" s="233"/>
      <c r="S12" s="233"/>
      <c r="T12" s="233">
        <f t="shared" ref="T12" si="20">T11</f>
        <v>1779.9263209999999</v>
      </c>
      <c r="U12" s="233">
        <f t="shared" ref="U12:U13" si="21">U11</f>
        <v>1854.510309</v>
      </c>
      <c r="V12" s="236"/>
      <c r="W12" s="237" t="s">
        <v>75</v>
      </c>
      <c r="X12" s="238" t="str">
        <f t="shared" si="2"/>
        <v>2015$</v>
      </c>
      <c r="Y12" s="233"/>
      <c r="Z12" s="233"/>
      <c r="AA12" s="233"/>
      <c r="AB12" s="233"/>
      <c r="AC12" s="233"/>
      <c r="AD12" s="233">
        <v>2154.9125241215802</v>
      </c>
      <c r="AE12" s="234">
        <v>3332.3279476880298</v>
      </c>
      <c r="AF12" s="236"/>
      <c r="AG12" s="237" t="s">
        <v>75</v>
      </c>
      <c r="AH12" s="238" t="str">
        <f t="shared" si="3"/>
        <v>2015$</v>
      </c>
      <c r="AI12" s="233"/>
      <c r="AJ12" s="233"/>
      <c r="AK12" s="233"/>
      <c r="AL12" s="233"/>
      <c r="AM12" s="233"/>
      <c r="AN12" s="233">
        <v>4302.6824232711597</v>
      </c>
      <c r="AO12" s="234">
        <v>3807.3938091960199</v>
      </c>
      <c r="AP12" s="236"/>
      <c r="AQ12" s="237" t="s">
        <v>75</v>
      </c>
      <c r="AR12" s="238" t="str">
        <f t="shared" si="4"/>
        <v>2015$</v>
      </c>
      <c r="AS12" s="233"/>
      <c r="AT12" s="233"/>
      <c r="AU12" s="233"/>
      <c r="AV12" s="233"/>
      <c r="AW12" s="233"/>
      <c r="AX12" s="233">
        <v>4514.6802118466803</v>
      </c>
      <c r="AY12" s="234">
        <v>5262.6649260700196</v>
      </c>
      <c r="AZ12" s="236"/>
      <c r="BA12" s="237" t="s">
        <v>75</v>
      </c>
      <c r="BB12" s="238" t="str">
        <f t="shared" si="5"/>
        <v>2015$</v>
      </c>
      <c r="BC12" s="233"/>
      <c r="BD12" s="233"/>
      <c r="BE12" s="233"/>
      <c r="BF12" s="233"/>
      <c r="BG12" s="233"/>
      <c r="BH12" s="233">
        <v>2787.7943680121398</v>
      </c>
      <c r="BI12" s="234">
        <v>1891.6428018076101</v>
      </c>
      <c r="BJ12" s="236"/>
      <c r="BK12" s="237" t="s">
        <v>75</v>
      </c>
      <c r="BL12" s="238" t="str">
        <f t="shared" si="6"/>
        <v>2015$</v>
      </c>
      <c r="BM12" s="233"/>
      <c r="BN12" s="233"/>
      <c r="BO12" s="233"/>
      <c r="BP12" s="233"/>
      <c r="BQ12" s="233"/>
      <c r="BR12" s="233">
        <v>3824.0208259036499</v>
      </c>
      <c r="BS12" s="234">
        <v>3821.84135460993</v>
      </c>
      <c r="BT12" s="236"/>
    </row>
    <row r="13" spans="2:72" s="239" customFormat="1" ht="15">
      <c r="B13" s="236"/>
      <c r="C13" s="237" t="s">
        <v>76</v>
      </c>
      <c r="D13" s="238" t="str">
        <f t="shared" si="0"/>
        <v>2015$</v>
      </c>
      <c r="E13" s="233"/>
      <c r="F13" s="233"/>
      <c r="G13" s="233"/>
      <c r="H13" s="233"/>
      <c r="I13" s="233"/>
      <c r="J13" s="233"/>
      <c r="K13" s="234">
        <v>7255.0204018475797</v>
      </c>
      <c r="L13" s="236"/>
      <c r="M13" s="237" t="s">
        <v>76</v>
      </c>
      <c r="N13" s="238" t="str">
        <f t="shared" si="1"/>
        <v>2015$</v>
      </c>
      <c r="O13" s="233"/>
      <c r="P13" s="233"/>
      <c r="Q13" s="233"/>
      <c r="R13" s="233"/>
      <c r="S13" s="233"/>
      <c r="T13" s="233"/>
      <c r="U13" s="233">
        <f t="shared" si="21"/>
        <v>1854.510309</v>
      </c>
      <c r="V13" s="236"/>
      <c r="W13" s="237" t="s">
        <v>76</v>
      </c>
      <c r="X13" s="238" t="str">
        <f t="shared" si="2"/>
        <v>2015$</v>
      </c>
      <c r="Y13" s="233"/>
      <c r="Z13" s="233"/>
      <c r="AA13" s="233"/>
      <c r="AB13" s="233"/>
      <c r="AC13" s="233"/>
      <c r="AD13" s="233"/>
      <c r="AE13" s="234">
        <v>2676.6487480575101</v>
      </c>
      <c r="AF13" s="236"/>
      <c r="AG13" s="237" t="s">
        <v>76</v>
      </c>
      <c r="AH13" s="238" t="str">
        <f t="shared" si="3"/>
        <v>2015$</v>
      </c>
      <c r="AI13" s="233"/>
      <c r="AJ13" s="233"/>
      <c r="AK13" s="233"/>
      <c r="AL13" s="233"/>
      <c r="AM13" s="233"/>
      <c r="AN13" s="233"/>
      <c r="AO13" s="234">
        <v>4322.5284968976603</v>
      </c>
      <c r="AP13" s="236"/>
      <c r="AQ13" s="237" t="s">
        <v>76</v>
      </c>
      <c r="AR13" s="238" t="str">
        <f t="shared" si="4"/>
        <v>2015$</v>
      </c>
      <c r="AS13" s="233"/>
      <c r="AT13" s="233"/>
      <c r="AU13" s="233"/>
      <c r="AV13" s="233"/>
      <c r="AW13" s="233"/>
      <c r="AX13" s="233"/>
      <c r="AY13" s="234">
        <v>5181.5610567375898</v>
      </c>
      <c r="AZ13" s="236"/>
      <c r="BA13" s="237" t="s">
        <v>76</v>
      </c>
      <c r="BB13" s="238" t="str">
        <f t="shared" si="5"/>
        <v>2015$</v>
      </c>
      <c r="BC13" s="233"/>
      <c r="BD13" s="233"/>
      <c r="BE13" s="233"/>
      <c r="BF13" s="233"/>
      <c r="BG13" s="233"/>
      <c r="BH13" s="233"/>
      <c r="BI13" s="234">
        <v>3132.9583943744401</v>
      </c>
      <c r="BJ13" s="236"/>
      <c r="BK13" s="237" t="s">
        <v>76</v>
      </c>
      <c r="BL13" s="238" t="str">
        <f t="shared" si="6"/>
        <v>2015$</v>
      </c>
      <c r="BM13" s="233"/>
      <c r="BN13" s="233"/>
      <c r="BO13" s="233"/>
      <c r="BP13" s="233"/>
      <c r="BQ13" s="233"/>
      <c r="BR13" s="233"/>
      <c r="BS13" s="234">
        <v>4299.9331299200403</v>
      </c>
      <c r="BT13" s="236"/>
    </row>
    <row r="14" spans="2:72" s="239" customFormat="1" ht="15">
      <c r="B14" s="236"/>
      <c r="C14" s="240" t="s">
        <v>77</v>
      </c>
      <c r="D14" s="83"/>
      <c r="E14" s="83"/>
      <c r="F14" s="83"/>
      <c r="G14" s="83"/>
      <c r="H14" s="83"/>
      <c r="I14" s="83"/>
      <c r="J14" s="83"/>
      <c r="K14" s="235"/>
      <c r="L14" s="236"/>
      <c r="M14" s="240" t="s">
        <v>77</v>
      </c>
      <c r="N14" s="83"/>
      <c r="O14" s="83"/>
      <c r="P14" s="83"/>
      <c r="Q14" s="83"/>
      <c r="R14" s="83"/>
      <c r="S14" s="83"/>
      <c r="T14" s="83"/>
      <c r="U14" s="235"/>
      <c r="V14" s="236"/>
      <c r="W14" s="240" t="s">
        <v>77</v>
      </c>
      <c r="X14" s="83"/>
      <c r="Y14" s="83"/>
      <c r="Z14" s="83"/>
      <c r="AA14" s="83"/>
      <c r="AB14" s="83"/>
      <c r="AC14" s="83"/>
      <c r="AD14" s="83"/>
      <c r="AE14" s="235"/>
      <c r="AF14" s="236"/>
      <c r="AG14" s="240" t="s">
        <v>77</v>
      </c>
      <c r="AH14" s="83"/>
      <c r="AI14" s="83"/>
      <c r="AJ14" s="83"/>
      <c r="AK14" s="83"/>
      <c r="AL14" s="83"/>
      <c r="AM14" s="83"/>
      <c r="AN14" s="83"/>
      <c r="AO14" s="235"/>
      <c r="AP14" s="236"/>
      <c r="AQ14" s="240" t="s">
        <v>77</v>
      </c>
      <c r="AR14" s="83"/>
      <c r="AS14" s="83"/>
      <c r="AT14" s="83"/>
      <c r="AU14" s="83"/>
      <c r="AV14" s="83"/>
      <c r="AW14" s="83"/>
      <c r="AX14" s="83"/>
      <c r="AY14" s="235"/>
      <c r="AZ14" s="236"/>
      <c r="BA14" s="240" t="s">
        <v>77</v>
      </c>
      <c r="BB14" s="83"/>
      <c r="BC14" s="83"/>
      <c r="BD14" s="83"/>
      <c r="BE14" s="83"/>
      <c r="BF14" s="83"/>
      <c r="BG14" s="83"/>
      <c r="BH14" s="83"/>
      <c r="BI14" s="235"/>
      <c r="BJ14" s="236"/>
      <c r="BK14" s="240" t="s">
        <v>77</v>
      </c>
      <c r="BL14" s="83"/>
      <c r="BM14" s="83"/>
      <c r="BN14" s="83"/>
      <c r="BO14" s="83"/>
      <c r="BP14" s="83"/>
      <c r="BQ14" s="83"/>
      <c r="BR14" s="83"/>
      <c r="BS14" s="235"/>
      <c r="BT14" s="236"/>
    </row>
    <row r="15" spans="2:72" s="239" customFormat="1" ht="15">
      <c r="B15" s="236"/>
      <c r="C15" s="237" t="s">
        <v>70</v>
      </c>
      <c r="D15" s="238" t="str">
        <f t="shared" ref="D15:D21" si="22">_yearDol &amp; "$"</f>
        <v>2015$</v>
      </c>
      <c r="E15" s="233"/>
      <c r="F15" s="233"/>
      <c r="G15" s="233"/>
      <c r="H15" s="233"/>
      <c r="I15" s="233"/>
      <c r="J15" s="233"/>
      <c r="K15" s="234"/>
      <c r="L15" s="236"/>
      <c r="M15" s="237" t="s">
        <v>70</v>
      </c>
      <c r="N15" s="238" t="str">
        <f t="shared" ref="N15:N21" si="23">_yearDol &amp; "$"</f>
        <v>2015$</v>
      </c>
      <c r="O15" s="233"/>
      <c r="P15" s="233"/>
      <c r="Q15" s="233"/>
      <c r="R15" s="233"/>
      <c r="S15" s="233"/>
      <c r="T15" s="233"/>
      <c r="U15" s="234"/>
      <c r="V15" s="236"/>
      <c r="W15" s="237" t="s">
        <v>70</v>
      </c>
      <c r="X15" s="238" t="str">
        <f t="shared" ref="X15:X21" si="24">_yearDol &amp; "$"</f>
        <v>2015$</v>
      </c>
      <c r="Y15" s="233"/>
      <c r="Z15" s="233"/>
      <c r="AA15" s="233"/>
      <c r="AB15" s="233"/>
      <c r="AC15" s="233"/>
      <c r="AD15" s="233"/>
      <c r="AE15" s="234"/>
      <c r="AF15" s="236"/>
      <c r="AG15" s="237" t="s">
        <v>70</v>
      </c>
      <c r="AH15" s="238" t="str">
        <f t="shared" ref="AH15:AH21" si="25">_yearDol &amp; "$"</f>
        <v>2015$</v>
      </c>
      <c r="AI15" s="233"/>
      <c r="AJ15" s="233"/>
      <c r="AK15" s="233"/>
      <c r="AL15" s="233"/>
      <c r="AM15" s="233"/>
      <c r="AN15" s="233"/>
      <c r="AO15" s="234"/>
      <c r="AP15" s="236"/>
      <c r="AQ15" s="237" t="s">
        <v>70</v>
      </c>
      <c r="AR15" s="238" t="str">
        <f t="shared" ref="AR15:AR21" si="26">_yearDol &amp; "$"</f>
        <v>2015$</v>
      </c>
      <c r="AS15" s="233"/>
      <c r="AT15" s="233"/>
      <c r="AU15" s="233"/>
      <c r="AV15" s="233"/>
      <c r="AW15" s="233"/>
      <c r="AX15" s="233"/>
      <c r="AY15" s="234"/>
      <c r="AZ15" s="236"/>
      <c r="BA15" s="237" t="s">
        <v>70</v>
      </c>
      <c r="BB15" s="238" t="str">
        <f t="shared" ref="BB15:BB21" si="27">_yearDol &amp; "$"</f>
        <v>2015$</v>
      </c>
      <c r="BC15" s="233"/>
      <c r="BD15" s="233"/>
      <c r="BE15" s="233"/>
      <c r="BF15" s="233"/>
      <c r="BG15" s="233"/>
      <c r="BH15" s="233"/>
      <c r="BI15" s="234"/>
      <c r="BJ15" s="236"/>
      <c r="BK15" s="237" t="s">
        <v>70</v>
      </c>
      <c r="BL15" s="238" t="str">
        <f t="shared" ref="BL15:BL21" si="28">_yearDol &amp; "$"</f>
        <v>2015$</v>
      </c>
      <c r="BM15" s="233"/>
      <c r="BN15" s="233"/>
      <c r="BO15" s="233"/>
      <c r="BP15" s="233"/>
      <c r="BQ15" s="233"/>
      <c r="BR15" s="233"/>
      <c r="BS15" s="234"/>
      <c r="BT15" s="236"/>
    </row>
    <row r="16" spans="2:72" s="239" customFormat="1" ht="15">
      <c r="B16" s="236"/>
      <c r="C16" s="237" t="s">
        <v>71</v>
      </c>
      <c r="D16" s="238" t="str">
        <f t="shared" si="22"/>
        <v>2015$</v>
      </c>
      <c r="E16" s="233"/>
      <c r="F16" s="233"/>
      <c r="G16" s="233"/>
      <c r="H16" s="233"/>
      <c r="I16" s="233"/>
      <c r="J16" s="233"/>
      <c r="K16" s="234"/>
      <c r="L16" s="236"/>
      <c r="M16" s="237" t="s">
        <v>71</v>
      </c>
      <c r="N16" s="238" t="str">
        <f t="shared" si="23"/>
        <v>2015$</v>
      </c>
      <c r="O16" s="233"/>
      <c r="P16" s="233"/>
      <c r="Q16" s="233"/>
      <c r="R16" s="233"/>
      <c r="S16" s="233"/>
      <c r="T16" s="233"/>
      <c r="U16" s="234"/>
      <c r="V16" s="236"/>
      <c r="W16" s="237" t="s">
        <v>71</v>
      </c>
      <c r="X16" s="238" t="str">
        <f t="shared" si="24"/>
        <v>2015$</v>
      </c>
      <c r="Y16" s="233"/>
      <c r="Z16" s="233"/>
      <c r="AA16" s="233"/>
      <c r="AB16" s="233"/>
      <c r="AC16" s="233"/>
      <c r="AD16" s="233"/>
      <c r="AE16" s="234"/>
      <c r="AF16" s="236"/>
      <c r="AG16" s="237" t="s">
        <v>71</v>
      </c>
      <c r="AH16" s="238" t="str">
        <f t="shared" si="25"/>
        <v>2015$</v>
      </c>
      <c r="AI16" s="233"/>
      <c r="AJ16" s="233"/>
      <c r="AK16" s="233"/>
      <c r="AL16" s="233"/>
      <c r="AM16" s="233"/>
      <c r="AN16" s="233"/>
      <c r="AO16" s="234"/>
      <c r="AP16" s="236"/>
      <c r="AQ16" s="237" t="s">
        <v>71</v>
      </c>
      <c r="AR16" s="238" t="str">
        <f t="shared" si="26"/>
        <v>2015$</v>
      </c>
      <c r="AS16" s="233"/>
      <c r="AT16" s="233"/>
      <c r="AU16" s="233"/>
      <c r="AV16" s="233"/>
      <c r="AW16" s="233"/>
      <c r="AX16" s="233"/>
      <c r="AY16" s="234"/>
      <c r="AZ16" s="236"/>
      <c r="BA16" s="237" t="s">
        <v>71</v>
      </c>
      <c r="BB16" s="238" t="str">
        <f t="shared" si="27"/>
        <v>2015$</v>
      </c>
      <c r="BC16" s="233"/>
      <c r="BD16" s="233"/>
      <c r="BE16" s="233"/>
      <c r="BF16" s="233"/>
      <c r="BG16" s="233"/>
      <c r="BH16" s="233"/>
      <c r="BI16" s="234"/>
      <c r="BJ16" s="236"/>
      <c r="BK16" s="237" t="s">
        <v>71</v>
      </c>
      <c r="BL16" s="238" t="str">
        <f t="shared" si="28"/>
        <v>2015$</v>
      </c>
      <c r="BM16" s="233"/>
      <c r="BN16" s="233"/>
      <c r="BO16" s="233"/>
      <c r="BP16" s="233"/>
      <c r="BQ16" s="233"/>
      <c r="BR16" s="233"/>
      <c r="BS16" s="234"/>
      <c r="BT16" s="236"/>
    </row>
    <row r="17" spans="2:72" s="239" customFormat="1" ht="15">
      <c r="B17" s="236"/>
      <c r="C17" s="237" t="s">
        <v>72</v>
      </c>
      <c r="D17" s="238" t="str">
        <f t="shared" si="22"/>
        <v>2015$</v>
      </c>
      <c r="E17" s="233"/>
      <c r="F17" s="233"/>
      <c r="G17" s="233"/>
      <c r="H17" s="233"/>
      <c r="I17" s="233"/>
      <c r="J17" s="233"/>
      <c r="K17" s="234"/>
      <c r="L17" s="236"/>
      <c r="M17" s="237" t="s">
        <v>72</v>
      </c>
      <c r="N17" s="238" t="str">
        <f t="shared" si="23"/>
        <v>2015$</v>
      </c>
      <c r="O17" s="233"/>
      <c r="P17" s="233"/>
      <c r="Q17" s="233"/>
      <c r="R17" s="233"/>
      <c r="S17" s="233"/>
      <c r="T17" s="233"/>
      <c r="U17" s="234"/>
      <c r="V17" s="236"/>
      <c r="W17" s="237" t="s">
        <v>72</v>
      </c>
      <c r="X17" s="238" t="str">
        <f t="shared" si="24"/>
        <v>2015$</v>
      </c>
      <c r="Y17" s="233"/>
      <c r="Z17" s="233"/>
      <c r="AA17" s="233"/>
      <c r="AB17" s="233"/>
      <c r="AC17" s="233"/>
      <c r="AD17" s="233"/>
      <c r="AE17" s="234"/>
      <c r="AF17" s="236"/>
      <c r="AG17" s="237" t="s">
        <v>72</v>
      </c>
      <c r="AH17" s="238" t="str">
        <f t="shared" si="25"/>
        <v>2015$</v>
      </c>
      <c r="AI17" s="233"/>
      <c r="AJ17" s="233"/>
      <c r="AK17" s="233"/>
      <c r="AL17" s="233"/>
      <c r="AM17" s="233"/>
      <c r="AN17" s="233"/>
      <c r="AO17" s="234"/>
      <c r="AP17" s="236"/>
      <c r="AQ17" s="237" t="s">
        <v>72</v>
      </c>
      <c r="AR17" s="238" t="str">
        <f t="shared" si="26"/>
        <v>2015$</v>
      </c>
      <c r="AS17" s="233"/>
      <c r="AT17" s="233"/>
      <c r="AU17" s="233"/>
      <c r="AV17" s="233"/>
      <c r="AW17" s="233"/>
      <c r="AX17" s="233"/>
      <c r="AY17" s="234"/>
      <c r="AZ17" s="236"/>
      <c r="BA17" s="237" t="s">
        <v>72</v>
      </c>
      <c r="BB17" s="238" t="str">
        <f t="shared" si="27"/>
        <v>2015$</v>
      </c>
      <c r="BC17" s="233"/>
      <c r="BD17" s="233"/>
      <c r="BE17" s="233"/>
      <c r="BF17" s="233"/>
      <c r="BG17" s="233"/>
      <c r="BH17" s="233"/>
      <c r="BI17" s="234"/>
      <c r="BJ17" s="236"/>
      <c r="BK17" s="237" t="s">
        <v>72</v>
      </c>
      <c r="BL17" s="238" t="str">
        <f t="shared" si="28"/>
        <v>2015$</v>
      </c>
      <c r="BM17" s="233"/>
      <c r="BN17" s="233"/>
      <c r="BO17" s="233"/>
      <c r="BP17" s="233"/>
      <c r="BQ17" s="233"/>
      <c r="BR17" s="233"/>
      <c r="BS17" s="234"/>
      <c r="BT17" s="236"/>
    </row>
    <row r="18" spans="2:72" s="239" customFormat="1" ht="15">
      <c r="B18" s="236"/>
      <c r="C18" s="237" t="s">
        <v>73</v>
      </c>
      <c r="D18" s="238" t="str">
        <f t="shared" si="22"/>
        <v>2015$</v>
      </c>
      <c r="E18" s="233"/>
      <c r="F18" s="233"/>
      <c r="G18" s="233"/>
      <c r="H18" s="233"/>
      <c r="I18" s="233"/>
      <c r="J18" s="233"/>
      <c r="K18" s="234"/>
      <c r="L18" s="236"/>
      <c r="M18" s="237" t="s">
        <v>73</v>
      </c>
      <c r="N18" s="238" t="str">
        <f t="shared" si="23"/>
        <v>2015$</v>
      </c>
      <c r="O18" s="233"/>
      <c r="P18" s="233"/>
      <c r="Q18" s="233"/>
      <c r="R18" s="233"/>
      <c r="S18" s="233"/>
      <c r="T18" s="233"/>
      <c r="U18" s="234"/>
      <c r="V18" s="236"/>
      <c r="W18" s="237" t="s">
        <v>73</v>
      </c>
      <c r="X18" s="238" t="str">
        <f t="shared" si="24"/>
        <v>2015$</v>
      </c>
      <c r="Y18" s="233"/>
      <c r="Z18" s="233"/>
      <c r="AA18" s="233"/>
      <c r="AB18" s="233"/>
      <c r="AC18" s="233"/>
      <c r="AD18" s="233"/>
      <c r="AE18" s="234"/>
      <c r="AF18" s="236"/>
      <c r="AG18" s="237" t="s">
        <v>73</v>
      </c>
      <c r="AH18" s="238" t="str">
        <f t="shared" si="25"/>
        <v>2015$</v>
      </c>
      <c r="AI18" s="233"/>
      <c r="AJ18" s="233"/>
      <c r="AK18" s="233"/>
      <c r="AL18" s="233"/>
      <c r="AM18" s="233"/>
      <c r="AN18" s="233"/>
      <c r="AO18" s="234"/>
      <c r="AP18" s="236"/>
      <c r="AQ18" s="237" t="s">
        <v>73</v>
      </c>
      <c r="AR18" s="238" t="str">
        <f t="shared" si="26"/>
        <v>2015$</v>
      </c>
      <c r="AS18" s="233"/>
      <c r="AT18" s="233"/>
      <c r="AU18" s="233"/>
      <c r="AV18" s="233"/>
      <c r="AW18" s="233"/>
      <c r="AX18" s="233"/>
      <c r="AY18" s="234"/>
      <c r="AZ18" s="236"/>
      <c r="BA18" s="237" t="s">
        <v>73</v>
      </c>
      <c r="BB18" s="238" t="str">
        <f t="shared" si="27"/>
        <v>2015$</v>
      </c>
      <c r="BC18" s="233"/>
      <c r="BD18" s="233"/>
      <c r="BE18" s="233"/>
      <c r="BF18" s="233"/>
      <c r="BG18" s="233"/>
      <c r="BH18" s="233"/>
      <c r="BI18" s="234"/>
      <c r="BJ18" s="236"/>
      <c r="BK18" s="237" t="s">
        <v>73</v>
      </c>
      <c r="BL18" s="238" t="str">
        <f t="shared" si="28"/>
        <v>2015$</v>
      </c>
      <c r="BM18" s="233"/>
      <c r="BN18" s="233"/>
      <c r="BO18" s="233"/>
      <c r="BP18" s="233"/>
      <c r="BQ18" s="233"/>
      <c r="BR18" s="233"/>
      <c r="BS18" s="234"/>
      <c r="BT18" s="236"/>
    </row>
    <row r="19" spans="2:72" s="239" customFormat="1" ht="15">
      <c r="B19" s="236"/>
      <c r="C19" s="237" t="s">
        <v>74</v>
      </c>
      <c r="D19" s="238" t="str">
        <f t="shared" si="22"/>
        <v>2015$</v>
      </c>
      <c r="E19" s="233"/>
      <c r="F19" s="233"/>
      <c r="G19" s="233"/>
      <c r="H19" s="233"/>
      <c r="I19" s="233"/>
      <c r="J19" s="233"/>
      <c r="K19" s="234"/>
      <c r="L19" s="236"/>
      <c r="M19" s="237" t="s">
        <v>74</v>
      </c>
      <c r="N19" s="238" t="str">
        <f t="shared" si="23"/>
        <v>2015$</v>
      </c>
      <c r="O19" s="233"/>
      <c r="P19" s="233"/>
      <c r="Q19" s="233"/>
      <c r="R19" s="233"/>
      <c r="S19" s="233"/>
      <c r="T19" s="233"/>
      <c r="U19" s="234"/>
      <c r="V19" s="236"/>
      <c r="W19" s="237" t="s">
        <v>74</v>
      </c>
      <c r="X19" s="238" t="str">
        <f t="shared" si="24"/>
        <v>2015$</v>
      </c>
      <c r="Y19" s="233"/>
      <c r="Z19" s="233"/>
      <c r="AA19" s="233"/>
      <c r="AB19" s="233"/>
      <c r="AC19" s="233"/>
      <c r="AD19" s="233"/>
      <c r="AE19" s="234"/>
      <c r="AF19" s="236"/>
      <c r="AG19" s="237" t="s">
        <v>74</v>
      </c>
      <c r="AH19" s="238" t="str">
        <f t="shared" si="25"/>
        <v>2015$</v>
      </c>
      <c r="AI19" s="233"/>
      <c r="AJ19" s="233"/>
      <c r="AK19" s="233"/>
      <c r="AL19" s="233"/>
      <c r="AM19" s="233"/>
      <c r="AN19" s="233"/>
      <c r="AO19" s="234"/>
      <c r="AP19" s="236"/>
      <c r="AQ19" s="237" t="s">
        <v>74</v>
      </c>
      <c r="AR19" s="238" t="str">
        <f t="shared" si="26"/>
        <v>2015$</v>
      </c>
      <c r="AS19" s="233"/>
      <c r="AT19" s="233"/>
      <c r="AU19" s="233"/>
      <c r="AV19" s="233"/>
      <c r="AW19" s="233"/>
      <c r="AX19" s="233"/>
      <c r="AY19" s="234"/>
      <c r="AZ19" s="236"/>
      <c r="BA19" s="237" t="s">
        <v>74</v>
      </c>
      <c r="BB19" s="238" t="str">
        <f t="shared" si="27"/>
        <v>2015$</v>
      </c>
      <c r="BC19" s="233"/>
      <c r="BD19" s="233"/>
      <c r="BE19" s="233"/>
      <c r="BF19" s="233"/>
      <c r="BG19" s="233"/>
      <c r="BH19" s="233"/>
      <c r="BI19" s="234"/>
      <c r="BJ19" s="236"/>
      <c r="BK19" s="237" t="s">
        <v>74</v>
      </c>
      <c r="BL19" s="238" t="str">
        <f t="shared" si="28"/>
        <v>2015$</v>
      </c>
      <c r="BM19" s="233"/>
      <c r="BN19" s="233"/>
      <c r="BO19" s="233"/>
      <c r="BP19" s="233"/>
      <c r="BQ19" s="233"/>
      <c r="BR19" s="233"/>
      <c r="BS19" s="234"/>
      <c r="BT19" s="236"/>
    </row>
    <row r="20" spans="2:72" s="239" customFormat="1" ht="15">
      <c r="B20" s="236"/>
      <c r="C20" s="237" t="s">
        <v>75</v>
      </c>
      <c r="D20" s="238" t="str">
        <f t="shared" si="22"/>
        <v>2015$</v>
      </c>
      <c r="E20" s="233"/>
      <c r="F20" s="233"/>
      <c r="G20" s="233"/>
      <c r="H20" s="233"/>
      <c r="I20" s="233"/>
      <c r="J20" s="233"/>
      <c r="K20" s="234"/>
      <c r="L20" s="236"/>
      <c r="M20" s="237" t="s">
        <v>75</v>
      </c>
      <c r="N20" s="238" t="str">
        <f t="shared" si="23"/>
        <v>2015$</v>
      </c>
      <c r="O20" s="233"/>
      <c r="P20" s="233"/>
      <c r="Q20" s="233"/>
      <c r="R20" s="233"/>
      <c r="S20" s="233"/>
      <c r="T20" s="233"/>
      <c r="U20" s="234"/>
      <c r="V20" s="236"/>
      <c r="W20" s="237" t="s">
        <v>75</v>
      </c>
      <c r="X20" s="238" t="str">
        <f t="shared" si="24"/>
        <v>2015$</v>
      </c>
      <c r="Y20" s="233"/>
      <c r="Z20" s="233"/>
      <c r="AA20" s="233"/>
      <c r="AB20" s="233"/>
      <c r="AC20" s="233"/>
      <c r="AD20" s="233"/>
      <c r="AE20" s="234"/>
      <c r="AF20" s="236"/>
      <c r="AG20" s="237" t="s">
        <v>75</v>
      </c>
      <c r="AH20" s="238" t="str">
        <f t="shared" si="25"/>
        <v>2015$</v>
      </c>
      <c r="AI20" s="233"/>
      <c r="AJ20" s="233"/>
      <c r="AK20" s="233"/>
      <c r="AL20" s="233"/>
      <c r="AM20" s="233"/>
      <c r="AN20" s="233"/>
      <c r="AO20" s="234"/>
      <c r="AP20" s="236"/>
      <c r="AQ20" s="237" t="s">
        <v>75</v>
      </c>
      <c r="AR20" s="238" t="str">
        <f t="shared" si="26"/>
        <v>2015$</v>
      </c>
      <c r="AS20" s="233"/>
      <c r="AT20" s="233"/>
      <c r="AU20" s="233"/>
      <c r="AV20" s="233"/>
      <c r="AW20" s="233"/>
      <c r="AX20" s="233"/>
      <c r="AY20" s="234"/>
      <c r="AZ20" s="236"/>
      <c r="BA20" s="237" t="s">
        <v>75</v>
      </c>
      <c r="BB20" s="238" t="str">
        <f t="shared" si="27"/>
        <v>2015$</v>
      </c>
      <c r="BC20" s="233"/>
      <c r="BD20" s="233"/>
      <c r="BE20" s="233"/>
      <c r="BF20" s="233"/>
      <c r="BG20" s="233"/>
      <c r="BH20" s="233"/>
      <c r="BI20" s="234"/>
      <c r="BJ20" s="236"/>
      <c r="BK20" s="237" t="s">
        <v>75</v>
      </c>
      <c r="BL20" s="238" t="str">
        <f t="shared" si="28"/>
        <v>2015$</v>
      </c>
      <c r="BM20" s="233"/>
      <c r="BN20" s="233"/>
      <c r="BO20" s="233"/>
      <c r="BP20" s="233"/>
      <c r="BQ20" s="233"/>
      <c r="BR20" s="233"/>
      <c r="BS20" s="234"/>
      <c r="BT20" s="236"/>
    </row>
    <row r="21" spans="2:72" s="239" customFormat="1" ht="15">
      <c r="B21" s="236"/>
      <c r="C21" s="237" t="s">
        <v>76</v>
      </c>
      <c r="D21" s="238" t="str">
        <f t="shared" si="22"/>
        <v>2015$</v>
      </c>
      <c r="E21" s="233"/>
      <c r="F21" s="233"/>
      <c r="G21" s="233"/>
      <c r="H21" s="233"/>
      <c r="I21" s="233"/>
      <c r="J21" s="233"/>
      <c r="K21" s="234"/>
      <c r="L21" s="236"/>
      <c r="M21" s="237" t="s">
        <v>76</v>
      </c>
      <c r="N21" s="238" t="str">
        <f t="shared" si="23"/>
        <v>2015$</v>
      </c>
      <c r="O21" s="233"/>
      <c r="P21" s="233"/>
      <c r="Q21" s="233"/>
      <c r="R21" s="233"/>
      <c r="S21" s="233"/>
      <c r="T21" s="233"/>
      <c r="U21" s="234"/>
      <c r="V21" s="236"/>
      <c r="W21" s="237" t="s">
        <v>76</v>
      </c>
      <c r="X21" s="238" t="str">
        <f t="shared" si="24"/>
        <v>2015$</v>
      </c>
      <c r="Y21" s="233"/>
      <c r="Z21" s="233"/>
      <c r="AA21" s="233"/>
      <c r="AB21" s="233"/>
      <c r="AC21" s="233"/>
      <c r="AD21" s="233"/>
      <c r="AE21" s="234"/>
      <c r="AF21" s="236"/>
      <c r="AG21" s="237" t="s">
        <v>76</v>
      </c>
      <c r="AH21" s="238" t="str">
        <f t="shared" si="25"/>
        <v>2015$</v>
      </c>
      <c r="AI21" s="233"/>
      <c r="AJ21" s="233"/>
      <c r="AK21" s="233"/>
      <c r="AL21" s="233"/>
      <c r="AM21" s="233"/>
      <c r="AN21" s="233"/>
      <c r="AO21" s="234"/>
      <c r="AP21" s="236"/>
      <c r="AQ21" s="237" t="s">
        <v>76</v>
      </c>
      <c r="AR21" s="238" t="str">
        <f t="shared" si="26"/>
        <v>2015$</v>
      </c>
      <c r="AS21" s="233"/>
      <c r="AT21" s="233"/>
      <c r="AU21" s="233"/>
      <c r="AV21" s="233"/>
      <c r="AW21" s="233"/>
      <c r="AX21" s="233"/>
      <c r="AY21" s="234"/>
      <c r="AZ21" s="236"/>
      <c r="BA21" s="237" t="s">
        <v>76</v>
      </c>
      <c r="BB21" s="238" t="str">
        <f t="shared" si="27"/>
        <v>2015$</v>
      </c>
      <c r="BC21" s="233"/>
      <c r="BD21" s="233"/>
      <c r="BE21" s="233"/>
      <c r="BF21" s="233"/>
      <c r="BG21" s="233"/>
      <c r="BH21" s="233"/>
      <c r="BI21" s="234"/>
      <c r="BJ21" s="236"/>
      <c r="BK21" s="237" t="s">
        <v>76</v>
      </c>
      <c r="BL21" s="238" t="str">
        <f t="shared" si="28"/>
        <v>2015$</v>
      </c>
      <c r="BM21" s="233"/>
      <c r="BN21" s="233"/>
      <c r="BO21" s="233"/>
      <c r="BP21" s="233"/>
      <c r="BQ21" s="233"/>
      <c r="BR21" s="233"/>
      <c r="BS21" s="234"/>
      <c r="BT21" s="236"/>
    </row>
    <row r="22" spans="2:72" s="239" customFormat="1" ht="15">
      <c r="B22" s="236"/>
      <c r="C22" s="240" t="s">
        <v>78</v>
      </c>
      <c r="D22" s="83"/>
      <c r="E22" s="83"/>
      <c r="F22" s="83"/>
      <c r="G22" s="83"/>
      <c r="H22" s="83"/>
      <c r="I22" s="83"/>
      <c r="J22" s="83"/>
      <c r="K22" s="235"/>
      <c r="L22" s="236"/>
      <c r="M22" s="240" t="s">
        <v>78</v>
      </c>
      <c r="N22" s="83"/>
      <c r="O22" s="83"/>
      <c r="P22" s="83"/>
      <c r="Q22" s="83"/>
      <c r="R22" s="83"/>
      <c r="S22" s="83"/>
      <c r="T22" s="83"/>
      <c r="U22" s="235"/>
      <c r="V22" s="236"/>
      <c r="W22" s="240" t="s">
        <v>78</v>
      </c>
      <c r="X22" s="83"/>
      <c r="Y22" s="83"/>
      <c r="Z22" s="83"/>
      <c r="AA22" s="83"/>
      <c r="AB22" s="83"/>
      <c r="AC22" s="83"/>
      <c r="AD22" s="83"/>
      <c r="AE22" s="235"/>
      <c r="AF22" s="236"/>
      <c r="AG22" s="240" t="s">
        <v>78</v>
      </c>
      <c r="AH22" s="83"/>
      <c r="AI22" s="83"/>
      <c r="AJ22" s="83"/>
      <c r="AK22" s="83"/>
      <c r="AL22" s="83"/>
      <c r="AM22" s="83"/>
      <c r="AN22" s="83"/>
      <c r="AO22" s="235"/>
      <c r="AP22" s="236"/>
      <c r="AQ22" s="240" t="s">
        <v>78</v>
      </c>
      <c r="AR22" s="83"/>
      <c r="AS22" s="83"/>
      <c r="AT22" s="83"/>
      <c r="AU22" s="83"/>
      <c r="AV22" s="83"/>
      <c r="AW22" s="83"/>
      <c r="AX22" s="83"/>
      <c r="AY22" s="235"/>
      <c r="AZ22" s="236"/>
      <c r="BA22" s="240" t="s">
        <v>78</v>
      </c>
      <c r="BB22" s="83"/>
      <c r="BC22" s="83"/>
      <c r="BD22" s="83"/>
      <c r="BE22" s="83"/>
      <c r="BF22" s="83"/>
      <c r="BG22" s="83"/>
      <c r="BH22" s="83"/>
      <c r="BI22" s="235"/>
      <c r="BJ22" s="236"/>
      <c r="BK22" s="240" t="s">
        <v>78</v>
      </c>
      <c r="BL22" s="83"/>
      <c r="BM22" s="83"/>
      <c r="BN22" s="83"/>
      <c r="BO22" s="83"/>
      <c r="BP22" s="83"/>
      <c r="BQ22" s="83"/>
      <c r="BR22" s="83"/>
      <c r="BS22" s="235"/>
      <c r="BT22" s="236"/>
    </row>
    <row r="23" spans="2:72" s="239" customFormat="1" ht="15">
      <c r="B23" s="236"/>
      <c r="C23" s="237" t="s">
        <v>70</v>
      </c>
      <c r="D23" s="238" t="str">
        <f t="shared" ref="D23:D29" si="29">_yearDol &amp; "$"</f>
        <v>2015$</v>
      </c>
      <c r="E23" s="83"/>
      <c r="F23" s="83"/>
      <c r="G23" s="83"/>
      <c r="H23" s="83"/>
      <c r="I23" s="83"/>
      <c r="J23" s="83"/>
      <c r="K23" s="235"/>
      <c r="L23" s="236"/>
      <c r="M23" s="237" t="s">
        <v>70</v>
      </c>
      <c r="N23" s="238" t="str">
        <f t="shared" ref="N23:N29" si="30">_yearDol &amp; "$"</f>
        <v>2015$</v>
      </c>
      <c r="O23" s="83"/>
      <c r="P23" s="83"/>
      <c r="Q23" s="83"/>
      <c r="R23" s="83"/>
      <c r="S23" s="83"/>
      <c r="T23" s="83"/>
      <c r="U23" s="235"/>
      <c r="V23" s="236"/>
      <c r="W23" s="237" t="s">
        <v>70</v>
      </c>
      <c r="X23" s="238" t="str">
        <f t="shared" ref="X23:X29" si="31">_yearDol &amp; "$"</f>
        <v>2015$</v>
      </c>
      <c r="Y23" s="83"/>
      <c r="Z23" s="83"/>
      <c r="AA23" s="83"/>
      <c r="AB23" s="83"/>
      <c r="AC23" s="83"/>
      <c r="AD23" s="83"/>
      <c r="AE23" s="235"/>
      <c r="AF23" s="236"/>
      <c r="AG23" s="237" t="s">
        <v>70</v>
      </c>
      <c r="AH23" s="238" t="str">
        <f t="shared" ref="AH23:AH29" si="32">_yearDol &amp; "$"</f>
        <v>2015$</v>
      </c>
      <c r="AI23" s="83"/>
      <c r="AJ23" s="83"/>
      <c r="AK23" s="83"/>
      <c r="AL23" s="83"/>
      <c r="AM23" s="83"/>
      <c r="AN23" s="83"/>
      <c r="AO23" s="235"/>
      <c r="AP23" s="236"/>
      <c r="AQ23" s="237" t="s">
        <v>70</v>
      </c>
      <c r="AR23" s="238" t="str">
        <f t="shared" ref="AR23:AR29" si="33">_yearDol &amp; "$"</f>
        <v>2015$</v>
      </c>
      <c r="AS23" s="83"/>
      <c r="AT23" s="83"/>
      <c r="AU23" s="83"/>
      <c r="AV23" s="83"/>
      <c r="AW23" s="83"/>
      <c r="AX23" s="83"/>
      <c r="AY23" s="235"/>
      <c r="AZ23" s="236"/>
      <c r="BA23" s="237" t="s">
        <v>70</v>
      </c>
      <c r="BB23" s="238" t="str">
        <f t="shared" ref="BB23:BB29" si="34">_yearDol &amp; "$"</f>
        <v>2015$</v>
      </c>
      <c r="BC23" s="83"/>
      <c r="BD23" s="83"/>
      <c r="BE23" s="83"/>
      <c r="BF23" s="83"/>
      <c r="BG23" s="83"/>
      <c r="BH23" s="83"/>
      <c r="BI23" s="235"/>
      <c r="BJ23" s="236"/>
      <c r="BK23" s="237" t="s">
        <v>70</v>
      </c>
      <c r="BL23" s="238" t="str">
        <f t="shared" ref="BL23:BL29" si="35">_yearDol &amp; "$"</f>
        <v>2015$</v>
      </c>
      <c r="BM23" s="83"/>
      <c r="BN23" s="83"/>
      <c r="BO23" s="83"/>
      <c r="BP23" s="83"/>
      <c r="BQ23" s="83"/>
      <c r="BR23" s="83"/>
      <c r="BS23" s="235"/>
      <c r="BT23" s="236"/>
    </row>
    <row r="24" spans="2:72" s="239" customFormat="1" ht="15">
      <c r="B24" s="236"/>
      <c r="C24" s="237" t="s">
        <v>71</v>
      </c>
      <c r="D24" s="238" t="str">
        <f t="shared" si="29"/>
        <v>2015$</v>
      </c>
      <c r="E24" s="83"/>
      <c r="F24" s="83"/>
      <c r="G24" s="83"/>
      <c r="H24" s="83"/>
      <c r="I24" s="83"/>
      <c r="J24" s="83"/>
      <c r="K24" s="235"/>
      <c r="L24" s="236"/>
      <c r="M24" s="237" t="s">
        <v>71</v>
      </c>
      <c r="N24" s="238" t="str">
        <f t="shared" si="30"/>
        <v>2015$</v>
      </c>
      <c r="O24" s="83"/>
      <c r="P24" s="83"/>
      <c r="Q24" s="83"/>
      <c r="R24" s="83"/>
      <c r="S24" s="83"/>
      <c r="T24" s="83"/>
      <c r="U24" s="235"/>
      <c r="V24" s="236"/>
      <c r="W24" s="237" t="s">
        <v>71</v>
      </c>
      <c r="X24" s="238" t="str">
        <f t="shared" si="31"/>
        <v>2015$</v>
      </c>
      <c r="Y24" s="83"/>
      <c r="Z24" s="83"/>
      <c r="AA24" s="83"/>
      <c r="AB24" s="83"/>
      <c r="AC24" s="83"/>
      <c r="AD24" s="83"/>
      <c r="AE24" s="235"/>
      <c r="AF24" s="236"/>
      <c r="AG24" s="237" t="s">
        <v>71</v>
      </c>
      <c r="AH24" s="238" t="str">
        <f t="shared" si="32"/>
        <v>2015$</v>
      </c>
      <c r="AI24" s="83"/>
      <c r="AJ24" s="83"/>
      <c r="AK24" s="83"/>
      <c r="AL24" s="83"/>
      <c r="AM24" s="83"/>
      <c r="AN24" s="83"/>
      <c r="AO24" s="235"/>
      <c r="AP24" s="236"/>
      <c r="AQ24" s="237" t="s">
        <v>71</v>
      </c>
      <c r="AR24" s="238" t="str">
        <f t="shared" si="33"/>
        <v>2015$</v>
      </c>
      <c r="AS24" s="83"/>
      <c r="AT24" s="83"/>
      <c r="AU24" s="83"/>
      <c r="AV24" s="83"/>
      <c r="AW24" s="83"/>
      <c r="AX24" s="83"/>
      <c r="AY24" s="235"/>
      <c r="AZ24" s="236"/>
      <c r="BA24" s="237" t="s">
        <v>71</v>
      </c>
      <c r="BB24" s="238" t="str">
        <f t="shared" si="34"/>
        <v>2015$</v>
      </c>
      <c r="BC24" s="83"/>
      <c r="BD24" s="83"/>
      <c r="BE24" s="83"/>
      <c r="BF24" s="83"/>
      <c r="BG24" s="83"/>
      <c r="BH24" s="83"/>
      <c r="BI24" s="235"/>
      <c r="BJ24" s="236"/>
      <c r="BK24" s="237" t="s">
        <v>71</v>
      </c>
      <c r="BL24" s="238" t="str">
        <f t="shared" si="35"/>
        <v>2015$</v>
      </c>
      <c r="BM24" s="83"/>
      <c r="BN24" s="83"/>
      <c r="BO24" s="83"/>
      <c r="BP24" s="83"/>
      <c r="BQ24" s="83"/>
      <c r="BR24" s="83"/>
      <c r="BS24" s="235"/>
      <c r="BT24" s="236"/>
    </row>
    <row r="25" spans="2:72" s="239" customFormat="1" ht="15">
      <c r="B25" s="236"/>
      <c r="C25" s="237" t="s">
        <v>72</v>
      </c>
      <c r="D25" s="238" t="str">
        <f t="shared" si="29"/>
        <v>2015$</v>
      </c>
      <c r="E25" s="83"/>
      <c r="F25" s="83"/>
      <c r="G25" s="83"/>
      <c r="H25" s="83"/>
      <c r="I25" s="83"/>
      <c r="J25" s="83"/>
      <c r="K25" s="235"/>
      <c r="L25" s="236"/>
      <c r="M25" s="237" t="s">
        <v>72</v>
      </c>
      <c r="N25" s="238" t="str">
        <f t="shared" si="30"/>
        <v>2015$</v>
      </c>
      <c r="O25" s="83"/>
      <c r="P25" s="83"/>
      <c r="Q25" s="83"/>
      <c r="R25" s="83"/>
      <c r="S25" s="83"/>
      <c r="T25" s="83"/>
      <c r="U25" s="235"/>
      <c r="V25" s="236"/>
      <c r="W25" s="237" t="s">
        <v>72</v>
      </c>
      <c r="X25" s="238" t="str">
        <f t="shared" si="31"/>
        <v>2015$</v>
      </c>
      <c r="Y25" s="83"/>
      <c r="Z25" s="83"/>
      <c r="AA25" s="83"/>
      <c r="AB25" s="83"/>
      <c r="AC25" s="83"/>
      <c r="AD25" s="83"/>
      <c r="AE25" s="235"/>
      <c r="AF25" s="236"/>
      <c r="AG25" s="237" t="s">
        <v>72</v>
      </c>
      <c r="AH25" s="238" t="str">
        <f t="shared" si="32"/>
        <v>2015$</v>
      </c>
      <c r="AI25" s="83"/>
      <c r="AJ25" s="83"/>
      <c r="AK25" s="83"/>
      <c r="AL25" s="83"/>
      <c r="AM25" s="83"/>
      <c r="AN25" s="83"/>
      <c r="AO25" s="235"/>
      <c r="AP25" s="236"/>
      <c r="AQ25" s="237" t="s">
        <v>72</v>
      </c>
      <c r="AR25" s="238" t="str">
        <f t="shared" si="33"/>
        <v>2015$</v>
      </c>
      <c r="AS25" s="83"/>
      <c r="AT25" s="83"/>
      <c r="AU25" s="83"/>
      <c r="AV25" s="83"/>
      <c r="AW25" s="83"/>
      <c r="AX25" s="83"/>
      <c r="AY25" s="235"/>
      <c r="AZ25" s="236"/>
      <c r="BA25" s="237" t="s">
        <v>72</v>
      </c>
      <c r="BB25" s="238" t="str">
        <f t="shared" si="34"/>
        <v>2015$</v>
      </c>
      <c r="BC25" s="83"/>
      <c r="BD25" s="83"/>
      <c r="BE25" s="83"/>
      <c r="BF25" s="83"/>
      <c r="BG25" s="83"/>
      <c r="BH25" s="83"/>
      <c r="BI25" s="235"/>
      <c r="BJ25" s="236"/>
      <c r="BK25" s="237" t="s">
        <v>72</v>
      </c>
      <c r="BL25" s="238" t="str">
        <f t="shared" si="35"/>
        <v>2015$</v>
      </c>
      <c r="BM25" s="83"/>
      <c r="BN25" s="83"/>
      <c r="BO25" s="83"/>
      <c r="BP25" s="83"/>
      <c r="BQ25" s="83"/>
      <c r="BR25" s="83"/>
      <c r="BS25" s="235"/>
      <c r="BT25" s="236"/>
    </row>
    <row r="26" spans="2:72" s="239" customFormat="1" ht="15">
      <c r="B26" s="236"/>
      <c r="C26" s="237" t="s">
        <v>73</v>
      </c>
      <c r="D26" s="238" t="str">
        <f t="shared" si="29"/>
        <v>2015$</v>
      </c>
      <c r="E26" s="83"/>
      <c r="F26" s="83"/>
      <c r="G26" s="83"/>
      <c r="H26" s="83"/>
      <c r="I26" s="83"/>
      <c r="J26" s="83"/>
      <c r="K26" s="235"/>
      <c r="L26" s="236"/>
      <c r="M26" s="237" t="s">
        <v>73</v>
      </c>
      <c r="N26" s="238" t="str">
        <f t="shared" si="30"/>
        <v>2015$</v>
      </c>
      <c r="O26" s="83"/>
      <c r="P26" s="83"/>
      <c r="Q26" s="83"/>
      <c r="R26" s="83"/>
      <c r="S26" s="83"/>
      <c r="T26" s="83"/>
      <c r="U26" s="235"/>
      <c r="V26" s="236"/>
      <c r="W26" s="237" t="s">
        <v>73</v>
      </c>
      <c r="X26" s="238" t="str">
        <f t="shared" si="31"/>
        <v>2015$</v>
      </c>
      <c r="Y26" s="83"/>
      <c r="Z26" s="83"/>
      <c r="AA26" s="83"/>
      <c r="AB26" s="83"/>
      <c r="AC26" s="83"/>
      <c r="AD26" s="83"/>
      <c r="AE26" s="235"/>
      <c r="AF26" s="236"/>
      <c r="AG26" s="237" t="s">
        <v>73</v>
      </c>
      <c r="AH26" s="238" t="str">
        <f t="shared" si="32"/>
        <v>2015$</v>
      </c>
      <c r="AI26" s="83"/>
      <c r="AJ26" s="83"/>
      <c r="AK26" s="83"/>
      <c r="AL26" s="83"/>
      <c r="AM26" s="83"/>
      <c r="AN26" s="83"/>
      <c r="AO26" s="235"/>
      <c r="AP26" s="236"/>
      <c r="AQ26" s="237" t="s">
        <v>73</v>
      </c>
      <c r="AR26" s="238" t="str">
        <f t="shared" si="33"/>
        <v>2015$</v>
      </c>
      <c r="AS26" s="83"/>
      <c r="AT26" s="83"/>
      <c r="AU26" s="83"/>
      <c r="AV26" s="83"/>
      <c r="AW26" s="83"/>
      <c r="AX26" s="83"/>
      <c r="AY26" s="235"/>
      <c r="AZ26" s="236"/>
      <c r="BA26" s="237" t="s">
        <v>73</v>
      </c>
      <c r="BB26" s="238" t="str">
        <f t="shared" si="34"/>
        <v>2015$</v>
      </c>
      <c r="BC26" s="83"/>
      <c r="BD26" s="83"/>
      <c r="BE26" s="83"/>
      <c r="BF26" s="83"/>
      <c r="BG26" s="83"/>
      <c r="BH26" s="83"/>
      <c r="BI26" s="235"/>
      <c r="BJ26" s="236"/>
      <c r="BK26" s="237" t="s">
        <v>73</v>
      </c>
      <c r="BL26" s="238" t="str">
        <f t="shared" si="35"/>
        <v>2015$</v>
      </c>
      <c r="BM26" s="83"/>
      <c r="BN26" s="83"/>
      <c r="BO26" s="83"/>
      <c r="BP26" s="83"/>
      <c r="BQ26" s="83"/>
      <c r="BR26" s="83"/>
      <c r="BS26" s="235"/>
      <c r="BT26" s="236"/>
    </row>
    <row r="27" spans="2:72" s="239" customFormat="1" ht="15">
      <c r="B27" s="236"/>
      <c r="C27" s="237" t="s">
        <v>74</v>
      </c>
      <c r="D27" s="238" t="str">
        <f t="shared" si="29"/>
        <v>2015$</v>
      </c>
      <c r="E27" s="83"/>
      <c r="F27" s="83"/>
      <c r="G27" s="83"/>
      <c r="H27" s="83"/>
      <c r="I27" s="83"/>
      <c r="J27" s="83"/>
      <c r="K27" s="235"/>
      <c r="L27" s="236"/>
      <c r="M27" s="237" t="s">
        <v>74</v>
      </c>
      <c r="N27" s="238" t="str">
        <f t="shared" si="30"/>
        <v>2015$</v>
      </c>
      <c r="O27" s="83"/>
      <c r="P27" s="83"/>
      <c r="Q27" s="83"/>
      <c r="R27" s="83"/>
      <c r="S27" s="83"/>
      <c r="T27" s="83"/>
      <c r="U27" s="235"/>
      <c r="V27" s="236"/>
      <c r="W27" s="237" t="s">
        <v>74</v>
      </c>
      <c r="X27" s="238" t="str">
        <f t="shared" si="31"/>
        <v>2015$</v>
      </c>
      <c r="Y27" s="83"/>
      <c r="Z27" s="83"/>
      <c r="AA27" s="83"/>
      <c r="AB27" s="83"/>
      <c r="AC27" s="83"/>
      <c r="AD27" s="83"/>
      <c r="AE27" s="235"/>
      <c r="AF27" s="236"/>
      <c r="AG27" s="237" t="s">
        <v>74</v>
      </c>
      <c r="AH27" s="238" t="str">
        <f t="shared" si="32"/>
        <v>2015$</v>
      </c>
      <c r="AI27" s="83"/>
      <c r="AJ27" s="83"/>
      <c r="AK27" s="83"/>
      <c r="AL27" s="83"/>
      <c r="AM27" s="83"/>
      <c r="AN27" s="83"/>
      <c r="AO27" s="235"/>
      <c r="AP27" s="236"/>
      <c r="AQ27" s="237" t="s">
        <v>74</v>
      </c>
      <c r="AR27" s="238" t="str">
        <f t="shared" si="33"/>
        <v>2015$</v>
      </c>
      <c r="AS27" s="83"/>
      <c r="AT27" s="83"/>
      <c r="AU27" s="83"/>
      <c r="AV27" s="83"/>
      <c r="AW27" s="83"/>
      <c r="AX27" s="83"/>
      <c r="AY27" s="235"/>
      <c r="AZ27" s="236"/>
      <c r="BA27" s="237" t="s">
        <v>74</v>
      </c>
      <c r="BB27" s="238" t="str">
        <f t="shared" si="34"/>
        <v>2015$</v>
      </c>
      <c r="BC27" s="83"/>
      <c r="BD27" s="83"/>
      <c r="BE27" s="83"/>
      <c r="BF27" s="83"/>
      <c r="BG27" s="83"/>
      <c r="BH27" s="83"/>
      <c r="BI27" s="235"/>
      <c r="BJ27" s="236"/>
      <c r="BK27" s="237" t="s">
        <v>74</v>
      </c>
      <c r="BL27" s="238" t="str">
        <f t="shared" si="35"/>
        <v>2015$</v>
      </c>
      <c r="BM27" s="83"/>
      <c r="BN27" s="83"/>
      <c r="BO27" s="83"/>
      <c r="BP27" s="83"/>
      <c r="BQ27" s="83"/>
      <c r="BR27" s="83"/>
      <c r="BS27" s="235"/>
      <c r="BT27" s="236"/>
    </row>
    <row r="28" spans="2:72" s="239" customFormat="1" ht="15">
      <c r="B28" s="236"/>
      <c r="C28" s="237" t="s">
        <v>75</v>
      </c>
      <c r="D28" s="238" t="str">
        <f t="shared" si="29"/>
        <v>2015$</v>
      </c>
      <c r="E28" s="83"/>
      <c r="F28" s="83"/>
      <c r="G28" s="83"/>
      <c r="H28" s="83"/>
      <c r="I28" s="83"/>
      <c r="J28" s="83"/>
      <c r="K28" s="235"/>
      <c r="L28" s="236"/>
      <c r="M28" s="237" t="s">
        <v>75</v>
      </c>
      <c r="N28" s="238" t="str">
        <f t="shared" si="30"/>
        <v>2015$</v>
      </c>
      <c r="O28" s="83"/>
      <c r="P28" s="83"/>
      <c r="Q28" s="83"/>
      <c r="R28" s="83"/>
      <c r="S28" s="83"/>
      <c r="T28" s="83"/>
      <c r="U28" s="235"/>
      <c r="V28" s="236"/>
      <c r="W28" s="237" t="s">
        <v>75</v>
      </c>
      <c r="X28" s="238" t="str">
        <f t="shared" si="31"/>
        <v>2015$</v>
      </c>
      <c r="Y28" s="83"/>
      <c r="Z28" s="83"/>
      <c r="AA28" s="83"/>
      <c r="AB28" s="83"/>
      <c r="AC28" s="83"/>
      <c r="AD28" s="83"/>
      <c r="AE28" s="235"/>
      <c r="AF28" s="236"/>
      <c r="AG28" s="237" t="s">
        <v>75</v>
      </c>
      <c r="AH28" s="238" t="str">
        <f t="shared" si="32"/>
        <v>2015$</v>
      </c>
      <c r="AI28" s="83"/>
      <c r="AJ28" s="83"/>
      <c r="AK28" s="83"/>
      <c r="AL28" s="83"/>
      <c r="AM28" s="83"/>
      <c r="AN28" s="83"/>
      <c r="AO28" s="235"/>
      <c r="AP28" s="236"/>
      <c r="AQ28" s="237" t="s">
        <v>75</v>
      </c>
      <c r="AR28" s="238" t="str">
        <f t="shared" si="33"/>
        <v>2015$</v>
      </c>
      <c r="AS28" s="83"/>
      <c r="AT28" s="83"/>
      <c r="AU28" s="83"/>
      <c r="AV28" s="83"/>
      <c r="AW28" s="83"/>
      <c r="AX28" s="83"/>
      <c r="AY28" s="235"/>
      <c r="AZ28" s="236"/>
      <c r="BA28" s="237" t="s">
        <v>75</v>
      </c>
      <c r="BB28" s="238" t="str">
        <f t="shared" si="34"/>
        <v>2015$</v>
      </c>
      <c r="BC28" s="83"/>
      <c r="BD28" s="83"/>
      <c r="BE28" s="83"/>
      <c r="BF28" s="83"/>
      <c r="BG28" s="83"/>
      <c r="BH28" s="83"/>
      <c r="BI28" s="235"/>
      <c r="BJ28" s="236"/>
      <c r="BK28" s="237" t="s">
        <v>75</v>
      </c>
      <c r="BL28" s="238" t="str">
        <f t="shared" si="35"/>
        <v>2015$</v>
      </c>
      <c r="BM28" s="83"/>
      <c r="BN28" s="83"/>
      <c r="BO28" s="83"/>
      <c r="BP28" s="83"/>
      <c r="BQ28" s="83"/>
      <c r="BR28" s="83"/>
      <c r="BS28" s="235"/>
      <c r="BT28" s="236"/>
    </row>
    <row r="29" spans="2:72" s="239" customFormat="1" ht="15">
      <c r="B29" s="236"/>
      <c r="C29" s="237" t="s">
        <v>76</v>
      </c>
      <c r="D29" s="238" t="str">
        <f t="shared" si="29"/>
        <v>2015$</v>
      </c>
      <c r="E29" s="83"/>
      <c r="F29" s="83"/>
      <c r="G29" s="83"/>
      <c r="H29" s="83"/>
      <c r="I29" s="83"/>
      <c r="J29" s="83"/>
      <c r="K29" s="235"/>
      <c r="L29" s="236"/>
      <c r="M29" s="237" t="s">
        <v>76</v>
      </c>
      <c r="N29" s="238" t="str">
        <f t="shared" si="30"/>
        <v>2015$</v>
      </c>
      <c r="O29" s="83"/>
      <c r="P29" s="83"/>
      <c r="Q29" s="83"/>
      <c r="R29" s="83"/>
      <c r="S29" s="83"/>
      <c r="T29" s="83"/>
      <c r="U29" s="235"/>
      <c r="V29" s="236"/>
      <c r="W29" s="237" t="s">
        <v>76</v>
      </c>
      <c r="X29" s="238" t="str">
        <f t="shared" si="31"/>
        <v>2015$</v>
      </c>
      <c r="Y29" s="83"/>
      <c r="Z29" s="83"/>
      <c r="AA29" s="83"/>
      <c r="AB29" s="83"/>
      <c r="AC29" s="83"/>
      <c r="AD29" s="83"/>
      <c r="AE29" s="235"/>
      <c r="AF29" s="236"/>
      <c r="AG29" s="237" t="s">
        <v>76</v>
      </c>
      <c r="AH29" s="238" t="str">
        <f t="shared" si="32"/>
        <v>2015$</v>
      </c>
      <c r="AI29" s="83"/>
      <c r="AJ29" s="83"/>
      <c r="AK29" s="83"/>
      <c r="AL29" s="83"/>
      <c r="AM29" s="83"/>
      <c r="AN29" s="83"/>
      <c r="AO29" s="235"/>
      <c r="AP29" s="236"/>
      <c r="AQ29" s="237" t="s">
        <v>76</v>
      </c>
      <c r="AR29" s="238" t="str">
        <f t="shared" si="33"/>
        <v>2015$</v>
      </c>
      <c r="AS29" s="83"/>
      <c r="AT29" s="83"/>
      <c r="AU29" s="83"/>
      <c r="AV29" s="83"/>
      <c r="AW29" s="83"/>
      <c r="AX29" s="83"/>
      <c r="AY29" s="235"/>
      <c r="AZ29" s="236"/>
      <c r="BA29" s="237" t="s">
        <v>76</v>
      </c>
      <c r="BB29" s="238" t="str">
        <f t="shared" si="34"/>
        <v>2015$</v>
      </c>
      <c r="BC29" s="83"/>
      <c r="BD29" s="83"/>
      <c r="BE29" s="83"/>
      <c r="BF29" s="83"/>
      <c r="BG29" s="83"/>
      <c r="BH29" s="83"/>
      <c r="BI29" s="235"/>
      <c r="BJ29" s="236"/>
      <c r="BK29" s="237" t="s">
        <v>76</v>
      </c>
      <c r="BL29" s="238" t="str">
        <f t="shared" si="35"/>
        <v>2015$</v>
      </c>
      <c r="BM29" s="83"/>
      <c r="BN29" s="83"/>
      <c r="BO29" s="83"/>
      <c r="BP29" s="83"/>
      <c r="BQ29" s="83"/>
      <c r="BR29" s="83"/>
      <c r="BS29" s="235"/>
      <c r="BT29" s="236"/>
    </row>
    <row r="30" spans="2:72" s="239" customFormat="1" ht="15">
      <c r="B30" s="236"/>
      <c r="C30" s="241" t="s">
        <v>79</v>
      </c>
      <c r="D30" s="83"/>
      <c r="E30" s="83"/>
      <c r="F30" s="83"/>
      <c r="G30" s="83"/>
      <c r="H30" s="83"/>
      <c r="I30" s="83"/>
      <c r="J30" s="83"/>
      <c r="K30" s="235"/>
      <c r="L30" s="236"/>
      <c r="M30" s="241" t="s">
        <v>79</v>
      </c>
      <c r="N30" s="83"/>
      <c r="O30" s="83"/>
      <c r="P30" s="83"/>
      <c r="Q30" s="83"/>
      <c r="R30" s="83"/>
      <c r="S30" s="83"/>
      <c r="T30" s="83"/>
      <c r="U30" s="235"/>
      <c r="V30" s="236"/>
      <c r="W30" s="241" t="s">
        <v>79</v>
      </c>
      <c r="X30" s="83"/>
      <c r="Y30" s="83"/>
      <c r="Z30" s="83"/>
      <c r="AA30" s="83"/>
      <c r="AE30" s="235"/>
      <c r="AF30" s="236"/>
      <c r="AG30" s="241" t="s">
        <v>79</v>
      </c>
      <c r="AH30" s="83"/>
      <c r="AI30" s="83"/>
      <c r="AJ30" s="83"/>
      <c r="AK30" s="83"/>
      <c r="AL30" s="83"/>
      <c r="AM30" s="83"/>
      <c r="AN30" s="83"/>
      <c r="AO30" s="235"/>
      <c r="AP30" s="236"/>
      <c r="AQ30" s="241" t="s">
        <v>79</v>
      </c>
      <c r="AR30" s="83"/>
      <c r="AS30" s="83"/>
      <c r="AT30" s="83"/>
      <c r="AU30" s="83"/>
      <c r="AV30" s="83"/>
      <c r="AW30" s="83"/>
      <c r="AX30" s="83"/>
      <c r="AY30" s="235"/>
      <c r="AZ30" s="236"/>
      <c r="BA30" s="241" t="s">
        <v>79</v>
      </c>
      <c r="BB30" s="83"/>
      <c r="BC30" s="83"/>
      <c r="BD30" s="83"/>
      <c r="BE30" s="83"/>
      <c r="BF30" s="83"/>
      <c r="BG30" s="83"/>
      <c r="BH30" s="83"/>
      <c r="BI30" s="235"/>
      <c r="BJ30" s="236"/>
      <c r="BK30" s="241" t="s">
        <v>79</v>
      </c>
      <c r="BL30" s="83"/>
      <c r="BM30" s="83"/>
      <c r="BN30" s="83"/>
      <c r="BO30" s="83"/>
      <c r="BP30" s="83"/>
      <c r="BQ30" s="83"/>
      <c r="BR30" s="83"/>
      <c r="BS30" s="235"/>
      <c r="BT30" s="236"/>
    </row>
    <row r="31" spans="2:72" s="239" customFormat="1" ht="15">
      <c r="B31" s="236"/>
      <c r="C31" s="240" t="str">
        <f>INDEX(_fuel,1)</f>
        <v>Electricity</v>
      </c>
      <c r="D31" s="83"/>
      <c r="E31" s="83"/>
      <c r="F31" s="83"/>
      <c r="G31" s="83"/>
      <c r="H31" s="83"/>
      <c r="I31" s="83"/>
      <c r="J31" s="83"/>
      <c r="K31" s="235"/>
      <c r="L31" s="236"/>
      <c r="M31" s="240" t="str">
        <f>INDEX(_fuel,1)</f>
        <v>Electricity</v>
      </c>
      <c r="N31" s="83"/>
      <c r="O31" s="83"/>
      <c r="P31" s="83"/>
      <c r="Q31" s="83"/>
      <c r="R31" s="83"/>
      <c r="S31" s="83"/>
      <c r="T31" s="83"/>
      <c r="U31" s="235"/>
      <c r="V31" s="236"/>
      <c r="W31" s="240" t="str">
        <f>INDEX(_fuel,1)</f>
        <v>Electricity</v>
      </c>
      <c r="X31" s="83"/>
      <c r="Y31" s="83"/>
      <c r="Z31" s="83"/>
      <c r="AA31" s="83"/>
      <c r="AB31" s="83"/>
      <c r="AC31" s="83"/>
      <c r="AD31" s="83"/>
      <c r="AE31" s="235"/>
      <c r="AF31" s="236"/>
      <c r="AG31" s="240" t="str">
        <f>INDEX(_fuel,1)</f>
        <v>Electricity</v>
      </c>
      <c r="AH31" s="83"/>
      <c r="AI31" s="83"/>
      <c r="AJ31" s="83"/>
      <c r="AK31" s="83"/>
      <c r="AL31" s="83"/>
      <c r="AM31" s="83"/>
      <c r="AN31" s="83"/>
      <c r="AO31" s="235"/>
      <c r="AP31" s="236"/>
      <c r="AQ31" s="240" t="str">
        <f>INDEX(_fuel,1)</f>
        <v>Electricity</v>
      </c>
      <c r="AR31" s="83"/>
      <c r="AS31" s="83"/>
      <c r="AT31" s="83"/>
      <c r="AU31" s="83"/>
      <c r="AV31" s="83"/>
      <c r="AW31" s="83"/>
      <c r="AX31" s="83"/>
      <c r="AY31" s="235"/>
      <c r="AZ31" s="236"/>
      <c r="BA31" s="240" t="str">
        <f>INDEX(_fuel,1)</f>
        <v>Electricity</v>
      </c>
      <c r="BB31" s="83"/>
      <c r="BC31" s="83"/>
      <c r="BD31" s="83"/>
      <c r="BE31" s="83"/>
      <c r="BF31" s="83"/>
      <c r="BG31" s="83"/>
      <c r="BH31" s="83"/>
      <c r="BI31" s="235"/>
      <c r="BJ31" s="236"/>
      <c r="BK31" s="240" t="str">
        <f>INDEX(_fuel,1)</f>
        <v>Electricity</v>
      </c>
      <c r="BL31" s="83"/>
      <c r="BM31" s="83"/>
      <c r="BN31" s="83"/>
      <c r="BO31" s="83"/>
      <c r="BP31" s="83"/>
      <c r="BQ31" s="83"/>
      <c r="BR31" s="83"/>
      <c r="BS31" s="235"/>
      <c r="BT31" s="236"/>
    </row>
    <row r="32" spans="2:72" s="239" customFormat="1" ht="15">
      <c r="B32" s="236"/>
      <c r="C32" s="237" t="s">
        <v>70</v>
      </c>
      <c r="D32" s="238" t="s">
        <v>80</v>
      </c>
      <c r="E32" s="233">
        <v>19310.5511442225</v>
      </c>
      <c r="F32" s="233">
        <v>37096.499122049601</v>
      </c>
      <c r="G32" s="233">
        <v>34445.756849299098</v>
      </c>
      <c r="H32" s="233">
        <v>34274.239144298699</v>
      </c>
      <c r="I32" s="233">
        <v>41038.429258068303</v>
      </c>
      <c r="J32" s="233">
        <v>49981.563673709898</v>
      </c>
      <c r="K32" s="234">
        <v>31439.2268980556</v>
      </c>
      <c r="L32" s="236"/>
      <c r="M32" s="237" t="s">
        <v>70</v>
      </c>
      <c r="N32" s="238" t="s">
        <v>80</v>
      </c>
      <c r="O32" s="239">
        <v>2504</v>
      </c>
      <c r="P32" s="233">
        <v>2462.1763348666027</v>
      </c>
      <c r="Q32" s="233">
        <v>2447.3757642182759</v>
      </c>
      <c r="R32" s="233">
        <v>2425.5597205534946</v>
      </c>
      <c r="S32" s="233">
        <v>2405.2122602800669</v>
      </c>
      <c r="T32" s="233">
        <v>2368.287959595606</v>
      </c>
      <c r="U32" s="233">
        <v>2259.9564596570649</v>
      </c>
      <c r="V32" s="236"/>
      <c r="W32" s="237" t="s">
        <v>70</v>
      </c>
      <c r="X32" s="238" t="s">
        <v>80</v>
      </c>
      <c r="Y32" s="233">
        <v>7675.2787963777</v>
      </c>
      <c r="Z32" s="233">
        <v>9597.6686529179897</v>
      </c>
      <c r="AA32" s="233">
        <v>9894.0761166032298</v>
      </c>
      <c r="AB32" s="233">
        <v>12178.319686852999</v>
      </c>
      <c r="AC32" s="233">
        <v>15462.6249867677</v>
      </c>
      <c r="AD32" s="233">
        <v>28147.4454891729</v>
      </c>
      <c r="AE32" s="234">
        <v>31182.3880956717</v>
      </c>
      <c r="AF32" s="236"/>
      <c r="AG32" s="237" t="s">
        <v>70</v>
      </c>
      <c r="AH32" s="238" t="s">
        <v>80</v>
      </c>
      <c r="AI32" s="233">
        <v>23727.247617966499</v>
      </c>
      <c r="AJ32" s="233">
        <v>28677.077037660001</v>
      </c>
      <c r="AK32" s="233">
        <v>26853.831569611899</v>
      </c>
      <c r="AL32" s="233">
        <v>24402.518477563801</v>
      </c>
      <c r="AM32" s="233">
        <v>23348.948943296698</v>
      </c>
      <c r="AN32" s="233">
        <v>26635.7210712794</v>
      </c>
      <c r="AO32" s="234">
        <v>18386.203971430601</v>
      </c>
      <c r="AP32" s="236"/>
      <c r="AQ32" s="237" t="s">
        <v>70</v>
      </c>
      <c r="AR32" s="238" t="s">
        <v>80</v>
      </c>
      <c r="AS32" s="233">
        <v>11048.331428605199</v>
      </c>
      <c r="AT32" s="233">
        <v>12751.3676402744</v>
      </c>
      <c r="AU32" s="233">
        <v>13782.123833792901</v>
      </c>
      <c r="AV32" s="233">
        <v>12653.489797546399</v>
      </c>
      <c r="AW32" s="233">
        <v>13268.4935065398</v>
      </c>
      <c r="AX32" s="233">
        <v>31693.700982247599</v>
      </c>
      <c r="AY32" s="234">
        <v>16786.225601482402</v>
      </c>
      <c r="AZ32" s="236"/>
      <c r="BA32" s="237" t="s">
        <v>70</v>
      </c>
      <c r="BB32" s="238" t="s">
        <v>80</v>
      </c>
      <c r="BC32" s="233">
        <v>32813.232253047201</v>
      </c>
      <c r="BD32" s="233">
        <v>67558.308641256706</v>
      </c>
      <c r="BE32" s="233">
        <v>57946.9010839611</v>
      </c>
      <c r="BF32" s="233">
        <v>78221.018187522495</v>
      </c>
      <c r="BG32" s="233">
        <v>69031.950362493502</v>
      </c>
      <c r="BH32" s="233">
        <v>63052.7043749324</v>
      </c>
      <c r="BI32" s="234">
        <v>35618.646874721802</v>
      </c>
      <c r="BJ32" s="236"/>
      <c r="BK32" s="237" t="s">
        <v>70</v>
      </c>
      <c r="BL32" s="238" t="s">
        <v>80</v>
      </c>
      <c r="BM32" s="233">
        <v>10707.9670387766</v>
      </c>
      <c r="BN32" s="233">
        <v>10321.4341614852</v>
      </c>
      <c r="BO32" s="233">
        <v>8998.28388038501</v>
      </c>
      <c r="BP32" s="233">
        <v>9201.1396059868293</v>
      </c>
      <c r="BQ32" s="233">
        <v>7790.1147766900003</v>
      </c>
      <c r="BR32" s="233">
        <v>6350.0950703855297</v>
      </c>
      <c r="BS32" s="234">
        <v>5456.7641004217203</v>
      </c>
      <c r="BT32" s="236"/>
    </row>
    <row r="33" spans="2:72" s="239" customFormat="1" ht="15">
      <c r="B33" s="236"/>
      <c r="C33" s="237" t="s">
        <v>71</v>
      </c>
      <c r="D33" s="238" t="s">
        <v>80</v>
      </c>
      <c r="E33" s="233"/>
      <c r="F33" s="233">
        <v>18211.5625967128</v>
      </c>
      <c r="G33" s="233">
        <v>34445.756849299098</v>
      </c>
      <c r="H33" s="233">
        <v>34274.239144298699</v>
      </c>
      <c r="I33" s="233">
        <v>41038.429258068303</v>
      </c>
      <c r="J33" s="233">
        <v>49981.563673709898</v>
      </c>
      <c r="K33" s="234">
        <v>31439.2268980556</v>
      </c>
      <c r="L33" s="236"/>
      <c r="M33" s="237" t="s">
        <v>71</v>
      </c>
      <c r="N33" s="238" t="s">
        <v>80</v>
      </c>
      <c r="O33" s="233"/>
      <c r="P33" s="233">
        <f>P32</f>
        <v>2462.1763348666027</v>
      </c>
      <c r="Q33" s="233">
        <f t="shared" ref="Q33:Q34" si="36">Q32</f>
        <v>2447.3757642182759</v>
      </c>
      <c r="R33" s="233">
        <f t="shared" ref="R33:R35" si="37">R32</f>
        <v>2425.5597205534946</v>
      </c>
      <c r="S33" s="233">
        <f t="shared" ref="S33:S36" si="38">S32</f>
        <v>2405.2122602800669</v>
      </c>
      <c r="T33" s="233">
        <f t="shared" ref="T33:T37" si="39">T32</f>
        <v>2368.287959595606</v>
      </c>
      <c r="U33" s="233">
        <f t="shared" ref="U33:U38" si="40">U32</f>
        <v>2259.9564596570649</v>
      </c>
      <c r="V33" s="236"/>
      <c r="W33" s="237" t="s">
        <v>71</v>
      </c>
      <c r="X33" s="238" t="s">
        <v>80</v>
      </c>
      <c r="Y33" s="233"/>
      <c r="Z33" s="233">
        <v>6918.0669556431803</v>
      </c>
      <c r="AA33" s="233">
        <v>9894.0761166032298</v>
      </c>
      <c r="AB33" s="233">
        <v>12178.319686852999</v>
      </c>
      <c r="AC33" s="233">
        <v>15462.6249867677</v>
      </c>
      <c r="AD33" s="233">
        <v>28147.4454891729</v>
      </c>
      <c r="AE33" s="234">
        <v>31182.3880956717</v>
      </c>
      <c r="AF33" s="236"/>
      <c r="AG33" s="237" t="s">
        <v>71</v>
      </c>
      <c r="AH33" s="238" t="s">
        <v>80</v>
      </c>
      <c r="AI33" s="233"/>
      <c r="AJ33" s="233">
        <v>23392.318584845802</v>
      </c>
      <c r="AK33" s="233">
        <v>26853.831569611899</v>
      </c>
      <c r="AL33" s="233">
        <v>24402.518477563801</v>
      </c>
      <c r="AM33" s="233">
        <v>23348.948943296698</v>
      </c>
      <c r="AN33" s="233">
        <v>26635.7210712794</v>
      </c>
      <c r="AO33" s="234">
        <v>18386.203971430601</v>
      </c>
      <c r="AP33" s="236"/>
      <c r="AQ33" s="237" t="s">
        <v>71</v>
      </c>
      <c r="AR33" s="238" t="s">
        <v>80</v>
      </c>
      <c r="AS33" s="233"/>
      <c r="AT33" s="233">
        <v>9493.56284013595</v>
      </c>
      <c r="AU33" s="233">
        <v>13782.123833792901</v>
      </c>
      <c r="AV33" s="233">
        <v>12653.489797546399</v>
      </c>
      <c r="AW33" s="233">
        <v>13268.4935065398</v>
      </c>
      <c r="AX33" s="233">
        <v>31693.700982247599</v>
      </c>
      <c r="AY33" s="234">
        <v>16786.225601482402</v>
      </c>
      <c r="AZ33" s="236"/>
      <c r="BA33" s="237" t="s">
        <v>71</v>
      </c>
      <c r="BB33" s="238" t="s">
        <v>80</v>
      </c>
      <c r="BC33" s="233"/>
      <c r="BD33" s="233">
        <v>37781.953816244597</v>
      </c>
      <c r="BE33" s="233">
        <v>57946.9010839611</v>
      </c>
      <c r="BF33" s="233">
        <v>78221.018187522495</v>
      </c>
      <c r="BG33" s="233">
        <v>69031.950362493502</v>
      </c>
      <c r="BH33" s="233">
        <v>63052.7043749324</v>
      </c>
      <c r="BI33" s="234">
        <v>35618.646874721802</v>
      </c>
      <c r="BJ33" s="236"/>
      <c r="BK33" s="237" t="s">
        <v>71</v>
      </c>
      <c r="BL33" s="238" t="s">
        <v>80</v>
      </c>
      <c r="BM33" s="233"/>
      <c r="BN33" s="233">
        <v>8746.1211877766</v>
      </c>
      <c r="BO33" s="233">
        <v>8998.28388038501</v>
      </c>
      <c r="BP33" s="233">
        <v>9201.1396059868293</v>
      </c>
      <c r="BQ33" s="233">
        <v>7790.1147766900003</v>
      </c>
      <c r="BR33" s="233">
        <v>6350.0950703855297</v>
      </c>
      <c r="BS33" s="234">
        <v>5456.7641004217203</v>
      </c>
      <c r="BT33" s="236"/>
    </row>
    <row r="34" spans="2:72" s="239" customFormat="1" ht="15">
      <c r="B34" s="236"/>
      <c r="C34" s="237" t="s">
        <v>72</v>
      </c>
      <c r="D34" s="238" t="s">
        <v>80</v>
      </c>
      <c r="E34" s="233"/>
      <c r="F34" s="233"/>
      <c r="G34" s="233">
        <v>21300.093032614699</v>
      </c>
      <c r="H34" s="233">
        <v>34274.239144298699</v>
      </c>
      <c r="I34" s="233">
        <v>41038.429258068303</v>
      </c>
      <c r="J34" s="233">
        <v>49981.563673709898</v>
      </c>
      <c r="K34" s="234">
        <v>31439.2268980556</v>
      </c>
      <c r="L34" s="236"/>
      <c r="M34" s="237" t="s">
        <v>72</v>
      </c>
      <c r="N34" s="238" t="s">
        <v>80</v>
      </c>
      <c r="O34" s="233"/>
      <c r="P34" s="233"/>
      <c r="Q34" s="233">
        <f t="shared" si="36"/>
        <v>2447.3757642182759</v>
      </c>
      <c r="R34" s="233">
        <f t="shared" si="37"/>
        <v>2425.5597205534946</v>
      </c>
      <c r="S34" s="233">
        <f t="shared" si="38"/>
        <v>2405.2122602800669</v>
      </c>
      <c r="T34" s="233">
        <f t="shared" si="39"/>
        <v>2368.287959595606</v>
      </c>
      <c r="U34" s="233">
        <f t="shared" si="40"/>
        <v>2259.9564596570649</v>
      </c>
      <c r="V34" s="236"/>
      <c r="W34" s="237" t="s">
        <v>72</v>
      </c>
      <c r="X34" s="238" t="s">
        <v>80</v>
      </c>
      <c r="Y34" s="233"/>
      <c r="Z34" s="233"/>
      <c r="AA34" s="233">
        <v>7372.3800268883497</v>
      </c>
      <c r="AB34" s="233">
        <v>12178.319686852999</v>
      </c>
      <c r="AC34" s="233">
        <v>15462.6249867677</v>
      </c>
      <c r="AD34" s="233">
        <v>28147.4454891729</v>
      </c>
      <c r="AE34" s="234">
        <v>31182.3880956717</v>
      </c>
      <c r="AF34" s="236"/>
      <c r="AG34" s="237" t="s">
        <v>72</v>
      </c>
      <c r="AH34" s="238" t="s">
        <v>80</v>
      </c>
      <c r="AI34" s="233"/>
      <c r="AJ34" s="233"/>
      <c r="AK34" s="233">
        <v>24522.8565859019</v>
      </c>
      <c r="AL34" s="233">
        <v>24402.518477563801</v>
      </c>
      <c r="AM34" s="233">
        <v>23348.948943296698</v>
      </c>
      <c r="AN34" s="233">
        <v>26635.7210712794</v>
      </c>
      <c r="AO34" s="234">
        <v>18386.203971430601</v>
      </c>
      <c r="AP34" s="236"/>
      <c r="AQ34" s="237" t="s">
        <v>72</v>
      </c>
      <c r="AR34" s="238" t="s">
        <v>80</v>
      </c>
      <c r="AS34" s="233"/>
      <c r="AT34" s="233"/>
      <c r="AU34" s="233">
        <v>10151.155684015701</v>
      </c>
      <c r="AV34" s="233">
        <v>12653.489797546399</v>
      </c>
      <c r="AW34" s="233">
        <v>13268.4935065398</v>
      </c>
      <c r="AX34" s="233">
        <v>31693.700982247599</v>
      </c>
      <c r="AY34" s="234">
        <v>16786.225601482402</v>
      </c>
      <c r="AZ34" s="236"/>
      <c r="BA34" s="237" t="s">
        <v>72</v>
      </c>
      <c r="BB34" s="238" t="s">
        <v>80</v>
      </c>
      <c r="BC34" s="233"/>
      <c r="BD34" s="233"/>
      <c r="BE34" s="233">
        <v>43314.441420018797</v>
      </c>
      <c r="BF34" s="233">
        <v>78221.018187522495</v>
      </c>
      <c r="BG34" s="233">
        <v>69031.950362493502</v>
      </c>
      <c r="BH34" s="233">
        <v>63052.7043749324</v>
      </c>
      <c r="BI34" s="234">
        <v>35618.646874721802</v>
      </c>
      <c r="BJ34" s="236"/>
      <c r="BK34" s="237" t="s">
        <v>72</v>
      </c>
      <c r="BL34" s="238" t="s">
        <v>80</v>
      </c>
      <c r="BM34" s="233"/>
      <c r="BN34" s="233"/>
      <c r="BO34" s="233">
        <v>8343.3473177014403</v>
      </c>
      <c r="BP34" s="233">
        <v>9201.1396059868293</v>
      </c>
      <c r="BQ34" s="233">
        <v>7790.1147766900003</v>
      </c>
      <c r="BR34" s="233">
        <v>6350.0950703855297</v>
      </c>
      <c r="BS34" s="234">
        <v>5456.7641004217203</v>
      </c>
      <c r="BT34" s="236"/>
    </row>
    <row r="35" spans="2:72" s="239" customFormat="1" ht="15">
      <c r="B35" s="236"/>
      <c r="C35" s="237" t="s">
        <v>73</v>
      </c>
      <c r="D35" s="238" t="s">
        <v>80</v>
      </c>
      <c r="E35" s="233"/>
      <c r="F35" s="233"/>
      <c r="G35" s="233"/>
      <c r="H35" s="233">
        <v>23295.837120475699</v>
      </c>
      <c r="I35" s="233">
        <v>41038.429258068303</v>
      </c>
      <c r="J35" s="233">
        <v>49981.563673709898</v>
      </c>
      <c r="K35" s="234">
        <v>31439.2268980556</v>
      </c>
      <c r="L35" s="236"/>
      <c r="M35" s="237" t="s">
        <v>73</v>
      </c>
      <c r="N35" s="238" t="s">
        <v>80</v>
      </c>
      <c r="O35" s="233"/>
      <c r="P35" s="233"/>
      <c r="Q35" s="233"/>
      <c r="R35" s="233">
        <f t="shared" si="37"/>
        <v>2425.5597205534946</v>
      </c>
      <c r="S35" s="233">
        <f t="shared" si="38"/>
        <v>2405.2122602800669</v>
      </c>
      <c r="T35" s="233">
        <f t="shared" si="39"/>
        <v>2368.287959595606</v>
      </c>
      <c r="U35" s="233">
        <f t="shared" si="40"/>
        <v>2259.9564596570649</v>
      </c>
      <c r="V35" s="236"/>
      <c r="W35" s="237" t="s">
        <v>73</v>
      </c>
      <c r="X35" s="238" t="s">
        <v>80</v>
      </c>
      <c r="Y35" s="233"/>
      <c r="Z35" s="233"/>
      <c r="AA35" s="233"/>
      <c r="AB35" s="233">
        <v>8015.74868824242</v>
      </c>
      <c r="AC35" s="233">
        <v>15462.6249867677</v>
      </c>
      <c r="AD35" s="233">
        <v>28147.4454891729</v>
      </c>
      <c r="AE35" s="234">
        <v>31182.3880956717</v>
      </c>
      <c r="AF35" s="236"/>
      <c r="AG35" s="237" t="s">
        <v>73</v>
      </c>
      <c r="AH35" s="238" t="s">
        <v>80</v>
      </c>
      <c r="AI35" s="233"/>
      <c r="AJ35" s="233"/>
      <c r="AK35" s="233"/>
      <c r="AL35" s="233">
        <v>24030.4189752989</v>
      </c>
      <c r="AM35" s="233">
        <v>23348.948943296698</v>
      </c>
      <c r="AN35" s="233">
        <v>26635.7210712794</v>
      </c>
      <c r="AO35" s="234">
        <v>18386.203971430601</v>
      </c>
      <c r="AP35" s="236"/>
      <c r="AQ35" s="237" t="s">
        <v>73</v>
      </c>
      <c r="AR35" s="238" t="s">
        <v>80</v>
      </c>
      <c r="AS35" s="233"/>
      <c r="AT35" s="233"/>
      <c r="AU35" s="233"/>
      <c r="AV35" s="233">
        <v>10065.5241782343</v>
      </c>
      <c r="AW35" s="233">
        <v>13268.4935065398</v>
      </c>
      <c r="AX35" s="233">
        <v>31693.700982247599</v>
      </c>
      <c r="AY35" s="234">
        <v>16786.225601482402</v>
      </c>
      <c r="AZ35" s="236"/>
      <c r="BA35" s="237" t="s">
        <v>73</v>
      </c>
      <c r="BB35" s="238" t="s">
        <v>80</v>
      </c>
      <c r="BC35" s="233"/>
      <c r="BD35" s="233"/>
      <c r="BE35" s="233"/>
      <c r="BF35" s="233">
        <v>51876.448027661099</v>
      </c>
      <c r="BG35" s="233">
        <v>69031.950362493502</v>
      </c>
      <c r="BH35" s="233">
        <v>63052.7043749324</v>
      </c>
      <c r="BI35" s="234">
        <v>35618.646874721802</v>
      </c>
      <c r="BJ35" s="236"/>
      <c r="BK35" s="237" t="s">
        <v>73</v>
      </c>
      <c r="BL35" s="238" t="s">
        <v>80</v>
      </c>
      <c r="BM35" s="233"/>
      <c r="BN35" s="233"/>
      <c r="BO35" s="233"/>
      <c r="BP35" s="233">
        <v>8159.0164741956596</v>
      </c>
      <c r="BQ35" s="233">
        <v>7790.1147766900003</v>
      </c>
      <c r="BR35" s="233">
        <v>6350.0950703855297</v>
      </c>
      <c r="BS35" s="234">
        <v>5456.7641004217203</v>
      </c>
      <c r="BT35" s="236"/>
    </row>
    <row r="36" spans="2:72" s="239" customFormat="1" ht="15">
      <c r="B36" s="236"/>
      <c r="C36" s="237" t="s">
        <v>74</v>
      </c>
      <c r="D36" s="238" t="s">
        <v>80</v>
      </c>
      <c r="E36" s="233"/>
      <c r="F36" s="233"/>
      <c r="G36" s="233"/>
      <c r="H36" s="233"/>
      <c r="I36" s="233">
        <v>26867.942162233401</v>
      </c>
      <c r="J36" s="233">
        <v>49981.563673709898</v>
      </c>
      <c r="K36" s="234">
        <v>31439.2268980556</v>
      </c>
      <c r="L36" s="236"/>
      <c r="M36" s="237" t="s">
        <v>74</v>
      </c>
      <c r="N36" s="238" t="s">
        <v>80</v>
      </c>
      <c r="O36" s="233"/>
      <c r="P36" s="233"/>
      <c r="Q36" s="233"/>
      <c r="R36" s="233"/>
      <c r="S36" s="233">
        <f t="shared" si="38"/>
        <v>2405.2122602800669</v>
      </c>
      <c r="T36" s="233">
        <f t="shared" si="39"/>
        <v>2368.287959595606</v>
      </c>
      <c r="U36" s="233">
        <f t="shared" si="40"/>
        <v>2259.9564596570649</v>
      </c>
      <c r="V36" s="236"/>
      <c r="W36" s="237" t="s">
        <v>74</v>
      </c>
      <c r="X36" s="238" t="s">
        <v>80</v>
      </c>
      <c r="Y36" s="233"/>
      <c r="Z36" s="233"/>
      <c r="AA36" s="233"/>
      <c r="AB36" s="233"/>
      <c r="AC36" s="233">
        <v>9402.6543089200804</v>
      </c>
      <c r="AD36" s="233">
        <v>28147.4454891729</v>
      </c>
      <c r="AE36" s="234">
        <v>31182.3880956717</v>
      </c>
      <c r="AF36" s="236"/>
      <c r="AG36" s="237" t="s">
        <v>74</v>
      </c>
      <c r="AH36" s="238" t="s">
        <v>80</v>
      </c>
      <c r="AI36" s="233"/>
      <c r="AJ36" s="233"/>
      <c r="AK36" s="233"/>
      <c r="AL36" s="233"/>
      <c r="AM36" s="233">
        <v>23278.950537653302</v>
      </c>
      <c r="AN36" s="233">
        <v>26635.7210712794</v>
      </c>
      <c r="AO36" s="234">
        <v>18386.203971430601</v>
      </c>
      <c r="AP36" s="236"/>
      <c r="AQ36" s="237" t="s">
        <v>74</v>
      </c>
      <c r="AR36" s="238" t="s">
        <v>80</v>
      </c>
      <c r="AS36" s="233"/>
      <c r="AT36" s="233"/>
      <c r="AU36" s="233"/>
      <c r="AV36" s="233"/>
      <c r="AW36" s="233">
        <v>10009.0038694834</v>
      </c>
      <c r="AX36" s="233">
        <v>31693.700982247599</v>
      </c>
      <c r="AY36" s="234">
        <v>16786.225601482402</v>
      </c>
      <c r="AZ36" s="236"/>
      <c r="BA36" s="237" t="s">
        <v>74</v>
      </c>
      <c r="BB36" s="238" t="s">
        <v>80</v>
      </c>
      <c r="BC36" s="233"/>
      <c r="BD36" s="233"/>
      <c r="BE36" s="233"/>
      <c r="BF36" s="233"/>
      <c r="BG36" s="233">
        <v>53929.411125276201</v>
      </c>
      <c r="BH36" s="233">
        <v>63052.7043749324</v>
      </c>
      <c r="BI36" s="234">
        <v>35618.646874721802</v>
      </c>
      <c r="BJ36" s="236"/>
      <c r="BK36" s="237" t="s">
        <v>74</v>
      </c>
      <c r="BL36" s="238" t="s">
        <v>80</v>
      </c>
      <c r="BM36" s="233"/>
      <c r="BN36" s="233"/>
      <c r="BO36" s="233"/>
      <c r="BP36" s="233"/>
      <c r="BQ36" s="233">
        <v>7777.02050105748</v>
      </c>
      <c r="BR36" s="233">
        <v>6350.0950703855297</v>
      </c>
      <c r="BS36" s="234">
        <v>5456.7641004217203</v>
      </c>
      <c r="BT36" s="236"/>
    </row>
    <row r="37" spans="2:72" s="239" customFormat="1" ht="15">
      <c r="B37" s="236"/>
      <c r="C37" s="237" t="s">
        <v>75</v>
      </c>
      <c r="D37" s="238" t="s">
        <v>80</v>
      </c>
      <c r="E37" s="233"/>
      <c r="F37" s="233"/>
      <c r="G37" s="233"/>
      <c r="H37" s="233"/>
      <c r="I37" s="233"/>
      <c r="J37" s="233">
        <v>39212.686649027601</v>
      </c>
      <c r="K37" s="234">
        <v>31439.2268980556</v>
      </c>
      <c r="L37" s="236"/>
      <c r="M37" s="237" t="s">
        <v>75</v>
      </c>
      <c r="N37" s="238" t="s">
        <v>80</v>
      </c>
      <c r="O37" s="233"/>
      <c r="P37" s="233"/>
      <c r="Q37" s="233"/>
      <c r="R37" s="233"/>
      <c r="S37" s="233"/>
      <c r="T37" s="233">
        <f t="shared" si="39"/>
        <v>2368.287959595606</v>
      </c>
      <c r="U37" s="233">
        <f t="shared" si="40"/>
        <v>2259.9564596570649</v>
      </c>
      <c r="V37" s="236"/>
      <c r="W37" s="237" t="s">
        <v>75</v>
      </c>
      <c r="X37" s="238" t="s">
        <v>80</v>
      </c>
      <c r="Y37" s="233"/>
      <c r="Z37" s="233"/>
      <c r="AA37" s="233"/>
      <c r="AB37" s="233"/>
      <c r="AC37" s="233"/>
      <c r="AD37" s="233">
        <v>17509.216897617302</v>
      </c>
      <c r="AE37" s="234">
        <v>31182.3880956717</v>
      </c>
      <c r="AF37" s="236"/>
      <c r="AG37" s="237" t="s">
        <v>75</v>
      </c>
      <c r="AH37" s="238" t="s">
        <v>80</v>
      </c>
      <c r="AI37" s="233"/>
      <c r="AJ37" s="233"/>
      <c r="AK37" s="233"/>
      <c r="AL37" s="233"/>
      <c r="AM37" s="233"/>
      <c r="AN37" s="233">
        <v>25784.265840705499</v>
      </c>
      <c r="AO37" s="234">
        <v>18386.203971430601</v>
      </c>
      <c r="AP37" s="236"/>
      <c r="AQ37" s="237" t="s">
        <v>75</v>
      </c>
      <c r="AR37" s="238" t="s">
        <v>80</v>
      </c>
      <c r="AS37" s="233"/>
      <c r="AT37" s="233"/>
      <c r="AU37" s="233"/>
      <c r="AV37" s="233"/>
      <c r="AW37" s="233"/>
      <c r="AX37" s="233">
        <v>15715.232829435499</v>
      </c>
      <c r="AY37" s="234">
        <v>16786.225601482402</v>
      </c>
      <c r="AZ37" s="236"/>
      <c r="BA37" s="237" t="s">
        <v>75</v>
      </c>
      <c r="BB37" s="238" t="s">
        <v>80</v>
      </c>
      <c r="BC37" s="233"/>
      <c r="BD37" s="233"/>
      <c r="BE37" s="233"/>
      <c r="BF37" s="233"/>
      <c r="BG37" s="233"/>
      <c r="BH37" s="233">
        <v>56279.956223033303</v>
      </c>
      <c r="BI37" s="234">
        <v>35618.646874721802</v>
      </c>
      <c r="BJ37" s="236"/>
      <c r="BK37" s="237" t="s">
        <v>75</v>
      </c>
      <c r="BL37" s="238" t="s">
        <v>80</v>
      </c>
      <c r="BM37" s="233"/>
      <c r="BN37" s="233"/>
      <c r="BO37" s="233"/>
      <c r="BP37" s="233"/>
      <c r="BQ37" s="233"/>
      <c r="BR37" s="233">
        <v>7038.3601965524304</v>
      </c>
      <c r="BS37" s="234">
        <v>5456.7641004217203</v>
      </c>
      <c r="BT37" s="236"/>
    </row>
    <row r="38" spans="2:72" s="239" customFormat="1" ht="15">
      <c r="B38" s="236"/>
      <c r="C38" s="237" t="s">
        <v>76</v>
      </c>
      <c r="D38" s="238" t="s">
        <v>80</v>
      </c>
      <c r="E38" s="233"/>
      <c r="F38" s="233"/>
      <c r="G38" s="233"/>
      <c r="H38" s="233"/>
      <c r="I38" s="233"/>
      <c r="J38" s="233"/>
      <c r="K38" s="234">
        <v>33054.975869407899</v>
      </c>
      <c r="L38" s="236"/>
      <c r="M38" s="237" t="s">
        <v>76</v>
      </c>
      <c r="N38" s="238" t="s">
        <v>80</v>
      </c>
      <c r="O38" s="233"/>
      <c r="P38" s="233"/>
      <c r="Q38" s="233"/>
      <c r="R38" s="233"/>
      <c r="S38" s="233"/>
      <c r="T38" s="233"/>
      <c r="U38" s="233">
        <f t="shared" si="40"/>
        <v>2259.9564596570649</v>
      </c>
      <c r="V38" s="236"/>
      <c r="W38" s="237" t="s">
        <v>76</v>
      </c>
      <c r="X38" s="238" t="s">
        <v>80</v>
      </c>
      <c r="Y38" s="233"/>
      <c r="Z38" s="233"/>
      <c r="AA38" s="233"/>
      <c r="AB38" s="233"/>
      <c r="AC38" s="233"/>
      <c r="AD38" s="233"/>
      <c r="AE38" s="234">
        <v>20376.498413893001</v>
      </c>
      <c r="AF38" s="236"/>
      <c r="AG38" s="237" t="s">
        <v>76</v>
      </c>
      <c r="AH38" s="238" t="s">
        <v>80</v>
      </c>
      <c r="AI38" s="233"/>
      <c r="AJ38" s="233"/>
      <c r="AK38" s="233"/>
      <c r="AL38" s="233"/>
      <c r="AM38" s="233"/>
      <c r="AN38" s="233"/>
      <c r="AO38" s="234">
        <v>22147.617512667501</v>
      </c>
      <c r="AP38" s="236"/>
      <c r="AQ38" s="237" t="s">
        <v>76</v>
      </c>
      <c r="AR38" s="238" t="s">
        <v>80</v>
      </c>
      <c r="AS38" s="233"/>
      <c r="AT38" s="233"/>
      <c r="AU38" s="233"/>
      <c r="AV38" s="233"/>
      <c r="AW38" s="233"/>
      <c r="AX38" s="233"/>
      <c r="AY38" s="234">
        <v>14545.7579658951</v>
      </c>
      <c r="AZ38" s="236"/>
      <c r="BA38" s="237" t="s">
        <v>76</v>
      </c>
      <c r="BB38" s="238" t="s">
        <v>80</v>
      </c>
      <c r="BC38" s="233"/>
      <c r="BD38" s="233"/>
      <c r="BE38" s="233"/>
      <c r="BF38" s="233"/>
      <c r="BG38" s="233"/>
      <c r="BH38" s="233"/>
      <c r="BI38" s="234">
        <v>47054.795744452298</v>
      </c>
      <c r="BJ38" s="236"/>
      <c r="BK38" s="237" t="s">
        <v>76</v>
      </c>
      <c r="BL38" s="238" t="s">
        <v>80</v>
      </c>
      <c r="BM38" s="233"/>
      <c r="BN38" s="233"/>
      <c r="BO38" s="233"/>
      <c r="BP38" s="233"/>
      <c r="BQ38" s="233"/>
      <c r="BR38" s="233"/>
      <c r="BS38" s="234">
        <v>6157.4377797208899</v>
      </c>
      <c r="BT38" s="236"/>
    </row>
    <row r="39" spans="2:72" s="222" customFormat="1" ht="15">
      <c r="B39" s="217"/>
      <c r="C39" s="218" t="s">
        <v>81</v>
      </c>
      <c r="D39" s="219" t="s">
        <v>47</v>
      </c>
      <c r="E39" s="220">
        <v>8.2000000000000003E-2</v>
      </c>
      <c r="F39" s="220">
        <v>2.1000000000000001E-2</v>
      </c>
      <c r="G39" s="220">
        <v>3.6999999999999998E-2</v>
      </c>
      <c r="H39" s="220">
        <v>4.4999999999999998E-2</v>
      </c>
      <c r="I39" s="220">
        <v>6.6000000000000003E-2</v>
      </c>
      <c r="J39" s="220">
        <v>0.33200000000000002</v>
      </c>
      <c r="K39" s="221">
        <v>0.41699999999999998</v>
      </c>
      <c r="L39" s="217"/>
      <c r="M39" s="218" t="s">
        <v>81</v>
      </c>
      <c r="N39" s="219" t="s">
        <v>47</v>
      </c>
      <c r="O39" s="220">
        <v>7.3999999999999996E-2</v>
      </c>
      <c r="P39" s="220">
        <v>4.2999999999999997E-2</v>
      </c>
      <c r="Q39" s="220">
        <v>5.6000000000000001E-2</v>
      </c>
      <c r="R39" s="220">
        <v>7.5999999999999998E-2</v>
      </c>
      <c r="S39" s="220">
        <v>7.0999999999999994E-2</v>
      </c>
      <c r="T39" s="220">
        <v>0.245</v>
      </c>
      <c r="U39" s="221">
        <v>0.435</v>
      </c>
      <c r="V39" s="217"/>
      <c r="W39" s="218" t="s">
        <v>81</v>
      </c>
      <c r="X39" s="219" t="s">
        <v>47</v>
      </c>
      <c r="Y39" s="220">
        <v>0.152</v>
      </c>
      <c r="Z39" s="220">
        <v>3.7999999999999999E-2</v>
      </c>
      <c r="AA39" s="220">
        <v>0.05</v>
      </c>
      <c r="AB39" s="220">
        <v>6.7000000000000004E-2</v>
      </c>
      <c r="AC39" s="220">
        <v>9.1999999999999998E-2</v>
      </c>
      <c r="AD39" s="220">
        <v>0.313</v>
      </c>
      <c r="AE39" s="221">
        <v>0.28799999999999998</v>
      </c>
      <c r="AF39" s="217"/>
      <c r="AG39" s="218" t="s">
        <v>81</v>
      </c>
      <c r="AH39" s="219" t="s">
        <v>47</v>
      </c>
      <c r="AI39" s="220">
        <v>1.7000000000000001E-2</v>
      </c>
      <c r="AJ39" s="220">
        <v>1.2E-2</v>
      </c>
      <c r="AK39" s="220">
        <v>2.3E-2</v>
      </c>
      <c r="AL39" s="220">
        <v>0.04</v>
      </c>
      <c r="AM39" s="220">
        <v>6.9000000000000006E-2</v>
      </c>
      <c r="AN39" s="220">
        <v>0.57199999999999995</v>
      </c>
      <c r="AO39" s="221">
        <v>0.26700000000000002</v>
      </c>
      <c r="AP39" s="217"/>
      <c r="AQ39" s="218" t="s">
        <v>81</v>
      </c>
      <c r="AR39" s="219" t="s">
        <v>47</v>
      </c>
      <c r="AS39" s="220">
        <v>0.22</v>
      </c>
      <c r="AT39" s="220">
        <v>0.08</v>
      </c>
      <c r="AU39" s="220">
        <v>0.106</v>
      </c>
      <c r="AV39" s="220">
        <v>0.11</v>
      </c>
      <c r="AW39" s="220">
        <v>9.5000000000000001E-2</v>
      </c>
      <c r="AX39" s="220">
        <v>0.23699999999999999</v>
      </c>
      <c r="AY39" s="221">
        <v>0.152</v>
      </c>
      <c r="AZ39" s="217"/>
      <c r="BA39" s="218" t="s">
        <v>81</v>
      </c>
      <c r="BB39" s="219" t="s">
        <v>47</v>
      </c>
      <c r="BC39" s="220">
        <v>0.10100000000000001</v>
      </c>
      <c r="BD39" s="220">
        <v>4.2999999999999997E-2</v>
      </c>
      <c r="BE39" s="220">
        <v>8.7999999999999995E-2</v>
      </c>
      <c r="BF39" s="220">
        <v>9.6000000000000002E-2</v>
      </c>
      <c r="BG39" s="220">
        <v>0.107</v>
      </c>
      <c r="BH39" s="220">
        <v>0.33800000000000002</v>
      </c>
      <c r="BI39" s="221">
        <v>0.22700000000000001</v>
      </c>
      <c r="BJ39" s="217"/>
      <c r="BK39" s="218" t="s">
        <v>81</v>
      </c>
      <c r="BL39" s="219" t="s">
        <v>47</v>
      </c>
      <c r="BM39" s="220">
        <v>0.22800000000000001</v>
      </c>
      <c r="BN39" s="220">
        <v>7.0999999999999994E-2</v>
      </c>
      <c r="BO39" s="220">
        <v>7.9000000000000001E-2</v>
      </c>
      <c r="BP39" s="220">
        <v>9.8000000000000004E-2</v>
      </c>
      <c r="BQ39" s="220">
        <v>0.121</v>
      </c>
      <c r="BR39" s="220">
        <v>0.314</v>
      </c>
      <c r="BS39" s="221">
        <v>8.8999999999999996E-2</v>
      </c>
      <c r="BT39" s="217"/>
    </row>
    <row r="40" spans="2:72" ht="15">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row>
    <row r="43" spans="2:72" ht="15">
      <c r="C43" s="329" t="s">
        <v>126</v>
      </c>
      <c r="D43" s="329"/>
      <c r="E43" s="329"/>
      <c r="F43" s="329"/>
      <c r="G43" s="329"/>
      <c r="H43" s="329"/>
      <c r="I43" s="329"/>
      <c r="J43" s="329"/>
      <c r="K43" s="329"/>
      <c r="L43" s="329"/>
      <c r="M43" s="329"/>
      <c r="N43" s="329"/>
      <c r="O43" s="329"/>
      <c r="P43" s="329"/>
      <c r="Q43" s="329"/>
      <c r="R43" s="329"/>
      <c r="S43" s="329"/>
      <c r="T43" s="329"/>
      <c r="U43" s="329"/>
      <c r="V43" s="329"/>
      <c r="W43" s="329"/>
    </row>
    <row r="44" spans="2:72" ht="15" customHeight="1">
      <c r="C44" s="327" t="s">
        <v>227</v>
      </c>
      <c r="D44" s="327"/>
      <c r="E44" s="327"/>
      <c r="F44" s="327"/>
      <c r="G44" s="327"/>
      <c r="H44" s="327"/>
      <c r="I44" s="327"/>
      <c r="J44" s="327"/>
      <c r="K44" s="327"/>
      <c r="L44" s="327"/>
      <c r="M44" s="327"/>
      <c r="N44" s="327"/>
      <c r="O44" s="327"/>
      <c r="P44" s="327"/>
      <c r="Q44" s="327"/>
      <c r="R44" s="327"/>
      <c r="S44" s="327"/>
      <c r="T44" s="327"/>
      <c r="U44" s="327"/>
      <c r="V44" s="327"/>
      <c r="W44" s="327"/>
    </row>
    <row r="45" spans="2:72">
      <c r="C45" s="327"/>
      <c r="D45" s="327"/>
      <c r="E45" s="327"/>
      <c r="F45" s="327"/>
      <c r="G45" s="327"/>
      <c r="H45" s="327"/>
      <c r="I45" s="327"/>
      <c r="J45" s="327"/>
      <c r="K45" s="327"/>
      <c r="L45" s="327"/>
      <c r="M45" s="327"/>
      <c r="N45" s="327"/>
      <c r="O45" s="327"/>
      <c r="P45" s="327"/>
      <c r="Q45" s="327"/>
      <c r="R45" s="327"/>
      <c r="S45" s="327"/>
      <c r="T45" s="327"/>
      <c r="U45" s="327"/>
      <c r="V45" s="327"/>
      <c r="W45" s="327"/>
    </row>
    <row r="46" spans="2:72">
      <c r="C46" s="327"/>
      <c r="D46" s="327"/>
      <c r="E46" s="327"/>
      <c r="F46" s="327"/>
      <c r="G46" s="327"/>
      <c r="H46" s="327"/>
      <c r="I46" s="327"/>
      <c r="J46" s="327"/>
      <c r="K46" s="327"/>
      <c r="L46" s="327"/>
      <c r="M46" s="327"/>
      <c r="N46" s="327"/>
      <c r="O46" s="327"/>
      <c r="P46" s="327"/>
      <c r="Q46" s="327"/>
      <c r="R46" s="327"/>
      <c r="S46" s="327"/>
      <c r="T46" s="327"/>
      <c r="U46" s="327"/>
      <c r="V46" s="327"/>
      <c r="W46" s="327"/>
    </row>
    <row r="47" spans="2:72">
      <c r="C47" s="327"/>
      <c r="D47" s="327"/>
      <c r="E47" s="327"/>
      <c r="F47" s="327"/>
      <c r="G47" s="327"/>
      <c r="H47" s="327"/>
      <c r="I47" s="327"/>
      <c r="J47" s="327"/>
      <c r="K47" s="327"/>
      <c r="L47" s="327"/>
      <c r="M47" s="327"/>
      <c r="N47" s="327"/>
      <c r="O47" s="327"/>
      <c r="P47" s="327"/>
      <c r="Q47" s="327"/>
      <c r="R47" s="327"/>
      <c r="S47" s="327"/>
      <c r="T47" s="327"/>
      <c r="U47" s="327"/>
      <c r="V47" s="327"/>
      <c r="W47" s="327"/>
    </row>
    <row r="48" spans="2:72">
      <c r="C48" s="327"/>
      <c r="D48" s="327"/>
      <c r="E48" s="327"/>
      <c r="F48" s="327"/>
      <c r="G48" s="327"/>
      <c r="H48" s="327"/>
      <c r="I48" s="327"/>
      <c r="J48" s="327"/>
      <c r="K48" s="327"/>
      <c r="L48" s="327"/>
      <c r="M48" s="327"/>
      <c r="N48" s="327"/>
      <c r="O48" s="327"/>
      <c r="P48" s="327"/>
      <c r="Q48" s="327"/>
      <c r="R48" s="327"/>
      <c r="S48" s="327"/>
      <c r="T48" s="327"/>
      <c r="U48" s="327"/>
      <c r="V48" s="327"/>
      <c r="W48" s="327"/>
    </row>
    <row r="49" spans="3:23">
      <c r="C49" s="327"/>
      <c r="D49" s="327"/>
      <c r="E49" s="327"/>
      <c r="F49" s="327"/>
      <c r="G49" s="327"/>
      <c r="H49" s="327"/>
      <c r="I49" s="327"/>
      <c r="J49" s="327"/>
      <c r="K49" s="327"/>
      <c r="L49" s="327"/>
      <c r="M49" s="327"/>
      <c r="N49" s="327"/>
      <c r="O49" s="327"/>
      <c r="P49" s="327"/>
      <c r="Q49" s="327"/>
      <c r="R49" s="327"/>
      <c r="S49" s="327"/>
      <c r="T49" s="327"/>
      <c r="U49" s="327"/>
      <c r="V49" s="327"/>
      <c r="W49" s="327"/>
    </row>
    <row r="50" spans="3:23">
      <c r="C50" s="327"/>
      <c r="D50" s="327"/>
      <c r="E50" s="327"/>
      <c r="F50" s="327"/>
      <c r="G50" s="327"/>
      <c r="H50" s="327"/>
      <c r="I50" s="327"/>
      <c r="J50" s="327"/>
      <c r="K50" s="327"/>
      <c r="L50" s="327"/>
      <c r="M50" s="327"/>
      <c r="N50" s="327"/>
      <c r="O50" s="327"/>
      <c r="P50" s="327"/>
      <c r="Q50" s="327"/>
      <c r="R50" s="327"/>
      <c r="S50" s="327"/>
      <c r="T50" s="327"/>
      <c r="U50" s="327"/>
      <c r="V50" s="327"/>
      <c r="W50" s="327"/>
    </row>
    <row r="51" spans="3:23">
      <c r="C51" s="327"/>
      <c r="D51" s="327"/>
      <c r="E51" s="327"/>
      <c r="F51" s="327"/>
      <c r="G51" s="327"/>
      <c r="H51" s="327"/>
      <c r="I51" s="327"/>
      <c r="J51" s="327"/>
      <c r="K51" s="327"/>
      <c r="L51" s="327"/>
      <c r="M51" s="327"/>
      <c r="N51" s="327"/>
      <c r="O51" s="327"/>
      <c r="P51" s="327"/>
      <c r="Q51" s="327"/>
      <c r="R51" s="327"/>
      <c r="S51" s="327"/>
      <c r="T51" s="327"/>
      <c r="U51" s="327"/>
      <c r="V51" s="327"/>
      <c r="W51" s="327"/>
    </row>
    <row r="52" spans="3:23">
      <c r="C52" s="327"/>
      <c r="D52" s="327"/>
      <c r="E52" s="327"/>
      <c r="F52" s="327"/>
      <c r="G52" s="327"/>
      <c r="H52" s="327"/>
      <c r="I52" s="327"/>
      <c r="J52" s="327"/>
      <c r="K52" s="327"/>
      <c r="L52" s="327"/>
      <c r="M52" s="327"/>
      <c r="N52" s="327"/>
      <c r="O52" s="327"/>
      <c r="P52" s="327"/>
      <c r="Q52" s="327"/>
      <c r="R52" s="327"/>
      <c r="S52" s="327"/>
      <c r="T52" s="327"/>
      <c r="U52" s="327"/>
      <c r="V52" s="327"/>
      <c r="W52" s="327"/>
    </row>
    <row r="53" spans="3:23">
      <c r="C53" s="327"/>
      <c r="D53" s="327"/>
      <c r="E53" s="327"/>
      <c r="F53" s="327"/>
      <c r="G53" s="327"/>
      <c r="H53" s="327"/>
      <c r="I53" s="327"/>
      <c r="J53" s="327"/>
      <c r="K53" s="327"/>
      <c r="L53" s="327"/>
      <c r="M53" s="327"/>
      <c r="N53" s="327"/>
      <c r="O53" s="327"/>
      <c r="P53" s="327"/>
      <c r="Q53" s="327"/>
      <c r="R53" s="327"/>
      <c r="S53" s="327"/>
      <c r="T53" s="327"/>
      <c r="U53" s="327"/>
      <c r="V53" s="327"/>
      <c r="W53" s="327"/>
    </row>
    <row r="54" spans="3:23">
      <c r="C54" s="327"/>
      <c r="D54" s="327"/>
      <c r="E54" s="327"/>
      <c r="F54" s="327"/>
      <c r="G54" s="327"/>
      <c r="H54" s="327"/>
      <c r="I54" s="327"/>
      <c r="J54" s="327"/>
      <c r="K54" s="327"/>
      <c r="L54" s="327"/>
      <c r="M54" s="327"/>
      <c r="N54" s="327"/>
      <c r="O54" s="327"/>
      <c r="P54" s="327"/>
      <c r="Q54" s="327"/>
      <c r="R54" s="327"/>
      <c r="S54" s="327"/>
      <c r="T54" s="327"/>
      <c r="U54" s="327"/>
      <c r="V54" s="327"/>
      <c r="W54" s="327"/>
    </row>
    <row r="55" spans="3:23">
      <c r="C55" s="327"/>
      <c r="D55" s="327"/>
      <c r="E55" s="327"/>
      <c r="F55" s="327"/>
      <c r="G55" s="327"/>
      <c r="H55" s="327"/>
      <c r="I55" s="327"/>
      <c r="J55" s="327"/>
      <c r="K55" s="327"/>
      <c r="L55" s="327"/>
      <c r="M55" s="327"/>
      <c r="N55" s="327"/>
      <c r="O55" s="327"/>
      <c r="P55" s="327"/>
      <c r="Q55" s="327"/>
      <c r="R55" s="327"/>
      <c r="S55" s="327"/>
      <c r="T55" s="327"/>
      <c r="U55" s="327"/>
      <c r="V55" s="327"/>
      <c r="W55" s="327"/>
    </row>
    <row r="56" spans="3:23">
      <c r="C56" s="327"/>
      <c r="D56" s="327"/>
      <c r="E56" s="327"/>
      <c r="F56" s="327"/>
      <c r="G56" s="327"/>
      <c r="H56" s="327"/>
      <c r="I56" s="327"/>
      <c r="J56" s="327"/>
      <c r="K56" s="327"/>
      <c r="L56" s="327"/>
      <c r="M56" s="327"/>
      <c r="N56" s="327"/>
      <c r="O56" s="327"/>
      <c r="P56" s="327"/>
      <c r="Q56" s="327"/>
      <c r="R56" s="327"/>
      <c r="S56" s="327"/>
      <c r="T56" s="327"/>
      <c r="U56" s="327"/>
      <c r="V56" s="327"/>
      <c r="W56" s="327"/>
    </row>
    <row r="57" spans="3:23">
      <c r="C57" s="327"/>
      <c r="D57" s="327"/>
      <c r="E57" s="327"/>
      <c r="F57" s="327"/>
      <c r="G57" s="327"/>
      <c r="H57" s="327"/>
      <c r="I57" s="327"/>
      <c r="J57" s="327"/>
      <c r="K57" s="327"/>
      <c r="L57" s="327"/>
      <c r="M57" s="327"/>
      <c r="N57" s="327"/>
      <c r="O57" s="327"/>
      <c r="P57" s="327"/>
      <c r="Q57" s="327"/>
      <c r="R57" s="327"/>
      <c r="S57" s="327"/>
      <c r="T57" s="327"/>
      <c r="U57" s="327"/>
      <c r="V57" s="327"/>
      <c r="W57" s="327"/>
    </row>
    <row r="58" spans="3:23">
      <c r="C58" s="327"/>
      <c r="D58" s="327"/>
      <c r="E58" s="327"/>
      <c r="F58" s="327"/>
      <c r="G58" s="327"/>
      <c r="H58" s="327"/>
      <c r="I58" s="327"/>
      <c r="J58" s="327"/>
      <c r="K58" s="327"/>
      <c r="L58" s="327"/>
      <c r="M58" s="327"/>
      <c r="N58" s="327"/>
      <c r="O58" s="327"/>
      <c r="P58" s="327"/>
      <c r="Q58" s="327"/>
      <c r="R58" s="327"/>
      <c r="S58" s="327"/>
      <c r="T58" s="327"/>
      <c r="U58" s="327"/>
      <c r="V58" s="327"/>
      <c r="W58" s="327"/>
    </row>
    <row r="59" spans="3:23">
      <c r="C59" s="327"/>
      <c r="D59" s="327"/>
      <c r="E59" s="327"/>
      <c r="F59" s="327"/>
      <c r="G59" s="327"/>
      <c r="H59" s="327"/>
      <c r="I59" s="327"/>
      <c r="J59" s="327"/>
      <c r="K59" s="327"/>
      <c r="L59" s="327"/>
      <c r="M59" s="327"/>
      <c r="N59" s="327"/>
      <c r="O59" s="327"/>
      <c r="P59" s="327"/>
      <c r="Q59" s="327"/>
      <c r="R59" s="327"/>
      <c r="S59" s="327"/>
      <c r="T59" s="327"/>
      <c r="U59" s="327"/>
      <c r="V59" s="327"/>
      <c r="W59" s="327"/>
    </row>
    <row r="60" spans="3:23">
      <c r="C60" s="327"/>
      <c r="D60" s="327"/>
      <c r="E60" s="327"/>
      <c r="F60" s="327"/>
      <c r="G60" s="327"/>
      <c r="H60" s="327"/>
      <c r="I60" s="327"/>
      <c r="J60" s="327"/>
      <c r="K60" s="327"/>
      <c r="L60" s="327"/>
      <c r="M60" s="327"/>
      <c r="N60" s="327"/>
      <c r="O60" s="327"/>
      <c r="P60" s="327"/>
      <c r="Q60" s="327"/>
      <c r="R60" s="327"/>
      <c r="S60" s="327"/>
      <c r="T60" s="327"/>
      <c r="U60" s="327"/>
      <c r="V60" s="327"/>
      <c r="W60" s="327"/>
    </row>
    <row r="61" spans="3:23">
      <c r="C61" s="327"/>
      <c r="D61" s="327"/>
      <c r="E61" s="327"/>
      <c r="F61" s="327"/>
      <c r="G61" s="327"/>
      <c r="H61" s="327"/>
      <c r="I61" s="327"/>
      <c r="J61" s="327"/>
      <c r="K61" s="327"/>
      <c r="L61" s="327"/>
      <c r="M61" s="327"/>
      <c r="N61" s="327"/>
      <c r="O61" s="327"/>
      <c r="P61" s="327"/>
      <c r="Q61" s="327"/>
      <c r="R61" s="327"/>
      <c r="S61" s="327"/>
      <c r="T61" s="327"/>
      <c r="U61" s="327"/>
      <c r="V61" s="327"/>
      <c r="W61" s="327"/>
    </row>
    <row r="62" spans="3:23">
      <c r="C62" s="327"/>
      <c r="D62" s="327"/>
      <c r="E62" s="327"/>
      <c r="F62" s="327"/>
      <c r="G62" s="327"/>
      <c r="H62" s="327"/>
      <c r="I62" s="327"/>
      <c r="J62" s="327"/>
      <c r="K62" s="327"/>
      <c r="L62" s="327"/>
      <c r="M62" s="327"/>
      <c r="N62" s="327"/>
      <c r="O62" s="327"/>
      <c r="P62" s="327"/>
      <c r="Q62" s="327"/>
      <c r="R62" s="327"/>
      <c r="S62" s="327"/>
      <c r="T62" s="327"/>
      <c r="U62" s="327"/>
      <c r="V62" s="327"/>
      <c r="W62" s="327"/>
    </row>
    <row r="63" spans="3:23" ht="19.5" customHeight="1">
      <c r="C63" s="106">
        <f>SUMPRODUCT(E32:K32,bcAxH)</f>
        <v>37591.898527500176</v>
      </c>
      <c r="D63" s="101" t="s">
        <v>127</v>
      </c>
      <c r="E63" s="101"/>
      <c r="F63" s="101"/>
      <c r="G63" s="101"/>
      <c r="H63" s="101"/>
      <c r="I63" s="101"/>
      <c r="J63" s="101"/>
      <c r="K63" s="101"/>
      <c r="L63" s="101"/>
      <c r="M63" s="101"/>
      <c r="N63" s="101"/>
      <c r="O63" s="101"/>
      <c r="P63" s="101"/>
      <c r="Q63" s="101"/>
      <c r="R63" s="101"/>
      <c r="S63" s="101"/>
      <c r="T63" s="101"/>
      <c r="U63" s="101"/>
      <c r="V63" s="101"/>
      <c r="W63" s="101"/>
    </row>
    <row r="64" spans="3:23">
      <c r="C64" s="102"/>
      <c r="D64" s="102"/>
      <c r="E64" s="101"/>
      <c r="F64" s="101"/>
      <c r="G64" s="101"/>
      <c r="H64" s="101"/>
      <c r="I64" s="101"/>
      <c r="J64" s="101"/>
      <c r="K64" s="101"/>
      <c r="L64" s="101"/>
      <c r="M64" s="101"/>
      <c r="N64" s="101"/>
      <c r="O64" s="101"/>
      <c r="P64" s="101"/>
      <c r="Q64" s="101"/>
      <c r="R64" s="101"/>
      <c r="S64" s="101"/>
      <c r="T64" s="101"/>
      <c r="U64" s="101"/>
      <c r="V64" s="101"/>
      <c r="W64" s="101"/>
    </row>
    <row r="65" spans="3:23">
      <c r="C65" s="330" t="s">
        <v>128</v>
      </c>
      <c r="D65" s="330"/>
      <c r="E65" s="330"/>
      <c r="F65" s="330"/>
      <c r="G65" s="330"/>
      <c r="H65" s="330"/>
      <c r="I65" s="330"/>
      <c r="J65" s="330"/>
      <c r="K65" s="330"/>
      <c r="L65" s="330"/>
      <c r="M65" s="330"/>
      <c r="N65" s="330"/>
      <c r="O65" s="330"/>
      <c r="P65" s="330"/>
      <c r="Q65" s="330"/>
      <c r="R65" s="330"/>
      <c r="S65" s="330"/>
      <c r="T65" s="330"/>
      <c r="U65" s="330"/>
      <c r="V65" s="330"/>
      <c r="W65" s="330"/>
    </row>
    <row r="66" spans="3:23" ht="15.75" customHeight="1">
      <c r="C66" s="107">
        <f>SUM(E39:F39)*F33+G39*G33+H39*H33+I39*I33+J39*J33+K39*K33</f>
        <v>37105.197799572306</v>
      </c>
      <c r="D66" s="101" t="s">
        <v>127</v>
      </c>
      <c r="E66" s="103"/>
      <c r="F66" s="103"/>
      <c r="G66" s="103"/>
      <c r="H66" s="103"/>
      <c r="I66" s="104"/>
      <c r="J66" s="104"/>
      <c r="K66" s="104"/>
      <c r="L66" s="104"/>
      <c r="M66" s="101"/>
      <c r="N66" s="101"/>
      <c r="O66" s="101"/>
      <c r="P66" s="101"/>
      <c r="Q66" s="100"/>
      <c r="R66" s="101"/>
      <c r="S66" s="101"/>
      <c r="T66" s="101"/>
      <c r="U66" s="101"/>
      <c r="V66" s="101"/>
      <c r="W66" s="101"/>
    </row>
    <row r="67" spans="3:23" ht="15" customHeight="1">
      <c r="C67" s="101"/>
      <c r="D67" s="101"/>
      <c r="E67" s="103"/>
      <c r="F67" s="103"/>
      <c r="G67" s="103"/>
      <c r="H67" s="103"/>
      <c r="I67" s="104"/>
      <c r="J67" s="104"/>
      <c r="K67" s="104"/>
      <c r="L67" s="104"/>
      <c r="M67" s="101"/>
      <c r="N67" s="101"/>
      <c r="O67" s="101"/>
      <c r="P67" s="101"/>
      <c r="Q67" s="104"/>
      <c r="R67" s="104"/>
      <c r="S67" s="101"/>
      <c r="T67" s="101"/>
      <c r="U67" s="101"/>
      <c r="V67" s="101"/>
      <c r="W67" s="101"/>
    </row>
    <row r="68" spans="3:23">
      <c r="C68" s="330" t="s">
        <v>129</v>
      </c>
      <c r="D68" s="330"/>
      <c r="E68" s="330"/>
      <c r="F68" s="330"/>
      <c r="G68" s="330"/>
      <c r="H68" s="330"/>
      <c r="I68" s="330"/>
      <c r="J68" s="330"/>
      <c r="K68" s="330"/>
      <c r="L68" s="330"/>
      <c r="M68" s="330"/>
      <c r="N68" s="330"/>
      <c r="O68" s="330"/>
      <c r="P68" s="330"/>
      <c r="Q68" s="330"/>
      <c r="R68" s="330"/>
      <c r="S68" s="330"/>
      <c r="T68" s="330"/>
      <c r="U68" s="330"/>
      <c r="V68" s="330"/>
      <c r="W68" s="330"/>
    </row>
    <row r="69" spans="3:23" ht="18.75" customHeight="1">
      <c r="C69" s="108">
        <f>(E39+F39+G39)*G34+H39*H34+I39*I34+J39*J34+K39*K34</f>
        <v>36936.92687325288</v>
      </c>
      <c r="D69" s="101" t="s">
        <v>127</v>
      </c>
      <c r="E69" s="101"/>
      <c r="F69" s="101"/>
      <c r="G69" s="101"/>
      <c r="H69" s="101"/>
      <c r="I69" s="101"/>
      <c r="J69" s="101"/>
      <c r="K69" s="101"/>
      <c r="L69" s="101"/>
      <c r="M69" s="101"/>
      <c r="N69" s="101"/>
      <c r="O69" s="101"/>
      <c r="P69" s="101"/>
      <c r="Q69" s="101"/>
      <c r="R69" s="101"/>
      <c r="S69" s="101"/>
      <c r="T69" s="101"/>
      <c r="U69" s="101"/>
      <c r="V69" s="101"/>
      <c r="W69" s="101"/>
    </row>
    <row r="70" spans="3:23">
      <c r="C70" s="101"/>
      <c r="D70" s="101"/>
      <c r="E70" s="101"/>
      <c r="F70" s="101"/>
      <c r="G70" s="101"/>
      <c r="H70" s="101"/>
      <c r="I70" s="101"/>
      <c r="J70" s="101"/>
      <c r="K70" s="101"/>
      <c r="L70" s="101"/>
      <c r="M70" s="101"/>
      <c r="N70" s="101"/>
      <c r="O70" s="101"/>
      <c r="P70" s="101"/>
      <c r="Q70" s="101"/>
      <c r="R70" s="101"/>
      <c r="S70" s="101"/>
      <c r="T70" s="101"/>
      <c r="U70" s="101"/>
      <c r="V70" s="101"/>
      <c r="W70" s="101"/>
    </row>
    <row r="71" spans="3:23">
      <c r="C71" s="331" t="s">
        <v>228</v>
      </c>
      <c r="D71" s="331"/>
      <c r="E71" s="331"/>
      <c r="F71" s="331"/>
      <c r="G71" s="331"/>
      <c r="H71" s="331"/>
      <c r="I71" s="331"/>
      <c r="J71" s="331"/>
      <c r="K71" s="331"/>
      <c r="L71" s="331"/>
      <c r="M71" s="331"/>
      <c r="N71" s="331"/>
      <c r="O71" s="331"/>
      <c r="P71" s="331"/>
      <c r="Q71" s="331"/>
      <c r="R71" s="331"/>
      <c r="S71" s="331"/>
      <c r="T71" s="331"/>
      <c r="U71" s="331"/>
      <c r="V71" s="331"/>
      <c r="W71" s="331"/>
    </row>
    <row r="72" spans="3:23" ht="43.5" customHeight="1">
      <c r="C72" s="328" t="s">
        <v>229</v>
      </c>
      <c r="D72" s="328"/>
      <c r="E72" s="328"/>
      <c r="F72" s="328"/>
      <c r="G72" s="328"/>
      <c r="H72" s="328"/>
      <c r="I72" s="328"/>
      <c r="J72" s="328"/>
      <c r="K72" s="328"/>
      <c r="L72" s="328"/>
      <c r="M72" s="328"/>
      <c r="N72" s="328"/>
      <c r="O72" s="328"/>
      <c r="P72" s="328"/>
      <c r="Q72" s="328"/>
      <c r="R72" s="328"/>
      <c r="S72" s="328"/>
      <c r="T72" s="328"/>
      <c r="U72" s="328"/>
      <c r="V72" s="328"/>
      <c r="W72" s="328"/>
    </row>
    <row r="73" spans="3:23">
      <c r="C73" s="105"/>
      <c r="D73" s="105"/>
      <c r="E73" s="105"/>
      <c r="F73" s="105"/>
      <c r="G73" s="105"/>
      <c r="H73" s="105"/>
      <c r="I73" s="105"/>
      <c r="J73" s="105"/>
      <c r="K73" s="105"/>
      <c r="L73" s="105"/>
      <c r="M73" s="105"/>
      <c r="N73" s="105"/>
      <c r="O73" s="105"/>
      <c r="P73" s="105"/>
      <c r="Q73" s="105"/>
      <c r="R73" s="105"/>
      <c r="S73" s="105"/>
      <c r="T73" s="105"/>
      <c r="U73" s="105"/>
      <c r="V73" s="105"/>
      <c r="W73" s="105"/>
    </row>
    <row r="74" spans="3:23">
      <c r="C74" s="105"/>
      <c r="D74" s="105"/>
      <c r="E74" s="105"/>
      <c r="F74" s="105"/>
      <c r="G74" s="105"/>
      <c r="H74" s="105"/>
      <c r="I74" s="105"/>
      <c r="J74" s="105"/>
      <c r="K74" s="105"/>
      <c r="L74" s="105"/>
      <c r="M74" s="105"/>
      <c r="N74" s="105"/>
      <c r="O74" s="105"/>
      <c r="P74" s="105"/>
      <c r="Q74" s="105"/>
      <c r="R74" s="105"/>
      <c r="S74" s="105"/>
      <c r="T74" s="105"/>
      <c r="U74" s="105"/>
      <c r="V74" s="105"/>
      <c r="W74" s="105"/>
    </row>
    <row r="75" spans="3:23">
      <c r="C75" s="105"/>
      <c r="D75" s="105"/>
      <c r="E75" s="105"/>
      <c r="F75" s="105"/>
      <c r="G75" s="105"/>
      <c r="H75" s="105"/>
      <c r="I75" s="105"/>
      <c r="J75" s="105"/>
      <c r="K75" s="105"/>
      <c r="L75" s="105"/>
      <c r="M75" s="105"/>
      <c r="N75" s="105"/>
      <c r="O75" s="105"/>
      <c r="P75" s="105"/>
      <c r="Q75" s="105"/>
      <c r="R75" s="105"/>
      <c r="S75" s="105"/>
      <c r="T75" s="105"/>
      <c r="U75" s="105"/>
      <c r="V75" s="105"/>
      <c r="W75" s="105"/>
    </row>
    <row r="76" spans="3:23">
      <c r="C76" s="105"/>
      <c r="D76" s="105"/>
      <c r="E76" s="105"/>
      <c r="F76" s="105"/>
      <c r="G76" s="105"/>
      <c r="H76" s="105"/>
      <c r="I76" s="105"/>
      <c r="J76" s="105"/>
      <c r="K76" s="105"/>
      <c r="L76" s="105"/>
      <c r="M76" s="105"/>
      <c r="N76" s="105"/>
      <c r="O76" s="105"/>
      <c r="P76" s="105"/>
      <c r="Q76" s="105"/>
      <c r="R76" s="105"/>
      <c r="S76" s="105"/>
      <c r="T76" s="105"/>
      <c r="U76" s="105"/>
      <c r="V76" s="105"/>
      <c r="W76" s="105"/>
    </row>
    <row r="77" spans="3:23">
      <c r="C77" s="105"/>
      <c r="D77" s="105"/>
      <c r="E77" s="105"/>
      <c r="F77" s="105"/>
      <c r="G77" s="105"/>
      <c r="H77" s="105"/>
      <c r="I77" s="105"/>
      <c r="J77" s="105"/>
      <c r="K77" s="105"/>
      <c r="L77" s="105"/>
      <c r="M77" s="105"/>
      <c r="N77" s="105"/>
      <c r="O77" s="105"/>
      <c r="P77" s="105"/>
      <c r="Q77" s="105"/>
      <c r="R77" s="105"/>
      <c r="S77" s="105"/>
      <c r="T77" s="105"/>
      <c r="U77" s="105"/>
      <c r="V77" s="105"/>
      <c r="W77" s="105"/>
    </row>
  </sheetData>
  <mergeCells count="6">
    <mergeCell ref="C72:W72"/>
    <mergeCell ref="C43:W43"/>
    <mergeCell ref="C68:W68"/>
    <mergeCell ref="C71:W71"/>
    <mergeCell ref="C65:W65"/>
    <mergeCell ref="C44:W62"/>
  </mergeCells>
  <conditionalFormatting sqref="BM23:BS23">
    <cfRule type="containsBlanks" dxfId="219" priority="187" stopIfTrue="1">
      <formula>LEN(TRIM(BM23))=0</formula>
    </cfRule>
    <cfRule type="notContainsBlanks" dxfId="218" priority="188" stopIfTrue="1">
      <formula>LEN(TRIM(BM23))&gt;0</formula>
    </cfRule>
  </conditionalFormatting>
  <conditionalFormatting sqref="BM24:BS24">
    <cfRule type="containsBlanks" dxfId="217" priority="189" stopIfTrue="1">
      <formula>LEN(TRIM(BM24))=0</formula>
    </cfRule>
    <cfRule type="notContainsBlanks" dxfId="216" priority="190" stopIfTrue="1">
      <formula>LEN(TRIM(BM24))&gt;0</formula>
    </cfRule>
  </conditionalFormatting>
  <conditionalFormatting sqref="BM25:BS25">
    <cfRule type="containsBlanks" dxfId="215" priority="191" stopIfTrue="1">
      <formula>LEN(TRIM(BM25))=0</formula>
    </cfRule>
    <cfRule type="notContainsBlanks" dxfId="214" priority="192" stopIfTrue="1">
      <formula>LEN(TRIM(BM25))&gt;0</formula>
    </cfRule>
  </conditionalFormatting>
  <conditionalFormatting sqref="BM26:BS26">
    <cfRule type="containsBlanks" dxfId="213" priority="193" stopIfTrue="1">
      <formula>LEN(TRIM(BM26))=0</formula>
    </cfRule>
    <cfRule type="notContainsBlanks" dxfId="212" priority="194" stopIfTrue="1">
      <formula>LEN(TRIM(BM26))&gt;0</formula>
    </cfRule>
  </conditionalFormatting>
  <conditionalFormatting sqref="BM27:BS27">
    <cfRule type="containsBlanks" dxfId="211" priority="195" stopIfTrue="1">
      <formula>LEN(TRIM(BM27))=0</formula>
    </cfRule>
    <cfRule type="notContainsBlanks" dxfId="210" priority="196" stopIfTrue="1">
      <formula>LEN(TRIM(BM27))&gt;0</formula>
    </cfRule>
  </conditionalFormatting>
  <conditionalFormatting sqref="BM28:BS28">
    <cfRule type="containsBlanks" dxfId="209" priority="197" stopIfTrue="1">
      <formula>LEN(TRIM(BM28))=0</formula>
    </cfRule>
    <cfRule type="notContainsBlanks" dxfId="208" priority="198" stopIfTrue="1">
      <formula>LEN(TRIM(BM28))&gt;0</formula>
    </cfRule>
  </conditionalFormatting>
  <conditionalFormatting sqref="BM29:BS29">
    <cfRule type="containsBlanks" dxfId="207" priority="199" stopIfTrue="1">
      <formula>LEN(TRIM(BM29))=0</formula>
    </cfRule>
  </conditionalFormatting>
  <conditionalFormatting sqref="BM29:BS29">
    <cfRule type="notContainsBlanks" dxfId="206" priority="200" stopIfTrue="1">
      <formula>LEN(TRIM(BM29))&gt;0</formula>
    </cfRule>
  </conditionalFormatting>
  <conditionalFormatting sqref="BC23:BI23">
    <cfRule type="containsBlanks" dxfId="205" priority="246" stopIfTrue="1">
      <formula>LEN(TRIM(BC23))=0</formula>
    </cfRule>
  </conditionalFormatting>
  <conditionalFormatting sqref="BC23:BI23">
    <cfRule type="notContainsBlanks" dxfId="204" priority="247" stopIfTrue="1">
      <formula>LEN(TRIM(BC23))&gt;0</formula>
    </cfRule>
  </conditionalFormatting>
  <conditionalFormatting sqref="BC24:BI24">
    <cfRule type="containsBlanks" dxfId="203" priority="248" stopIfTrue="1">
      <formula>LEN(TRIM(BC24))=0</formula>
    </cfRule>
  </conditionalFormatting>
  <conditionalFormatting sqref="BC24:BI24">
    <cfRule type="notContainsBlanks" dxfId="202" priority="249" stopIfTrue="1">
      <formula>LEN(TRIM(BC24))&gt;0</formula>
    </cfRule>
  </conditionalFormatting>
  <conditionalFormatting sqref="BC25:BI25">
    <cfRule type="containsBlanks" dxfId="201" priority="250" stopIfTrue="1">
      <formula>LEN(TRIM(BC25))=0</formula>
    </cfRule>
  </conditionalFormatting>
  <conditionalFormatting sqref="BC25:BI25">
    <cfRule type="notContainsBlanks" dxfId="200" priority="251" stopIfTrue="1">
      <formula>LEN(TRIM(BC25))&gt;0</formula>
    </cfRule>
  </conditionalFormatting>
  <conditionalFormatting sqref="BC26:BI26">
    <cfRule type="containsBlanks" dxfId="199" priority="252" stopIfTrue="1">
      <formula>LEN(TRIM(BC26))=0</formula>
    </cfRule>
  </conditionalFormatting>
  <conditionalFormatting sqref="BC26:BI26">
    <cfRule type="notContainsBlanks" dxfId="198" priority="253" stopIfTrue="1">
      <formula>LEN(TRIM(BC26))&gt;0</formula>
    </cfRule>
  </conditionalFormatting>
  <conditionalFormatting sqref="BC27:BI27">
    <cfRule type="containsBlanks" dxfId="197" priority="254" stopIfTrue="1">
      <formula>LEN(TRIM(BC27))=0</formula>
    </cfRule>
  </conditionalFormatting>
  <conditionalFormatting sqref="BC27:BI27">
    <cfRule type="notContainsBlanks" dxfId="196" priority="255" stopIfTrue="1">
      <formula>LEN(TRIM(BC27))&gt;0</formula>
    </cfRule>
  </conditionalFormatting>
  <conditionalFormatting sqref="BC28:BI28">
    <cfRule type="containsBlanks" dxfId="195" priority="256" stopIfTrue="1">
      <formula>LEN(TRIM(BC28))=0</formula>
    </cfRule>
  </conditionalFormatting>
  <conditionalFormatting sqref="BC28:BI28">
    <cfRule type="notContainsBlanks" dxfId="194" priority="257" stopIfTrue="1">
      <formula>LEN(TRIM(BC28))&gt;0</formula>
    </cfRule>
  </conditionalFormatting>
  <conditionalFormatting sqref="BC29:BI29">
    <cfRule type="containsBlanks" dxfId="193" priority="258" stopIfTrue="1">
      <formula>LEN(TRIM(BC29))=0</formula>
    </cfRule>
  </conditionalFormatting>
  <conditionalFormatting sqref="BC29:BI29">
    <cfRule type="notContainsBlanks" dxfId="192" priority="259" stopIfTrue="1">
      <formula>LEN(TRIM(BC29))&gt;0</formula>
    </cfRule>
  </conditionalFormatting>
  <conditionalFormatting sqref="AS23:AY23">
    <cfRule type="containsBlanks" dxfId="191" priority="305" stopIfTrue="1">
      <formula>LEN(TRIM(AS23))=0</formula>
    </cfRule>
  </conditionalFormatting>
  <conditionalFormatting sqref="AS23:AY23">
    <cfRule type="notContainsBlanks" dxfId="190" priority="306" stopIfTrue="1">
      <formula>LEN(TRIM(AS23))&gt;0</formula>
    </cfRule>
  </conditionalFormatting>
  <conditionalFormatting sqref="AS24:AY24">
    <cfRule type="containsBlanks" dxfId="189" priority="307" stopIfTrue="1">
      <formula>LEN(TRIM(AS24))=0</formula>
    </cfRule>
  </conditionalFormatting>
  <conditionalFormatting sqref="AS24:AY24">
    <cfRule type="notContainsBlanks" dxfId="188" priority="308" stopIfTrue="1">
      <formula>LEN(TRIM(AS24))&gt;0</formula>
    </cfRule>
  </conditionalFormatting>
  <conditionalFormatting sqref="AS25:AY25">
    <cfRule type="containsBlanks" dxfId="187" priority="309" stopIfTrue="1">
      <formula>LEN(TRIM(AS25))=0</formula>
    </cfRule>
  </conditionalFormatting>
  <conditionalFormatting sqref="AS25:AY25">
    <cfRule type="notContainsBlanks" dxfId="186" priority="310" stopIfTrue="1">
      <formula>LEN(TRIM(AS25))&gt;0</formula>
    </cfRule>
  </conditionalFormatting>
  <conditionalFormatting sqref="AS26:AY26">
    <cfRule type="containsBlanks" dxfId="185" priority="311" stopIfTrue="1">
      <formula>LEN(TRIM(AS26))=0</formula>
    </cfRule>
  </conditionalFormatting>
  <conditionalFormatting sqref="AS26:AY26">
    <cfRule type="notContainsBlanks" dxfId="184" priority="312" stopIfTrue="1">
      <formula>LEN(TRIM(AS26))&gt;0</formula>
    </cfRule>
  </conditionalFormatting>
  <conditionalFormatting sqref="AS27:AY27">
    <cfRule type="containsBlanks" dxfId="183" priority="313" stopIfTrue="1">
      <formula>LEN(TRIM(AS27))=0</formula>
    </cfRule>
  </conditionalFormatting>
  <conditionalFormatting sqref="AS27:AY27">
    <cfRule type="notContainsBlanks" dxfId="182" priority="314" stopIfTrue="1">
      <formula>LEN(TRIM(AS27))&gt;0</formula>
    </cfRule>
  </conditionalFormatting>
  <conditionalFormatting sqref="AS28:AY28">
    <cfRule type="containsBlanks" dxfId="181" priority="315" stopIfTrue="1">
      <formula>LEN(TRIM(AS28))=0</formula>
    </cfRule>
  </conditionalFormatting>
  <conditionalFormatting sqref="AS28:AY28">
    <cfRule type="notContainsBlanks" dxfId="180" priority="316" stopIfTrue="1">
      <formula>LEN(TRIM(AS28))&gt;0</formula>
    </cfRule>
  </conditionalFormatting>
  <conditionalFormatting sqref="AS29:AY29">
    <cfRule type="containsBlanks" dxfId="179" priority="317" stopIfTrue="1">
      <formula>LEN(TRIM(AS29))=0</formula>
    </cfRule>
  </conditionalFormatting>
  <conditionalFormatting sqref="AS29:AY29">
    <cfRule type="notContainsBlanks" dxfId="178" priority="318" stopIfTrue="1">
      <formula>LEN(TRIM(AS29))&gt;0</formula>
    </cfRule>
  </conditionalFormatting>
  <conditionalFormatting sqref="AI23:AO23">
    <cfRule type="containsBlanks" dxfId="177" priority="364" stopIfTrue="1">
      <formula>LEN(TRIM(AI23))=0</formula>
    </cfRule>
    <cfRule type="notContainsBlanks" dxfId="176" priority="365" stopIfTrue="1">
      <formula>LEN(TRIM(AI23))&gt;0</formula>
    </cfRule>
  </conditionalFormatting>
  <conditionalFormatting sqref="AI24:AO24">
    <cfRule type="containsBlanks" dxfId="175" priority="366" stopIfTrue="1">
      <formula>LEN(TRIM(AI24))=0</formula>
    </cfRule>
    <cfRule type="notContainsBlanks" dxfId="174" priority="367" stopIfTrue="1">
      <formula>LEN(TRIM(AI24))&gt;0</formula>
    </cfRule>
  </conditionalFormatting>
  <conditionalFormatting sqref="AI25:AO25">
    <cfRule type="containsBlanks" dxfId="173" priority="368" stopIfTrue="1">
      <formula>LEN(TRIM(AI25))=0</formula>
    </cfRule>
    <cfRule type="notContainsBlanks" dxfId="172" priority="369" stopIfTrue="1">
      <formula>LEN(TRIM(AI25))&gt;0</formula>
    </cfRule>
  </conditionalFormatting>
  <conditionalFormatting sqref="AI26:AO26">
    <cfRule type="containsBlanks" dxfId="171" priority="370" stopIfTrue="1">
      <formula>LEN(TRIM(AI26))=0</formula>
    </cfRule>
    <cfRule type="notContainsBlanks" dxfId="170" priority="371" stopIfTrue="1">
      <formula>LEN(TRIM(AI26))&gt;0</formula>
    </cfRule>
  </conditionalFormatting>
  <conditionalFormatting sqref="AI27:AO27">
    <cfRule type="containsBlanks" dxfId="169" priority="372" stopIfTrue="1">
      <formula>LEN(TRIM(AI27))=0</formula>
    </cfRule>
    <cfRule type="notContainsBlanks" dxfId="168" priority="373" stopIfTrue="1">
      <formula>LEN(TRIM(AI27))&gt;0</formula>
    </cfRule>
  </conditionalFormatting>
  <conditionalFormatting sqref="AI28:AO28">
    <cfRule type="containsBlanks" dxfId="167" priority="374" stopIfTrue="1">
      <formula>LEN(TRIM(AI28))=0</formula>
    </cfRule>
    <cfRule type="notContainsBlanks" dxfId="166" priority="375" stopIfTrue="1">
      <formula>LEN(TRIM(AI28))&gt;0</formula>
    </cfRule>
  </conditionalFormatting>
  <conditionalFormatting sqref="AI29:AO29">
    <cfRule type="containsBlanks" dxfId="165" priority="376" stopIfTrue="1">
      <formula>LEN(TRIM(AI29))=0</formula>
    </cfRule>
  </conditionalFormatting>
  <conditionalFormatting sqref="AI29:AO29">
    <cfRule type="notContainsBlanks" dxfId="164" priority="377" stopIfTrue="1">
      <formula>LEN(TRIM(AI29))&gt;0</formula>
    </cfRule>
  </conditionalFormatting>
  <conditionalFormatting sqref="Y23:AE23">
    <cfRule type="containsBlanks" dxfId="163" priority="423" stopIfTrue="1">
      <formula>LEN(TRIM(Y23))=0</formula>
    </cfRule>
  </conditionalFormatting>
  <conditionalFormatting sqref="Y23:AE23">
    <cfRule type="notContainsBlanks" dxfId="162" priority="424" stopIfTrue="1">
      <formula>LEN(TRIM(Y23))&gt;0</formula>
    </cfRule>
  </conditionalFormatting>
  <conditionalFormatting sqref="Y24:AE24">
    <cfRule type="containsBlanks" dxfId="161" priority="425" stopIfTrue="1">
      <formula>LEN(TRIM(Y24))=0</formula>
    </cfRule>
  </conditionalFormatting>
  <conditionalFormatting sqref="Y24:AE24">
    <cfRule type="notContainsBlanks" dxfId="160" priority="426" stopIfTrue="1">
      <formula>LEN(TRIM(Y24))&gt;0</formula>
    </cfRule>
  </conditionalFormatting>
  <conditionalFormatting sqref="Y25:AE25">
    <cfRule type="containsBlanks" dxfId="159" priority="427" stopIfTrue="1">
      <formula>LEN(TRIM(Y25))=0</formula>
    </cfRule>
  </conditionalFormatting>
  <conditionalFormatting sqref="Y25:AE25">
    <cfRule type="notContainsBlanks" dxfId="158" priority="428" stopIfTrue="1">
      <formula>LEN(TRIM(Y25))&gt;0</formula>
    </cfRule>
  </conditionalFormatting>
  <conditionalFormatting sqref="Y26:AE26">
    <cfRule type="containsBlanks" dxfId="157" priority="429" stopIfTrue="1">
      <formula>LEN(TRIM(Y26))=0</formula>
    </cfRule>
  </conditionalFormatting>
  <conditionalFormatting sqref="Y26:AE26">
    <cfRule type="notContainsBlanks" dxfId="156" priority="430" stopIfTrue="1">
      <formula>LEN(TRIM(Y26))&gt;0</formula>
    </cfRule>
  </conditionalFormatting>
  <conditionalFormatting sqref="Y27:AE27">
    <cfRule type="containsBlanks" dxfId="155" priority="431" stopIfTrue="1">
      <formula>LEN(TRIM(Y27))=0</formula>
    </cfRule>
  </conditionalFormatting>
  <conditionalFormatting sqref="Y27:AE27">
    <cfRule type="notContainsBlanks" dxfId="154" priority="432" stopIfTrue="1">
      <formula>LEN(TRIM(Y27))&gt;0</formula>
    </cfRule>
  </conditionalFormatting>
  <conditionalFormatting sqref="Y28:AE28">
    <cfRule type="containsBlanks" dxfId="153" priority="433" stopIfTrue="1">
      <formula>LEN(TRIM(Y28))=0</formula>
    </cfRule>
  </conditionalFormatting>
  <conditionalFormatting sqref="Y28:AE28">
    <cfRule type="notContainsBlanks" dxfId="152" priority="434" stopIfTrue="1">
      <formula>LEN(TRIM(Y28))&gt;0</formula>
    </cfRule>
  </conditionalFormatting>
  <conditionalFormatting sqref="Y29:AE29">
    <cfRule type="containsBlanks" dxfId="151" priority="435" stopIfTrue="1">
      <formula>LEN(TRIM(Y29))=0</formula>
    </cfRule>
  </conditionalFormatting>
  <conditionalFormatting sqref="Y29:AE29">
    <cfRule type="notContainsBlanks" dxfId="150" priority="436" stopIfTrue="1">
      <formula>LEN(TRIM(Y29))&gt;0</formula>
    </cfRule>
  </conditionalFormatting>
  <conditionalFormatting sqref="O23:U23">
    <cfRule type="containsBlanks" dxfId="149" priority="482" stopIfTrue="1">
      <formula>LEN(TRIM(O23))=0</formula>
    </cfRule>
  </conditionalFormatting>
  <conditionalFormatting sqref="O23:U23">
    <cfRule type="notContainsBlanks" dxfId="148" priority="483" stopIfTrue="1">
      <formula>LEN(TRIM(O23))&gt;0</formula>
    </cfRule>
  </conditionalFormatting>
  <conditionalFormatting sqref="O24:U24">
    <cfRule type="containsBlanks" dxfId="147" priority="484" stopIfTrue="1">
      <formula>LEN(TRIM(O24))=0</formula>
    </cfRule>
  </conditionalFormatting>
  <conditionalFormatting sqref="O24:U24">
    <cfRule type="notContainsBlanks" dxfId="146" priority="485" stopIfTrue="1">
      <formula>LEN(TRIM(O24))&gt;0</formula>
    </cfRule>
  </conditionalFormatting>
  <conditionalFormatting sqref="O25:U25">
    <cfRule type="containsBlanks" dxfId="145" priority="486" stopIfTrue="1">
      <formula>LEN(TRIM(O25))=0</formula>
    </cfRule>
  </conditionalFormatting>
  <conditionalFormatting sqref="O25:U25">
    <cfRule type="notContainsBlanks" dxfId="144" priority="487" stopIfTrue="1">
      <formula>LEN(TRIM(O25))&gt;0</formula>
    </cfRule>
  </conditionalFormatting>
  <conditionalFormatting sqref="O26:U26">
    <cfRule type="containsBlanks" dxfId="143" priority="488" stopIfTrue="1">
      <formula>LEN(TRIM(O26))=0</formula>
    </cfRule>
  </conditionalFormatting>
  <conditionalFormatting sqref="O26:U26">
    <cfRule type="notContainsBlanks" dxfId="142" priority="489" stopIfTrue="1">
      <formula>LEN(TRIM(O26))&gt;0</formula>
    </cfRule>
  </conditionalFormatting>
  <conditionalFormatting sqref="O27:U27">
    <cfRule type="containsBlanks" dxfId="141" priority="490" stopIfTrue="1">
      <formula>LEN(TRIM(O27))=0</formula>
    </cfRule>
  </conditionalFormatting>
  <conditionalFormatting sqref="O27:U27">
    <cfRule type="notContainsBlanks" dxfId="140" priority="491" stopIfTrue="1">
      <formula>LEN(TRIM(O27))&gt;0</formula>
    </cfRule>
  </conditionalFormatting>
  <conditionalFormatting sqref="O28:U28">
    <cfRule type="containsBlanks" dxfId="139" priority="492" stopIfTrue="1">
      <formula>LEN(TRIM(O28))=0</formula>
    </cfRule>
  </conditionalFormatting>
  <conditionalFormatting sqref="O28:U28">
    <cfRule type="notContainsBlanks" dxfId="138" priority="493" stopIfTrue="1">
      <formula>LEN(TRIM(O28))&gt;0</formula>
    </cfRule>
  </conditionalFormatting>
  <conditionalFormatting sqref="O29:U29">
    <cfRule type="containsBlanks" dxfId="137" priority="494" stopIfTrue="1">
      <formula>LEN(TRIM(O29))=0</formula>
    </cfRule>
  </conditionalFormatting>
  <conditionalFormatting sqref="O29:U29">
    <cfRule type="notContainsBlanks" dxfId="136" priority="495" stopIfTrue="1">
      <formula>LEN(TRIM(O29))&gt;0</formula>
    </cfRule>
  </conditionalFormatting>
  <conditionalFormatting sqref="E23:K23">
    <cfRule type="containsBlanks" dxfId="135" priority="541" stopIfTrue="1">
      <formula>LEN(TRIM(E23))=0</formula>
    </cfRule>
  </conditionalFormatting>
  <conditionalFormatting sqref="E23:K23">
    <cfRule type="notContainsBlanks" dxfId="134" priority="542" stopIfTrue="1">
      <formula>LEN(TRIM(E23))&gt;0</formula>
    </cfRule>
  </conditionalFormatting>
  <conditionalFormatting sqref="E24:K24">
    <cfRule type="containsBlanks" dxfId="133" priority="543" stopIfTrue="1">
      <formula>LEN(TRIM(E24))=0</formula>
    </cfRule>
  </conditionalFormatting>
  <conditionalFormatting sqref="E24:K24">
    <cfRule type="notContainsBlanks" dxfId="132" priority="544" stopIfTrue="1">
      <formula>LEN(TRIM(E24))&gt;0</formula>
    </cfRule>
  </conditionalFormatting>
  <conditionalFormatting sqref="E25:K25">
    <cfRule type="containsBlanks" dxfId="131" priority="545" stopIfTrue="1">
      <formula>LEN(TRIM(E25))=0</formula>
    </cfRule>
  </conditionalFormatting>
  <conditionalFormatting sqref="E25:K25">
    <cfRule type="notContainsBlanks" dxfId="130" priority="546" stopIfTrue="1">
      <formula>LEN(TRIM(E25))&gt;0</formula>
    </cfRule>
  </conditionalFormatting>
  <conditionalFormatting sqref="E26:K26">
    <cfRule type="containsBlanks" dxfId="129" priority="547" stopIfTrue="1">
      <formula>LEN(TRIM(E26))=0</formula>
    </cfRule>
  </conditionalFormatting>
  <conditionalFormatting sqref="E26:K26">
    <cfRule type="notContainsBlanks" dxfId="128" priority="548" stopIfTrue="1">
      <formula>LEN(TRIM(E26))&gt;0</formula>
    </cfRule>
  </conditionalFormatting>
  <conditionalFormatting sqref="E27:K27">
    <cfRule type="containsBlanks" dxfId="127" priority="549" stopIfTrue="1">
      <formula>LEN(TRIM(E27))=0</formula>
    </cfRule>
  </conditionalFormatting>
  <conditionalFormatting sqref="E27:K27">
    <cfRule type="notContainsBlanks" dxfId="126" priority="550" stopIfTrue="1">
      <formula>LEN(TRIM(E27))&gt;0</formula>
    </cfRule>
  </conditionalFormatting>
  <conditionalFormatting sqref="E28:K28">
    <cfRule type="containsBlanks" dxfId="125" priority="551" stopIfTrue="1">
      <formula>LEN(TRIM(E28))=0</formula>
    </cfRule>
  </conditionalFormatting>
  <conditionalFormatting sqref="E28:K28">
    <cfRule type="notContainsBlanks" dxfId="124" priority="552" stopIfTrue="1">
      <formula>LEN(TRIM(E28))&gt;0</formula>
    </cfRule>
  </conditionalFormatting>
  <conditionalFormatting sqref="E29:K29">
    <cfRule type="containsBlanks" dxfId="123" priority="553" stopIfTrue="1">
      <formula>LEN(TRIM(E29))=0</formula>
    </cfRule>
  </conditionalFormatting>
  <conditionalFormatting sqref="E29:K29">
    <cfRule type="notContainsBlanks" dxfId="122" priority="554" stopIfTrue="1">
      <formula>LEN(TRIM(E29))&gt;0</formula>
    </cfRule>
  </conditionalFormatting>
  <conditionalFormatting sqref="E7:K13">
    <cfRule type="containsBlanks" dxfId="121" priority="157" stopIfTrue="1">
      <formula>LEN(TRIM(E7))=0</formula>
    </cfRule>
  </conditionalFormatting>
  <conditionalFormatting sqref="E7:K13">
    <cfRule type="notContainsBlanks" dxfId="120" priority="158" stopIfTrue="1">
      <formula>LEN(TRIM(E7))&gt;0</formula>
    </cfRule>
  </conditionalFormatting>
  <conditionalFormatting sqref="E15:K21">
    <cfRule type="containsBlanks" dxfId="119" priority="155" stopIfTrue="1">
      <formula>LEN(TRIM(E15))=0</formula>
    </cfRule>
  </conditionalFormatting>
  <conditionalFormatting sqref="E15:K21">
    <cfRule type="notContainsBlanks" dxfId="118" priority="156" stopIfTrue="1">
      <formula>LEN(TRIM(E15))&gt;0</formula>
    </cfRule>
  </conditionalFormatting>
  <conditionalFormatting sqref="O8:O13 O7:R7">
    <cfRule type="containsBlanks" dxfId="117" priority="143" stopIfTrue="1">
      <formula>LEN(TRIM(O7))=0</formula>
    </cfRule>
  </conditionalFormatting>
  <conditionalFormatting sqref="O8:O13 O7:R7">
    <cfRule type="notContainsBlanks" dxfId="116" priority="144" stopIfTrue="1">
      <formula>LEN(TRIM(O7))&gt;0</formula>
    </cfRule>
  </conditionalFormatting>
  <conditionalFormatting sqref="O15:U21">
    <cfRule type="containsBlanks" dxfId="115" priority="141" stopIfTrue="1">
      <formula>LEN(TRIM(O15))=0</formula>
    </cfRule>
  </conditionalFormatting>
  <conditionalFormatting sqref="O15:U21">
    <cfRule type="notContainsBlanks" dxfId="114" priority="142" stopIfTrue="1">
      <formula>LEN(TRIM(O15))&gt;0</formula>
    </cfRule>
  </conditionalFormatting>
  <conditionalFormatting sqref="Y7:AE13">
    <cfRule type="containsBlanks" dxfId="113" priority="129" stopIfTrue="1">
      <formula>LEN(TRIM(Y7))=0</formula>
    </cfRule>
  </conditionalFormatting>
  <conditionalFormatting sqref="Y7:AE13">
    <cfRule type="notContainsBlanks" dxfId="112" priority="130" stopIfTrue="1">
      <formula>LEN(TRIM(Y7))&gt;0</formula>
    </cfRule>
  </conditionalFormatting>
  <conditionalFormatting sqref="Y15:AE21">
    <cfRule type="containsBlanks" dxfId="111" priority="127" stopIfTrue="1">
      <formula>LEN(TRIM(Y15))=0</formula>
    </cfRule>
  </conditionalFormatting>
  <conditionalFormatting sqref="Y15:AE21">
    <cfRule type="notContainsBlanks" dxfId="110" priority="128" stopIfTrue="1">
      <formula>LEN(TRIM(Y15))&gt;0</formula>
    </cfRule>
  </conditionalFormatting>
  <conditionalFormatting sqref="AI7:AO13">
    <cfRule type="containsBlanks" dxfId="109" priority="115" stopIfTrue="1">
      <formula>LEN(TRIM(AI7))=0</formula>
    </cfRule>
  </conditionalFormatting>
  <conditionalFormatting sqref="AI7:AO13">
    <cfRule type="notContainsBlanks" dxfId="108" priority="116" stopIfTrue="1">
      <formula>LEN(TRIM(AI7))&gt;0</formula>
    </cfRule>
  </conditionalFormatting>
  <conditionalFormatting sqref="AI15:AO21">
    <cfRule type="containsBlanks" dxfId="107" priority="113" stopIfTrue="1">
      <formula>LEN(TRIM(AI15))=0</formula>
    </cfRule>
  </conditionalFormatting>
  <conditionalFormatting sqref="AI15:AO21">
    <cfRule type="notContainsBlanks" dxfId="106" priority="114" stopIfTrue="1">
      <formula>LEN(TRIM(AI15))&gt;0</formula>
    </cfRule>
  </conditionalFormatting>
  <conditionalFormatting sqref="AS7:AY13">
    <cfRule type="containsBlanks" dxfId="105" priority="101" stopIfTrue="1">
      <formula>LEN(TRIM(AS7))=0</formula>
    </cfRule>
  </conditionalFormatting>
  <conditionalFormatting sqref="AS7:AY13">
    <cfRule type="notContainsBlanks" dxfId="104" priority="102" stopIfTrue="1">
      <formula>LEN(TRIM(AS7))&gt;0</formula>
    </cfRule>
  </conditionalFormatting>
  <conditionalFormatting sqref="AS15:AY21">
    <cfRule type="containsBlanks" dxfId="103" priority="99" stopIfTrue="1">
      <formula>LEN(TRIM(AS15))=0</formula>
    </cfRule>
  </conditionalFormatting>
  <conditionalFormatting sqref="AS15:AY21">
    <cfRule type="notContainsBlanks" dxfId="102" priority="100" stopIfTrue="1">
      <formula>LEN(TRIM(AS15))&gt;0</formula>
    </cfRule>
  </conditionalFormatting>
  <conditionalFormatting sqref="BC7:BI13">
    <cfRule type="containsBlanks" dxfId="101" priority="87" stopIfTrue="1">
      <formula>LEN(TRIM(BC7))=0</formula>
    </cfRule>
  </conditionalFormatting>
  <conditionalFormatting sqref="BC7:BI13">
    <cfRule type="notContainsBlanks" dxfId="100" priority="88" stopIfTrue="1">
      <formula>LEN(TRIM(BC7))&gt;0</formula>
    </cfRule>
  </conditionalFormatting>
  <conditionalFormatting sqref="BC15:BI21">
    <cfRule type="containsBlanks" dxfId="99" priority="85" stopIfTrue="1">
      <formula>LEN(TRIM(BC15))=0</formula>
    </cfRule>
  </conditionalFormatting>
  <conditionalFormatting sqref="BC15:BI21">
    <cfRule type="notContainsBlanks" dxfId="98" priority="86" stopIfTrue="1">
      <formula>LEN(TRIM(BC15))&gt;0</formula>
    </cfRule>
  </conditionalFormatting>
  <conditionalFormatting sqref="BM7:BS13">
    <cfRule type="containsBlanks" dxfId="97" priority="73" stopIfTrue="1">
      <formula>LEN(TRIM(BM7))=0</formula>
    </cfRule>
  </conditionalFormatting>
  <conditionalFormatting sqref="BM7:BS13">
    <cfRule type="notContainsBlanks" dxfId="96" priority="74" stopIfTrue="1">
      <formula>LEN(TRIM(BM7))&gt;0</formula>
    </cfRule>
  </conditionalFormatting>
  <conditionalFormatting sqref="BM15:BS21">
    <cfRule type="containsBlanks" dxfId="95" priority="71" stopIfTrue="1">
      <formula>LEN(TRIM(BM15))=0</formula>
    </cfRule>
  </conditionalFormatting>
  <conditionalFormatting sqref="BM15:BS21">
    <cfRule type="notContainsBlanks" dxfId="94" priority="72" stopIfTrue="1">
      <formula>LEN(TRIM(BM15))&gt;0</formula>
    </cfRule>
  </conditionalFormatting>
  <conditionalFormatting sqref="E32:K38">
    <cfRule type="containsBlanks" dxfId="93" priority="59" stopIfTrue="1">
      <formula>LEN(TRIM(E32))=0</formula>
    </cfRule>
  </conditionalFormatting>
  <conditionalFormatting sqref="E32:K38">
    <cfRule type="notContainsBlanks" dxfId="92" priority="60" stopIfTrue="1">
      <formula>LEN(TRIM(E32))&gt;0</formula>
    </cfRule>
  </conditionalFormatting>
  <conditionalFormatting sqref="P32:U32 O33:O38">
    <cfRule type="containsBlanks" dxfId="91" priority="57" stopIfTrue="1">
      <formula>LEN(TRIM(O32))=0</formula>
    </cfRule>
  </conditionalFormatting>
  <conditionalFormatting sqref="P32:U32 O33:O38">
    <cfRule type="notContainsBlanks" dxfId="90" priority="58" stopIfTrue="1">
      <formula>LEN(TRIM(O32))&gt;0</formula>
    </cfRule>
  </conditionalFormatting>
  <conditionalFormatting sqref="Y32:AE37 Y38:AD38">
    <cfRule type="containsBlanks" dxfId="89" priority="55" stopIfTrue="1">
      <formula>LEN(TRIM(Y32))=0</formula>
    </cfRule>
  </conditionalFormatting>
  <conditionalFormatting sqref="Y32:AE37 Y38:AD38">
    <cfRule type="notContainsBlanks" dxfId="88" priority="56" stopIfTrue="1">
      <formula>LEN(TRIM(Y32))&gt;0</formula>
    </cfRule>
  </conditionalFormatting>
  <conditionalFormatting sqref="AI32:AO38">
    <cfRule type="containsBlanks" dxfId="87" priority="53" stopIfTrue="1">
      <formula>LEN(TRIM(AI32))=0</formula>
    </cfRule>
  </conditionalFormatting>
  <conditionalFormatting sqref="AI32:AO38">
    <cfRule type="notContainsBlanks" dxfId="86" priority="54" stopIfTrue="1">
      <formula>LEN(TRIM(AI32))&gt;0</formula>
    </cfRule>
  </conditionalFormatting>
  <conditionalFormatting sqref="AS32:AY38">
    <cfRule type="containsBlanks" dxfId="85" priority="51" stopIfTrue="1">
      <formula>LEN(TRIM(AS32))=0</formula>
    </cfRule>
  </conditionalFormatting>
  <conditionalFormatting sqref="AS32:AY38">
    <cfRule type="notContainsBlanks" dxfId="84" priority="52" stopIfTrue="1">
      <formula>LEN(TRIM(AS32))&gt;0</formula>
    </cfRule>
  </conditionalFormatting>
  <conditionalFormatting sqref="BC32:BI38">
    <cfRule type="containsBlanks" dxfId="83" priority="49" stopIfTrue="1">
      <formula>LEN(TRIM(BC32))=0</formula>
    </cfRule>
  </conditionalFormatting>
  <conditionalFormatting sqref="BC32:BI38">
    <cfRule type="notContainsBlanks" dxfId="82" priority="50" stopIfTrue="1">
      <formula>LEN(TRIM(BC32))&gt;0</formula>
    </cfRule>
  </conditionalFormatting>
  <conditionalFormatting sqref="BM32:BS38 BM39:BR39">
    <cfRule type="containsBlanks" dxfId="81" priority="47" stopIfTrue="1">
      <formula>LEN(TRIM(BM32))=0</formula>
    </cfRule>
  </conditionalFormatting>
  <conditionalFormatting sqref="BM32:BS38 BM39:BR39">
    <cfRule type="notContainsBlanks" dxfId="80" priority="48" stopIfTrue="1">
      <formula>LEN(TRIM(BM32))&gt;0</formula>
    </cfRule>
  </conditionalFormatting>
  <conditionalFormatting sqref="BS39">
    <cfRule type="containsBlanks" dxfId="79" priority="35" stopIfTrue="1">
      <formula>LEN(TRIM(BS39))=0</formula>
    </cfRule>
  </conditionalFormatting>
  <conditionalFormatting sqref="BS39">
    <cfRule type="notContainsBlanks" dxfId="78" priority="36" stopIfTrue="1">
      <formula>LEN(TRIM(BS39))&gt;0</formula>
    </cfRule>
  </conditionalFormatting>
  <conditionalFormatting sqref="BC39:BH39">
    <cfRule type="containsBlanks" dxfId="77" priority="33" stopIfTrue="1">
      <formula>LEN(TRIM(BC39))=0</formula>
    </cfRule>
  </conditionalFormatting>
  <conditionalFormatting sqref="BC39:BH39">
    <cfRule type="notContainsBlanks" dxfId="76" priority="34" stopIfTrue="1">
      <formula>LEN(TRIM(BC39))&gt;0</formula>
    </cfRule>
  </conditionalFormatting>
  <conditionalFormatting sqref="BI39">
    <cfRule type="containsBlanks" dxfId="75" priority="31" stopIfTrue="1">
      <formula>LEN(TRIM(BI39))=0</formula>
    </cfRule>
  </conditionalFormatting>
  <conditionalFormatting sqref="BI39">
    <cfRule type="notContainsBlanks" dxfId="74" priority="32" stopIfTrue="1">
      <formula>LEN(TRIM(BI39))&gt;0</formula>
    </cfRule>
  </conditionalFormatting>
  <conditionalFormatting sqref="AS39:AX39">
    <cfRule type="containsBlanks" dxfId="73" priority="29" stopIfTrue="1">
      <formula>LEN(TRIM(AS39))=0</formula>
    </cfRule>
  </conditionalFormatting>
  <conditionalFormatting sqref="AS39:AX39">
    <cfRule type="notContainsBlanks" dxfId="72" priority="30" stopIfTrue="1">
      <formula>LEN(TRIM(AS39))&gt;0</formula>
    </cfRule>
  </conditionalFormatting>
  <conditionalFormatting sqref="AY39">
    <cfRule type="containsBlanks" dxfId="71" priority="27" stopIfTrue="1">
      <formula>LEN(TRIM(AY39))=0</formula>
    </cfRule>
  </conditionalFormatting>
  <conditionalFormatting sqref="AY39">
    <cfRule type="notContainsBlanks" dxfId="70" priority="28" stopIfTrue="1">
      <formula>LEN(TRIM(AY39))&gt;0</formula>
    </cfRule>
  </conditionalFormatting>
  <conditionalFormatting sqref="AI39:AN39">
    <cfRule type="containsBlanks" dxfId="69" priority="25" stopIfTrue="1">
      <formula>LEN(TRIM(AI39))=0</formula>
    </cfRule>
  </conditionalFormatting>
  <conditionalFormatting sqref="AI39:AN39">
    <cfRule type="notContainsBlanks" dxfId="68" priority="26" stopIfTrue="1">
      <formula>LEN(TRIM(AI39))&gt;0</formula>
    </cfRule>
  </conditionalFormatting>
  <conditionalFormatting sqref="AO39">
    <cfRule type="containsBlanks" dxfId="67" priority="23" stopIfTrue="1">
      <formula>LEN(TRIM(AO39))=0</formula>
    </cfRule>
  </conditionalFormatting>
  <conditionalFormatting sqref="AO39">
    <cfRule type="notContainsBlanks" dxfId="66" priority="24" stopIfTrue="1">
      <formula>LEN(TRIM(AO39))&gt;0</formula>
    </cfRule>
  </conditionalFormatting>
  <conditionalFormatting sqref="Y39:AD39">
    <cfRule type="containsBlanks" dxfId="65" priority="21" stopIfTrue="1">
      <formula>LEN(TRIM(Y39))=0</formula>
    </cfRule>
  </conditionalFormatting>
  <conditionalFormatting sqref="Y39:AD39">
    <cfRule type="notContainsBlanks" dxfId="64" priority="22" stopIfTrue="1">
      <formula>LEN(TRIM(Y39))&gt;0</formula>
    </cfRule>
  </conditionalFormatting>
  <conditionalFormatting sqref="O39:T39">
    <cfRule type="containsBlanks" dxfId="63" priority="17" stopIfTrue="1">
      <formula>LEN(TRIM(O39))=0</formula>
    </cfRule>
  </conditionalFormatting>
  <conditionalFormatting sqref="O39:T39">
    <cfRule type="notContainsBlanks" dxfId="62" priority="18" stopIfTrue="1">
      <formula>LEN(TRIM(O39))&gt;0</formula>
    </cfRule>
  </conditionalFormatting>
  <conditionalFormatting sqref="K39">
    <cfRule type="containsBlanks" dxfId="61" priority="11" stopIfTrue="1">
      <formula>LEN(TRIM(K39))=0</formula>
    </cfRule>
  </conditionalFormatting>
  <conditionalFormatting sqref="K39">
    <cfRule type="notContainsBlanks" dxfId="60" priority="12" stopIfTrue="1">
      <formula>LEN(TRIM(K39))&gt;0</formula>
    </cfRule>
  </conditionalFormatting>
  <conditionalFormatting sqref="E39:J39">
    <cfRule type="containsBlanks" dxfId="59" priority="13" stopIfTrue="1">
      <formula>LEN(TRIM(E39))=0</formula>
    </cfRule>
  </conditionalFormatting>
  <conditionalFormatting sqref="E39:J39">
    <cfRule type="notContainsBlanks" dxfId="58" priority="14" stopIfTrue="1">
      <formula>LEN(TRIM(E39))&gt;0</formula>
    </cfRule>
  </conditionalFormatting>
  <conditionalFormatting sqref="U39">
    <cfRule type="containsBlanks" dxfId="57" priority="9" stopIfTrue="1">
      <formula>LEN(TRIM(U39))=0</formula>
    </cfRule>
  </conditionalFormatting>
  <conditionalFormatting sqref="U39">
    <cfRule type="notContainsBlanks" dxfId="56" priority="10" stopIfTrue="1">
      <formula>LEN(TRIM(U39))&gt;0</formula>
    </cfRule>
  </conditionalFormatting>
  <conditionalFormatting sqref="AE39">
    <cfRule type="containsBlanks" dxfId="55" priority="7" stopIfTrue="1">
      <formula>LEN(TRIM(AE39))=0</formula>
    </cfRule>
  </conditionalFormatting>
  <conditionalFormatting sqref="AE39">
    <cfRule type="notContainsBlanks" dxfId="54" priority="8" stopIfTrue="1">
      <formula>LEN(TRIM(AE39))&gt;0</formula>
    </cfRule>
  </conditionalFormatting>
  <conditionalFormatting sqref="AE38">
    <cfRule type="containsBlanks" dxfId="53" priority="5" stopIfTrue="1">
      <formula>LEN(TRIM(AE38))=0</formula>
    </cfRule>
  </conditionalFormatting>
  <conditionalFormatting sqref="AE38">
    <cfRule type="notContainsBlanks" dxfId="52" priority="6" stopIfTrue="1">
      <formula>LEN(TRIM(AE38))&gt;0</formula>
    </cfRule>
  </conditionalFormatting>
  <conditionalFormatting sqref="P8:U13">
    <cfRule type="containsBlanks" dxfId="51" priority="3" stopIfTrue="1">
      <formula>LEN(TRIM(P8))=0</formula>
    </cfRule>
  </conditionalFormatting>
  <conditionalFormatting sqref="P8:U13">
    <cfRule type="notContainsBlanks" dxfId="50" priority="4" stopIfTrue="1">
      <formula>LEN(TRIM(P8))&gt;0</formula>
    </cfRule>
  </conditionalFormatting>
  <conditionalFormatting sqref="P33:U38">
    <cfRule type="containsBlanks" dxfId="49" priority="1" stopIfTrue="1">
      <formula>LEN(TRIM(P33))=0</formula>
    </cfRule>
  </conditionalFormatting>
  <conditionalFormatting sqref="P33:U38">
    <cfRule type="notContainsBlanks" dxfId="48" priority="2" stopIfTrue="1">
      <formula>LEN(TRIM(P33))&gt;0</formula>
    </cfRule>
  </conditionalFormatting>
  <pageMargins left="0.7" right="0.7" top="0.75" bottom="0.75" header="0.3" footer="0.3"/>
  <customProperties>
    <customPr name="IsPC" r:id="rId1"/>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NIAplus" enableFormatConditionsCalculation="0"/>
  <dimension ref="A1"/>
  <sheetViews>
    <sheetView workbookViewId="0"/>
  </sheetViews>
  <sheetFormatPr defaultColWidth="7.44140625" defaultRowHeight="14.4"/>
  <sheetData/>
  <dataConsolidate/>
  <pageMargins left="0.7" right="0.7" top="0.75" bottom="0.75" header="0.3" footer="0.3"/>
  <pageSetup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IA" enableFormatConditionsCalculation="0"/>
  <dimension ref="A1"/>
  <sheetViews>
    <sheetView workbookViewId="0">
      <selection activeCell="S19" sqref="S19"/>
    </sheetView>
  </sheetViews>
  <sheetFormatPr defaultColWidth="8.77734375"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enableFormatConditionsCalculation="0"/>
  <dimension ref="B1:S38"/>
  <sheetViews>
    <sheetView zoomScale="85" zoomScaleNormal="85" zoomScalePageLayoutView="85" workbookViewId="0">
      <selection activeCell="A35" sqref="A35:XFD46"/>
    </sheetView>
  </sheetViews>
  <sheetFormatPr defaultColWidth="8.77734375" defaultRowHeight="14.4"/>
  <cols>
    <col min="1" max="1" width="8.77734375" style="9"/>
    <col min="2" max="2" width="8.33203125" style="9" bestFit="1" customWidth="1"/>
    <col min="3" max="3" width="14.6640625" style="9" bestFit="1" customWidth="1"/>
    <col min="4" max="4" width="8.6640625" style="9" bestFit="1" customWidth="1"/>
    <col min="5" max="5" width="8.77734375" style="9"/>
    <col min="6" max="6" width="19.6640625" style="9" bestFit="1" customWidth="1"/>
    <col min="7" max="7" width="8.6640625" style="9" bestFit="1" customWidth="1"/>
    <col min="8" max="8" width="19.44140625" style="9" bestFit="1" customWidth="1"/>
    <col min="9" max="9" width="5.77734375" style="9" bestFit="1" customWidth="1"/>
    <col min="10" max="10" width="12.6640625" style="9" bestFit="1" customWidth="1"/>
    <col min="11" max="12" width="12.77734375" style="9" bestFit="1" customWidth="1"/>
    <col min="13" max="13" width="6.33203125" style="9" bestFit="1" customWidth="1"/>
    <col min="14" max="14" width="14.109375" style="9" bestFit="1" customWidth="1"/>
    <col min="15" max="15" width="6.33203125" style="9" bestFit="1" customWidth="1"/>
    <col min="16" max="17" width="4.33203125" style="9" bestFit="1" customWidth="1"/>
    <col min="18" max="16384" width="8.77734375" style="9"/>
  </cols>
  <sheetData>
    <row r="1" spans="2:16" s="134" customFormat="1" ht="15">
      <c r="B1" s="135" t="s">
        <v>134</v>
      </c>
    </row>
    <row r="3" spans="2:16" ht="15">
      <c r="B3" s="10"/>
      <c r="C3" s="10"/>
      <c r="D3" s="10"/>
      <c r="E3" s="10"/>
      <c r="F3" s="10"/>
      <c r="G3" s="10"/>
      <c r="H3" s="10"/>
      <c r="I3" s="10"/>
      <c r="J3" s="10"/>
      <c r="K3" s="10"/>
      <c r="L3" s="10"/>
      <c r="M3" s="10"/>
      <c r="N3" s="10"/>
      <c r="O3" s="10"/>
      <c r="P3" s="10"/>
    </row>
    <row r="4" spans="2:16" ht="15">
      <c r="B4" s="10"/>
      <c r="C4" s="70" t="s">
        <v>99</v>
      </c>
      <c r="D4" s="60" t="s">
        <v>39</v>
      </c>
      <c r="E4" s="10"/>
      <c r="F4" s="71" t="s">
        <v>106</v>
      </c>
      <c r="G4" s="34"/>
      <c r="H4" s="24" t="str">
        <f>INDEX(_pcName,1)</f>
        <v>Axial Cylindrical Housed</v>
      </c>
      <c r="I4" s="24" t="str">
        <f>INDEX(_pcName,2)</f>
        <v>Panel</v>
      </c>
      <c r="J4" s="24" t="str">
        <f>INDEX(_pcName,3)</f>
        <v>Centrif Housed</v>
      </c>
      <c r="K4" s="24" t="str">
        <f>INDEX(_pcName,4)</f>
        <v>Centrif Unhous</v>
      </c>
      <c r="L4" s="24" t="str">
        <f>INDEX(_pcName,5)</f>
        <v>Inline-Mixed</v>
      </c>
      <c r="M4" s="24" t="str">
        <f>INDEX(_pcName,6)</f>
        <v>Radial</v>
      </c>
      <c r="N4" s="24" t="str">
        <f>INDEX(_pcName,7)</f>
        <v>Power Roof Vent</v>
      </c>
      <c r="O4" s="72" t="s">
        <v>109</v>
      </c>
      <c r="P4" s="10"/>
    </row>
    <row r="5" spans="2:16" ht="15">
      <c r="B5" s="10"/>
      <c r="C5" s="70" t="s">
        <v>100</v>
      </c>
      <c r="D5" s="61">
        <v>7.0000000000000007E-2</v>
      </c>
      <c r="E5" s="10"/>
      <c r="F5" s="41" t="s">
        <v>107</v>
      </c>
      <c r="G5" s="62" t="str">
        <f>"mi " &amp; _yearDol &amp; "$"</f>
        <v>mi 2015$</v>
      </c>
      <c r="H5" s="85">
        <f ca="1">$H$7-$H$6</f>
        <v>677.00013247001323</v>
      </c>
      <c r="I5" s="85">
        <f ca="1">$I$7-$I$6</f>
        <v>4.832191904156252</v>
      </c>
      <c r="J5" s="85">
        <f ca="1">$J$7-$J$6</f>
        <v>524.33800356128256</v>
      </c>
      <c r="K5" s="85">
        <f ca="1">$K$7-$K$6</f>
        <v>321.78822168129466</v>
      </c>
      <c r="L5" s="85">
        <f ca="1">$L$7-$L$6</f>
        <v>445.19732249757811</v>
      </c>
      <c r="M5" s="85">
        <f ca="1">$M$7-$M$6</f>
        <v>2249.4464330634205</v>
      </c>
      <c r="N5" s="85">
        <f ca="1">$N$7-$N$6</f>
        <v>779.31824892662178</v>
      </c>
      <c r="O5" s="84">
        <f ca="1">SUM($H5,$I5,$J5,$K5,$L5,$M5,$N5)</f>
        <v>5001.9205541043666</v>
      </c>
      <c r="P5" s="10"/>
    </row>
    <row r="6" spans="2:16" ht="15">
      <c r="B6" s="10"/>
      <c r="C6" s="70" t="s">
        <v>101</v>
      </c>
      <c r="D6" s="60" t="s">
        <v>133</v>
      </c>
      <c r="E6" s="10"/>
      <c r="F6" s="63" t="s">
        <v>95</v>
      </c>
      <c r="G6" s="64" t="str">
        <f>"mi " &amp; _yearDol &amp; "$"</f>
        <v>mi 2015$</v>
      </c>
      <c r="H6" s="83">
        <f ca="1">0.001*NPV(dRate,'Axial Cyl Housed'!iec)*(1+dRate)^(_yearD-(yearC-1))</f>
        <v>218.70957114973089</v>
      </c>
      <c r="I6" s="83">
        <f ca="1">0.001*NPV(dRate,Panel!iec)*(1+dRate)^(_yearD-(yearC-1))</f>
        <v>7.4523232962825503</v>
      </c>
      <c r="J6" s="83">
        <f ca="1">0.001*NPV(dRate,'Centrif Housed'!iec)*(1+dRate)^(_yearD-(yearC-1))</f>
        <v>231.51264422757598</v>
      </c>
      <c r="K6" s="83">
        <f ca="1">0.001*NPV(dRate,'Centrif Unhous'!iec)*(1+dRate)^(_yearD-(yearC-1))</f>
        <v>102.26123243854713</v>
      </c>
      <c r="L6" s="83">
        <f ca="1">0.001*NPV(dRate,'Inline-Mixed'!iec)*(1+dRate)^(_yearD-(yearC-1))</f>
        <v>310.54231240630423</v>
      </c>
      <c r="M6" s="83">
        <f ca="1">0.001*NPV(dRate,Radial!iec)*(1+dRate)^(_yearD-(yearC-1))</f>
        <v>182.2093244529687</v>
      </c>
      <c r="N6" s="83">
        <f ca="1">0.001*NPV(dRate,'Power Roof Vent'!iec)*(1+dRate)^(_yearD-(yearC-1))</f>
        <v>703.54972294231027</v>
      </c>
      <c r="O6" s="82">
        <f ca="1">SUM($H6,$I6,$J6,$K6,$L6,$M6,$N6)</f>
        <v>1756.2371309137197</v>
      </c>
      <c r="P6" s="10"/>
    </row>
    <row r="7" spans="2:16" ht="15">
      <c r="B7" s="10"/>
      <c r="C7" s="70" t="s">
        <v>105</v>
      </c>
      <c r="D7" s="252">
        <f ca="1">CHOOSE(MATCH(sPer,{"Full","Short"},0),INDEX(tslNYears,iTSL),9)</f>
        <v>30</v>
      </c>
      <c r="E7" s="10"/>
      <c r="F7" s="65" t="str">
        <f>zEO &amp; " Cost Savings"</f>
        <v>Operating Cost Savings</v>
      </c>
      <c r="G7" s="66" t="str">
        <f>"mi " &amp; _yearDol &amp; "$"</f>
        <v>mi 2015$</v>
      </c>
      <c r="H7" s="81">
        <f ca="1">0.001*NPV(dRate,'Axial Cyl Housed'!ecs)*(1+dRate)^(_yearD-(yearC-1))</f>
        <v>895.70970361974412</v>
      </c>
      <c r="I7" s="81">
        <f ca="1">0.001*NPV(dRate,Panel!ecs)*(1+dRate)^(_yearD-(yearC-1))</f>
        <v>12.284515200438802</v>
      </c>
      <c r="J7" s="81">
        <f ca="1">0.001*NPV(dRate,'Centrif Housed'!ecs)*(1+dRate)^(_yearD-(yearC-1))</f>
        <v>755.85064778885851</v>
      </c>
      <c r="K7" s="81">
        <f ca="1">0.001*NPV(dRate,'Centrif Unhous'!ecs)*(1+dRate)^(_yearD-(yearC-1))</f>
        <v>424.04945411984176</v>
      </c>
      <c r="L7" s="81">
        <f ca="1">0.001*NPV(dRate,'Inline-Mixed'!ecs)*(1+dRate)^(_yearD-(yearC-1))</f>
        <v>755.73963490388235</v>
      </c>
      <c r="M7" s="81">
        <f ca="1">0.001*NPV(dRate,Radial!ecs)*(1+dRate)^(_yearD-(yearC-1))</f>
        <v>2431.6557575163893</v>
      </c>
      <c r="N7" s="81">
        <f ca="1">0.001*NPV(dRate,'Power Roof Vent'!ecs)*(1+dRate)^(_yearD-(yearC-1))</f>
        <v>1482.867971868932</v>
      </c>
      <c r="O7" s="80">
        <f ca="1">SUM($H7,$I7,$J7,$K7,$L7,$M7,$N7)</f>
        <v>6758.1576850180863</v>
      </c>
      <c r="P7" s="10"/>
    </row>
    <row r="8" spans="2:16" ht="15">
      <c r="B8" s="10"/>
      <c r="C8" s="70" t="s">
        <v>232</v>
      </c>
      <c r="D8" s="60" t="s">
        <v>233</v>
      </c>
      <c r="E8" s="10"/>
      <c r="F8" s="27" t="str">
        <f>sEnergy&amp;" Energy Savings"</f>
        <v>FFC Energy Savings</v>
      </c>
      <c r="G8" s="64" t="s">
        <v>108</v>
      </c>
      <c r="H8" s="13">
        <f ca="1">SUM($H$9)</f>
        <v>0.555116110421214</v>
      </c>
      <c r="I8" s="13">
        <f ca="1">SUM($I$9)</f>
        <v>6.9988342158892117E-3</v>
      </c>
      <c r="J8" s="13">
        <f ca="1">SUM($J$9)</f>
        <v>0.39489531232076791</v>
      </c>
      <c r="K8" s="13">
        <f ca="1">SUM($K$9)</f>
        <v>0.2127769284782029</v>
      </c>
      <c r="L8" s="13">
        <f ca="1">SUM($L$9)</f>
        <v>0.46066949571354537</v>
      </c>
      <c r="M8" s="13">
        <f ca="1">SUM($M$9)</f>
        <v>1.5836150242120701</v>
      </c>
      <c r="N8" s="13">
        <f ca="1">SUM($N$9)</f>
        <v>0.96901978767389407</v>
      </c>
      <c r="O8" s="250">
        <f ca="1">SUM($H8,$I8,$J8,$K8,$L8,$M8,$N8)</f>
        <v>4.183091493035584</v>
      </c>
      <c r="P8" s="10"/>
    </row>
    <row r="9" spans="2:16" ht="15">
      <c r="B9" s="10"/>
      <c r="C9" s="10"/>
      <c r="D9" s="10"/>
      <c r="E9" s="10"/>
      <c r="F9" s="63" t="str">
        <f>INDEX(_fuel,1)</f>
        <v>Electricity</v>
      </c>
      <c r="G9" s="64" t="s">
        <v>108</v>
      </c>
      <c r="H9" s="13">
        <f ca="1">0.000001*SUM('Axial Cyl Housed'!savElec)</f>
        <v>0.555116110421214</v>
      </c>
      <c r="I9" s="13">
        <f ca="1">0.000001*SUM(Panel!savElec)</f>
        <v>6.9988342158892117E-3</v>
      </c>
      <c r="J9" s="13">
        <f ca="1">0.000001*SUM('Centrif Housed'!savElec)</f>
        <v>0.39489531232076791</v>
      </c>
      <c r="K9" s="13">
        <f ca="1">0.000001*SUM('Centrif Unhous'!savElec)</f>
        <v>0.2127769284782029</v>
      </c>
      <c r="L9" s="13">
        <f ca="1">0.000001*SUM('Inline-Mixed'!savElec)</f>
        <v>0.46066949571354537</v>
      </c>
      <c r="M9" s="13">
        <f ca="1">0.000001*SUM(Radial!savElec)</f>
        <v>1.5836150242120701</v>
      </c>
      <c r="N9" s="13">
        <f ca="1">0.000001*SUM('Power Roof Vent'!savElec)</f>
        <v>0.96901978767389407</v>
      </c>
      <c r="O9" s="250">
        <f ca="1">SUM($H9,$I9,$J9,$K9,$L9,$M9,$N9)</f>
        <v>4.183091493035584</v>
      </c>
      <c r="P9" s="10"/>
    </row>
    <row r="10" spans="2:16" ht="15">
      <c r="B10" s="10"/>
      <c r="C10" s="70" t="s">
        <v>102</v>
      </c>
      <c r="D10" s="60" t="s">
        <v>110</v>
      </c>
      <c r="E10" s="10"/>
      <c r="F10" s="67" t="s">
        <v>236</v>
      </c>
      <c r="G10" s="26" t="s">
        <v>47</v>
      </c>
      <c r="H10" s="68">
        <f ca="1">IF(SUM('Axial Cyl Housed'!bcCons)=0,"",H$8/(0.000001*SUM('Axial Cyl Housed'!bcCons)))</f>
        <v>3.7992935437329393E-2</v>
      </c>
      <c r="I10" s="68">
        <f ca="1">IF(SUM(Panel!bcCons)=0,"",I$8/(0.000001*SUM(Panel!bcCons)))</f>
        <v>9.5661646107588014E-3</v>
      </c>
      <c r="J10" s="68">
        <f ca="1">IF(SUM('Centrif Housed'!bcCons)=0,"",J$8/(0.000001*SUM('Centrif Housed'!bcCons)))</f>
        <v>2.4275743384893543E-2</v>
      </c>
      <c r="K10" s="68">
        <f ca="1">IF(SUM('Centrif Unhous'!bcCons)=0,"",K$8/(0.000001*SUM('Centrif Unhous'!bcCons)))</f>
        <v>1.0521367044892442E-2</v>
      </c>
      <c r="L10" s="68">
        <f ca="1">IF(SUM('Inline-Mixed'!bcCons)=0,"",L$8/(0.000001*SUM('Inline-Mixed'!bcCons)))</f>
        <v>8.7433880940420552E-2</v>
      </c>
      <c r="M10" s="68">
        <f ca="1">IF(SUM(Radial!bcCons)=0,"",M$8/(0.000001*SUM(Radial!bcCons)))</f>
        <v>6.3740558303185688E-2</v>
      </c>
      <c r="N10" s="68">
        <f ca="1">IF(SUM('Power Roof Vent'!bcCons)=0,"",N$8/(0.000001*SUM('Power Roof Vent'!bcCons)))</f>
        <v>0.14081517163984211</v>
      </c>
      <c r="O10" s="69">
        <f ca="1">IF(SUM('Axial Cyl Housed'!bcCons,Panel!bcCons,'Centrif Housed'!bcCons,'Centrif Unhous'!bcCons,'Inline-Mixed'!bcCons,Radial!bcCons,'Power Roof Vent'!bcCons)=0,"",$O$8/(0.000001*SUM('Axial Cyl Housed'!bcCons,Panel!bcCons,'Centrif Housed'!bcCons,'Centrif Unhous'!bcCons,'Inline-Mixed'!bcCons,Radial!bcCons,'Power Roof Vent'!bcCons)))</f>
        <v>4.7092024033225426E-2</v>
      </c>
      <c r="P10" s="10"/>
    </row>
    <row r="11" spans="2:16" ht="15">
      <c r="B11" s="10"/>
      <c r="C11" s="70" t="s">
        <v>34</v>
      </c>
      <c r="D11" s="60" t="s">
        <v>35</v>
      </c>
      <c r="E11" s="10"/>
      <c r="F11" s="10"/>
      <c r="G11" s="10"/>
      <c r="H11" s="10"/>
      <c r="I11" s="10"/>
      <c r="J11" s="10"/>
      <c r="K11" s="10"/>
      <c r="L11" s="10"/>
      <c r="M11" s="10"/>
      <c r="N11" s="10"/>
      <c r="O11" s="10"/>
      <c r="P11" s="10"/>
    </row>
    <row r="12" spans="2:16" ht="15">
      <c r="B12" s="10"/>
      <c r="C12" s="10"/>
      <c r="D12" s="10"/>
      <c r="E12" s="10"/>
      <c r="F12" s="71" t="s">
        <v>106</v>
      </c>
      <c r="G12" s="34"/>
      <c r="H12" s="109" t="s">
        <v>147</v>
      </c>
      <c r="I12" s="109"/>
      <c r="J12" s="109"/>
      <c r="K12" s="109"/>
      <c r="L12" s="109" t="s">
        <v>148</v>
      </c>
      <c r="M12" s="109"/>
      <c r="N12" s="109"/>
      <c r="O12" s="110" t="s">
        <v>109</v>
      </c>
      <c r="P12" s="10"/>
    </row>
    <row r="13" spans="2:16" ht="15">
      <c r="B13" s="10"/>
      <c r="C13" s="70" t="s">
        <v>104</v>
      </c>
      <c r="D13" s="158">
        <v>2022</v>
      </c>
      <c r="E13" s="10"/>
      <c r="F13" s="41" t="s">
        <v>107</v>
      </c>
      <c r="G13" s="111" t="str">
        <f>"mi " &amp; _yearDol &amp; "$"</f>
        <v>mi 2015$</v>
      </c>
      <c r="H13" s="112">
        <f ca="1">SUM(H5,J5,L5,M5)</f>
        <v>3895.9818915922942</v>
      </c>
      <c r="I13" s="42"/>
      <c r="J13" s="42"/>
      <c r="K13" s="42"/>
      <c r="L13" s="113">
        <f ca="1">SUM(I5,K5,N5)</f>
        <v>1105.9386625120728</v>
      </c>
      <c r="M13" s="42"/>
      <c r="N13" s="43"/>
      <c r="O13" s="114">
        <f ca="1">SUM(H13,L13)</f>
        <v>5001.9205541043666</v>
      </c>
      <c r="P13" s="251"/>
    </row>
    <row r="14" spans="2:16" ht="15">
      <c r="B14" s="10"/>
      <c r="C14" s="70" t="s">
        <v>234</v>
      </c>
      <c r="D14" s="60">
        <v>5</v>
      </c>
      <c r="E14" s="10"/>
      <c r="F14" s="63" t="s">
        <v>95</v>
      </c>
      <c r="G14" s="12" t="str">
        <f>"mi " &amp; _yearDol &amp; "$"</f>
        <v>mi 2015$</v>
      </c>
      <c r="H14" s="115">
        <f ca="1">SUM(H6,J6,L6,M6)</f>
        <v>942.97385223657989</v>
      </c>
      <c r="I14" s="14"/>
      <c r="J14" s="14"/>
      <c r="K14" s="14"/>
      <c r="L14" s="116">
        <f t="shared" ref="L14:L17" ca="1" si="0">SUM(I6,K6,N6)</f>
        <v>813.26327867713997</v>
      </c>
      <c r="M14" s="14"/>
      <c r="N14" s="15"/>
      <c r="O14" s="117">
        <f t="shared" ref="O14:O17" ca="1" si="1">SUM(H14,L14)</f>
        <v>1756.2371309137197</v>
      </c>
      <c r="P14" s="10"/>
    </row>
    <row r="15" spans="2:16" ht="15">
      <c r="B15" s="10"/>
      <c r="C15" s="10"/>
      <c r="D15" s="10"/>
      <c r="E15" s="10"/>
      <c r="F15" s="65" t="s">
        <v>117</v>
      </c>
      <c r="G15" s="18" t="str">
        <f>"mi " &amp; _yearDol &amp; "$"</f>
        <v>mi 2015$</v>
      </c>
      <c r="H15" s="118">
        <f ca="1">SUM(H7,J7,L7,M7)</f>
        <v>4838.9557438288739</v>
      </c>
      <c r="I15" s="119"/>
      <c r="J15" s="119"/>
      <c r="K15" s="119"/>
      <c r="L15" s="120">
        <f t="shared" ca="1" si="0"/>
        <v>1919.2019411892127</v>
      </c>
      <c r="M15" s="119"/>
      <c r="N15" s="121"/>
      <c r="O15" s="122">
        <f t="shared" ca="1" si="1"/>
        <v>6758.1576850180863</v>
      </c>
      <c r="P15" s="10"/>
    </row>
    <row r="16" spans="2:16" ht="15">
      <c r="B16" s="10"/>
      <c r="C16" s="10"/>
      <c r="D16" s="10"/>
      <c r="E16" s="10"/>
      <c r="F16" s="41" t="s">
        <v>121</v>
      </c>
      <c r="G16" s="62" t="s">
        <v>108</v>
      </c>
      <c r="H16" s="242">
        <f t="shared" ref="H16:H17" ca="1" si="2">SUM(H8,J8,L8,M8)</f>
        <v>2.9942959426675975</v>
      </c>
      <c r="I16" s="243"/>
      <c r="J16" s="243"/>
      <c r="K16" s="243"/>
      <c r="L16" s="243">
        <f t="shared" ca="1" si="0"/>
        <v>1.1887955503679861</v>
      </c>
      <c r="M16" s="243"/>
      <c r="N16" s="244"/>
      <c r="O16" s="245">
        <f ca="1">SUM(H16,L16)</f>
        <v>4.1830914930355831</v>
      </c>
      <c r="P16" s="10"/>
    </row>
    <row r="17" spans="2:16" ht="15">
      <c r="B17" s="10"/>
      <c r="C17" s="10"/>
      <c r="D17" s="10"/>
      <c r="E17" s="10"/>
      <c r="F17" s="65" t="s">
        <v>118</v>
      </c>
      <c r="G17" s="66" t="s">
        <v>108</v>
      </c>
      <c r="H17" s="246">
        <f t="shared" ca="1" si="2"/>
        <v>2.9942959426675975</v>
      </c>
      <c r="I17" s="247"/>
      <c r="J17" s="247"/>
      <c r="K17" s="247"/>
      <c r="L17" s="247">
        <f t="shared" ca="1" si="0"/>
        <v>1.1887955503679861</v>
      </c>
      <c r="M17" s="247"/>
      <c r="N17" s="248"/>
      <c r="O17" s="249">
        <f t="shared" ca="1" si="1"/>
        <v>4.1830914930355831</v>
      </c>
      <c r="P17" s="10"/>
    </row>
    <row r="18" spans="2:16" ht="15">
      <c r="B18" s="10"/>
      <c r="C18" s="10"/>
      <c r="D18" s="10"/>
      <c r="E18" s="10"/>
      <c r="F18" s="10"/>
      <c r="G18" s="10"/>
      <c r="H18" s="10"/>
      <c r="I18" s="10"/>
      <c r="J18" s="10"/>
      <c r="K18" s="10"/>
      <c r="L18" s="10"/>
      <c r="M18" s="10"/>
      <c r="N18" s="10"/>
      <c r="O18" s="10"/>
      <c r="P18" s="10"/>
    </row>
    <row r="21" spans="2:16" ht="15">
      <c r="B21" s="86" t="s">
        <v>126</v>
      </c>
      <c r="C21" s="86"/>
      <c r="D21" s="86"/>
      <c r="E21" s="86"/>
      <c r="F21" s="86"/>
      <c r="G21" s="87"/>
      <c r="H21" s="86"/>
      <c r="I21" s="86"/>
      <c r="J21" s="86"/>
      <c r="K21" s="86"/>
      <c r="L21" s="86"/>
      <c r="M21" s="86"/>
      <c r="N21" s="86"/>
      <c r="O21" s="86"/>
      <c r="P21" s="86"/>
    </row>
    <row r="22" spans="2:16" ht="15" customHeight="1">
      <c r="B22" s="306" t="s">
        <v>237</v>
      </c>
      <c r="C22" s="306"/>
      <c r="D22" s="306"/>
      <c r="E22" s="306"/>
      <c r="F22" s="306"/>
      <c r="G22" s="306"/>
      <c r="H22" s="306"/>
      <c r="I22" s="306"/>
      <c r="J22" s="306"/>
      <c r="K22" s="306"/>
      <c r="L22" s="306"/>
      <c r="M22" s="306"/>
      <c r="N22" s="306"/>
      <c r="O22" s="306"/>
      <c r="P22" s="306"/>
    </row>
    <row r="23" spans="2:16">
      <c r="B23" s="306"/>
      <c r="C23" s="306"/>
      <c r="D23" s="306"/>
      <c r="E23" s="306"/>
      <c r="F23" s="306"/>
      <c r="G23" s="306"/>
      <c r="H23" s="306"/>
      <c r="I23" s="306"/>
      <c r="J23" s="306"/>
      <c r="K23" s="306"/>
      <c r="L23" s="306"/>
      <c r="M23" s="306"/>
      <c r="N23" s="306"/>
      <c r="O23" s="306"/>
      <c r="P23" s="306"/>
    </row>
    <row r="24" spans="2:16">
      <c r="B24" s="306"/>
      <c r="C24" s="306"/>
      <c r="D24" s="306"/>
      <c r="E24" s="306"/>
      <c r="F24" s="306"/>
      <c r="G24" s="306"/>
      <c r="H24" s="306"/>
      <c r="I24" s="306"/>
      <c r="J24" s="306"/>
      <c r="K24" s="306"/>
      <c r="L24" s="306"/>
      <c r="M24" s="306"/>
      <c r="N24" s="306"/>
      <c r="O24" s="306"/>
      <c r="P24" s="306"/>
    </row>
    <row r="25" spans="2:16">
      <c r="B25" s="306"/>
      <c r="C25" s="306"/>
      <c r="D25" s="306"/>
      <c r="E25" s="306"/>
      <c r="F25" s="306"/>
      <c r="G25" s="306"/>
      <c r="H25" s="306"/>
      <c r="I25" s="306"/>
      <c r="J25" s="306"/>
      <c r="K25" s="306"/>
      <c r="L25" s="306"/>
      <c r="M25" s="306"/>
      <c r="N25" s="306"/>
      <c r="O25" s="306"/>
      <c r="P25" s="306"/>
    </row>
    <row r="26" spans="2:16">
      <c r="B26" s="306"/>
      <c r="C26" s="306"/>
      <c r="D26" s="306"/>
      <c r="E26" s="306"/>
      <c r="F26" s="306"/>
      <c r="G26" s="306"/>
      <c r="H26" s="306"/>
      <c r="I26" s="306"/>
      <c r="J26" s="306"/>
      <c r="K26" s="306"/>
      <c r="L26" s="306"/>
      <c r="M26" s="306"/>
      <c r="N26" s="306"/>
      <c r="O26" s="306"/>
      <c r="P26" s="306"/>
    </row>
    <row r="27" spans="2:16">
      <c r="B27" s="306"/>
      <c r="C27" s="306"/>
      <c r="D27" s="306"/>
      <c r="E27" s="306"/>
      <c r="F27" s="306"/>
      <c r="G27" s="306"/>
      <c r="H27" s="306"/>
      <c r="I27" s="306"/>
      <c r="J27" s="306"/>
      <c r="K27" s="306"/>
      <c r="L27" s="306"/>
      <c r="M27" s="306"/>
      <c r="N27" s="306"/>
      <c r="O27" s="306"/>
      <c r="P27" s="306"/>
    </row>
    <row r="28" spans="2:16">
      <c r="B28" s="307" t="s">
        <v>235</v>
      </c>
      <c r="C28" s="308"/>
      <c r="D28" s="308"/>
      <c r="E28" s="308"/>
      <c r="F28" s="308"/>
      <c r="G28" s="308"/>
      <c r="H28" s="308"/>
      <c r="I28" s="308"/>
      <c r="J28" s="308"/>
      <c r="K28" s="308"/>
      <c r="L28" s="308"/>
      <c r="M28" s="308"/>
      <c r="N28" s="308"/>
      <c r="O28" s="308"/>
      <c r="P28" s="308"/>
    </row>
    <row r="29" spans="2:16">
      <c r="B29" s="308"/>
      <c r="C29" s="308"/>
      <c r="D29" s="308"/>
      <c r="E29" s="308"/>
      <c r="F29" s="308"/>
      <c r="G29" s="308"/>
      <c r="H29" s="308"/>
      <c r="I29" s="308"/>
      <c r="J29" s="308"/>
      <c r="K29" s="308"/>
      <c r="L29" s="308"/>
      <c r="M29" s="308"/>
      <c r="N29" s="308"/>
      <c r="O29" s="308"/>
      <c r="P29" s="308"/>
    </row>
    <row r="30" spans="2:16">
      <c r="B30" s="308"/>
      <c r="C30" s="308"/>
      <c r="D30" s="308"/>
      <c r="E30" s="308"/>
      <c r="F30" s="308"/>
      <c r="G30" s="308"/>
      <c r="H30" s="308"/>
      <c r="I30" s="308"/>
      <c r="J30" s="308"/>
      <c r="K30" s="308"/>
      <c r="L30" s="308"/>
      <c r="M30" s="308"/>
      <c r="N30" s="308"/>
      <c r="O30" s="308"/>
      <c r="P30" s="308"/>
    </row>
    <row r="31" spans="2:16">
      <c r="B31" s="308"/>
      <c r="C31" s="308"/>
      <c r="D31" s="308"/>
      <c r="E31" s="308"/>
      <c r="F31" s="308"/>
      <c r="G31" s="308"/>
      <c r="H31" s="308"/>
      <c r="I31" s="308"/>
      <c r="J31" s="308"/>
      <c r="K31" s="308"/>
      <c r="L31" s="308"/>
      <c r="M31" s="308"/>
      <c r="N31" s="308"/>
      <c r="O31" s="308"/>
      <c r="P31" s="308"/>
    </row>
    <row r="32" spans="2:16">
      <c r="B32" s="308"/>
      <c r="C32" s="308"/>
      <c r="D32" s="308"/>
      <c r="E32" s="308"/>
      <c r="F32" s="308"/>
      <c r="G32" s="308"/>
      <c r="H32" s="308"/>
      <c r="I32" s="308"/>
      <c r="J32" s="308"/>
      <c r="K32" s="308"/>
      <c r="L32" s="308"/>
      <c r="M32" s="308"/>
      <c r="N32" s="308"/>
      <c r="O32" s="308"/>
      <c r="P32" s="308"/>
    </row>
    <row r="35" spans="4:19" ht="15">
      <c r="D35" s="285"/>
      <c r="E35" s="286"/>
      <c r="F35" s="286"/>
      <c r="G35" s="286"/>
      <c r="H35" s="286"/>
      <c r="I35" s="286"/>
      <c r="J35" s="286"/>
      <c r="K35" s="287"/>
      <c r="L35" s="286"/>
      <c r="M35" s="286"/>
      <c r="N35" s="286"/>
      <c r="O35" s="286"/>
      <c r="P35" s="286"/>
      <c r="Q35" s="286"/>
      <c r="R35" s="286"/>
      <c r="S35" s="285"/>
    </row>
    <row r="36" spans="4:19" ht="15">
      <c r="D36" s="285"/>
      <c r="E36" s="286"/>
      <c r="F36" s="286"/>
      <c r="G36" s="286"/>
      <c r="H36" s="286"/>
      <c r="I36" s="286"/>
      <c r="J36" s="286"/>
      <c r="K36" s="286"/>
      <c r="L36" s="286"/>
      <c r="M36" s="286"/>
      <c r="N36" s="286"/>
      <c r="O36" s="286"/>
      <c r="P36" s="286"/>
      <c r="Q36" s="286"/>
      <c r="R36" s="286"/>
      <c r="S36" s="285"/>
    </row>
    <row r="37" spans="4:19" ht="15">
      <c r="D37" s="285"/>
      <c r="E37" s="285"/>
      <c r="F37" s="285"/>
      <c r="G37" s="285"/>
      <c r="H37" s="285"/>
      <c r="I37" s="285"/>
      <c r="J37" s="285"/>
      <c r="K37" s="285"/>
      <c r="L37" s="285"/>
      <c r="M37" s="285"/>
      <c r="N37" s="285"/>
      <c r="O37" s="285"/>
      <c r="P37" s="285"/>
      <c r="Q37" s="285"/>
      <c r="R37" s="285"/>
      <c r="S37" s="285"/>
    </row>
    <row r="38" spans="4:19" ht="15">
      <c r="D38" s="285"/>
      <c r="E38" s="285"/>
      <c r="F38" s="285"/>
      <c r="G38" s="285"/>
      <c r="H38" s="285"/>
      <c r="I38" s="285"/>
      <c r="J38" s="285"/>
      <c r="K38" s="285"/>
      <c r="L38" s="285"/>
      <c r="M38" s="285"/>
      <c r="N38" s="285"/>
      <c r="O38" s="285"/>
      <c r="P38" s="285"/>
      <c r="Q38" s="285"/>
      <c r="R38" s="285"/>
      <c r="S38" s="285"/>
    </row>
  </sheetData>
  <mergeCells count="2">
    <mergeCell ref="B22:P27"/>
    <mergeCell ref="B28:P32"/>
  </mergeCells>
  <conditionalFormatting sqref="D4">
    <cfRule type="notContainsBlanks" dxfId="3560" priority="1" stopIfTrue="1">
      <formula>LEN(TRIM(D4))&gt;0</formula>
    </cfRule>
  </conditionalFormatting>
  <conditionalFormatting sqref="D5">
    <cfRule type="notContainsBlanks" dxfId="3559" priority="3" stopIfTrue="1">
      <formula>LEN(TRIM(D5))&gt;0</formula>
    </cfRule>
  </conditionalFormatting>
  <conditionalFormatting sqref="D6">
    <cfRule type="notContainsBlanks" dxfId="3558" priority="4" stopIfTrue="1">
      <formula>LEN(TRIM(D6))&gt;0</formula>
    </cfRule>
  </conditionalFormatting>
  <conditionalFormatting sqref="D8">
    <cfRule type="notContainsBlanks" dxfId="3557" priority="5" stopIfTrue="1">
      <formula>LEN(TRIM(D8))&gt;0</formula>
    </cfRule>
  </conditionalFormatting>
  <conditionalFormatting sqref="D10">
    <cfRule type="notContainsBlanks" dxfId="3556" priority="6" stopIfTrue="1">
      <formula>LEN(TRIM(D10))&gt;0</formula>
    </cfRule>
  </conditionalFormatting>
  <conditionalFormatting sqref="D11">
    <cfRule type="notContainsBlanks" dxfId="3555" priority="7" stopIfTrue="1">
      <formula>LEN(TRIM(D11))&gt;0</formula>
    </cfRule>
  </conditionalFormatting>
  <conditionalFormatting sqref="D14">
    <cfRule type="notContainsBlanks" dxfId="3554" priority="8" stopIfTrue="1">
      <formula>LEN(TRIM(D14))&gt;0</formula>
    </cfRule>
  </conditionalFormatting>
  <conditionalFormatting sqref="D13">
    <cfRule type="notContainsBlanks" dxfId="3553" priority="9" stopIfTrue="1">
      <formula>LEN(TRIM(D13))&gt;0</formula>
    </cfRule>
  </conditionalFormatting>
  <dataValidations count="7">
    <dataValidation type="list" allowBlank="1" showInputMessage="1" showErrorMessage="1" sqref="D4">
      <formula1>"Reference,Low,High"</formula1>
    </dataValidation>
    <dataValidation type="list" allowBlank="1" showInputMessage="1" showErrorMessage="1" sqref="D5">
      <formula1>"3%,7%"</formula1>
    </dataValidation>
    <dataValidation type="list" allowBlank="1" showInputMessage="1" showErrorMessage="1" sqref="D6">
      <formula1>"Full,Short"</formula1>
    </dataValidation>
    <dataValidation type="list" allowBlank="1" showInputMessage="1" showErrorMessage="1" sqref="D8">
      <formula1>"Site,Primary,FFC"</formula1>
    </dataValidation>
    <dataValidation type="list" allowBlank="1" showInputMessage="1" showErrorMessage="1" sqref="D10">
      <formula1>_PIdx</formula1>
    </dataValidation>
    <dataValidation type="list" allowBlank="1" showInputMessage="1" showErrorMessage="1" sqref="D11">
      <formula1>"No,Yes"</formula1>
    </dataValidation>
    <dataValidation type="list" allowBlank="1" showInputMessage="1" showErrorMessage="1" sqref="D14">
      <formula1>_TSL</formula1>
    </dataValidation>
  </dataValidations>
  <pageMargins left="0.7" right="0.7" top="0.75" bottom="0.75" header="0.3" footer="0.3"/>
  <pageSetup orientation="portrait" r:id="rId1"/>
  <customProperties>
    <customPr name="IsPC"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14:formula1>
            <xm:f>Tables!$C$73:$C$74</xm:f>
          </x14:formula1>
          <xm:sqref>D13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MIA" enableFormatConditionsCalculation="0"/>
  <dimension ref="A1"/>
  <sheetViews>
    <sheetView topLeftCell="A10" workbookViewId="0">
      <selection activeCell="P33" sqref="P33"/>
    </sheetView>
  </sheetViews>
  <sheetFormatPr defaultColWidth="9.109375" defaultRowHeight="14.4"/>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NiaTables" enableFormatConditionsCalculation="0"/>
  <dimension ref="B2:BJ79"/>
  <sheetViews>
    <sheetView topLeftCell="A55" zoomScale="85" zoomScaleNormal="85" zoomScalePageLayoutView="85" workbookViewId="0">
      <selection activeCell="C42" sqref="C42"/>
    </sheetView>
  </sheetViews>
  <sheetFormatPr defaultColWidth="8.77734375" defaultRowHeight="14.4"/>
  <cols>
    <col min="2" max="2" width="19.77734375" bestFit="1" customWidth="1"/>
    <col min="3" max="3" width="7.77734375" bestFit="1" customWidth="1"/>
    <col min="4" max="62" width="5.33203125" bestFit="1" customWidth="1"/>
  </cols>
  <sheetData>
    <row r="2" spans="2:9">
      <c r="B2" s="1" t="s">
        <v>0</v>
      </c>
    </row>
    <row r="3" spans="2:9">
      <c r="B3" t="s">
        <v>1</v>
      </c>
      <c r="C3" s="2" t="s">
        <v>2</v>
      </c>
      <c r="D3" s="2" t="s">
        <v>3</v>
      </c>
      <c r="E3" s="2" t="s">
        <v>4</v>
      </c>
      <c r="F3" s="2" t="s">
        <v>5</v>
      </c>
      <c r="G3" s="2" t="s">
        <v>6</v>
      </c>
      <c r="H3" s="2" t="s">
        <v>7</v>
      </c>
      <c r="I3" s="2" t="s">
        <v>8</v>
      </c>
    </row>
    <row r="4" spans="2:9">
      <c r="B4" s="3" t="s">
        <v>125</v>
      </c>
      <c r="C4" s="78" t="s">
        <v>2</v>
      </c>
      <c r="D4" s="78" t="s">
        <v>3</v>
      </c>
      <c r="E4" s="78" t="s">
        <v>4</v>
      </c>
      <c r="F4" s="78" t="s">
        <v>5</v>
      </c>
      <c r="G4" s="78" t="s">
        <v>6</v>
      </c>
      <c r="H4" s="78" t="s">
        <v>7</v>
      </c>
      <c r="I4" s="78" t="s">
        <v>8</v>
      </c>
    </row>
    <row r="5" spans="2:9">
      <c r="B5" s="3" t="s">
        <v>9</v>
      </c>
      <c r="C5" s="78" t="s">
        <v>3</v>
      </c>
      <c r="D5" s="78" t="s">
        <v>3</v>
      </c>
      <c r="E5" s="78" t="s">
        <v>4</v>
      </c>
      <c r="F5" s="78" t="s">
        <v>5</v>
      </c>
      <c r="G5" s="78" t="s">
        <v>6</v>
      </c>
      <c r="H5" s="78" t="s">
        <v>7</v>
      </c>
      <c r="I5" s="78" t="s">
        <v>8</v>
      </c>
    </row>
    <row r="6" spans="2:9">
      <c r="B6" s="4" t="s">
        <v>10</v>
      </c>
      <c r="C6" s="78" t="s">
        <v>4</v>
      </c>
      <c r="D6" s="78" t="s">
        <v>3</v>
      </c>
      <c r="E6" s="78" t="s">
        <v>4</v>
      </c>
      <c r="F6" s="78" t="s">
        <v>5</v>
      </c>
      <c r="G6" s="78" t="s">
        <v>6</v>
      </c>
      <c r="H6" s="78" t="s">
        <v>7</v>
      </c>
      <c r="I6" s="78" t="s">
        <v>8</v>
      </c>
    </row>
    <row r="7" spans="2:9">
      <c r="B7" s="4" t="s">
        <v>11</v>
      </c>
      <c r="C7" s="78" t="s">
        <v>5</v>
      </c>
      <c r="D7" s="78" t="s">
        <v>3</v>
      </c>
      <c r="E7" s="78" t="s">
        <v>4</v>
      </c>
      <c r="F7" s="78" t="s">
        <v>5</v>
      </c>
      <c r="G7" s="78" t="s">
        <v>6</v>
      </c>
      <c r="H7" s="78" t="s">
        <v>7</v>
      </c>
      <c r="I7" s="78" t="s">
        <v>8</v>
      </c>
    </row>
    <row r="8" spans="2:9">
      <c r="B8" s="4" t="s">
        <v>12</v>
      </c>
      <c r="C8" s="78" t="s">
        <v>6</v>
      </c>
      <c r="D8" s="78" t="s">
        <v>3</v>
      </c>
      <c r="E8" s="78" t="s">
        <v>4</v>
      </c>
      <c r="F8" s="78" t="s">
        <v>5</v>
      </c>
      <c r="G8" s="78" t="s">
        <v>6</v>
      </c>
      <c r="H8" s="78" t="s">
        <v>7</v>
      </c>
      <c r="I8" s="78" t="s">
        <v>8</v>
      </c>
    </row>
    <row r="9" spans="2:9">
      <c r="B9" s="3" t="s">
        <v>13</v>
      </c>
      <c r="C9" s="78" t="s">
        <v>7</v>
      </c>
      <c r="D9" s="78" t="s">
        <v>3</v>
      </c>
      <c r="E9" s="78" t="s">
        <v>4</v>
      </c>
      <c r="F9" s="78" t="s">
        <v>5</v>
      </c>
      <c r="G9" s="78" t="s">
        <v>6</v>
      </c>
      <c r="H9" s="78" t="s">
        <v>7</v>
      </c>
      <c r="I9" s="78" t="s">
        <v>8</v>
      </c>
    </row>
    <row r="10" spans="2:9">
      <c r="B10" s="3" t="s">
        <v>14</v>
      </c>
      <c r="C10" s="78" t="s">
        <v>8</v>
      </c>
      <c r="D10" s="78" t="s">
        <v>3</v>
      </c>
      <c r="E10" s="78" t="s">
        <v>4</v>
      </c>
      <c r="F10" s="78" t="s">
        <v>5</v>
      </c>
      <c r="G10" s="78" t="s">
        <v>6</v>
      </c>
      <c r="H10" s="78" t="s">
        <v>7</v>
      </c>
      <c r="I10" s="78" t="s">
        <v>8</v>
      </c>
    </row>
    <row r="11" spans="2:9">
      <c r="B11" t="s">
        <v>15</v>
      </c>
      <c r="C11" s="2" t="s">
        <v>2</v>
      </c>
      <c r="D11" s="2" t="s">
        <v>3</v>
      </c>
      <c r="E11" s="2" t="s">
        <v>4</v>
      </c>
      <c r="F11" s="2" t="s">
        <v>5</v>
      </c>
      <c r="G11" s="2" t="s">
        <v>6</v>
      </c>
      <c r="H11" s="2" t="s">
        <v>7</v>
      </c>
      <c r="I11" s="2" t="s">
        <v>8</v>
      </c>
    </row>
    <row r="12" spans="2:9">
      <c r="B12" s="3" t="str">
        <f t="array" ref="B12:B18">TRANSPOSE(kPC)</f>
        <v>AxH</v>
      </c>
      <c r="C12" t="s">
        <v>2</v>
      </c>
      <c r="D12" t="s">
        <v>3</v>
      </c>
      <c r="E12" t="s">
        <v>4</v>
      </c>
      <c r="F12" t="s">
        <v>5</v>
      </c>
      <c r="G12" t="s">
        <v>6</v>
      </c>
      <c r="H12" t="s">
        <v>7</v>
      </c>
      <c r="I12" t="s">
        <v>8</v>
      </c>
    </row>
    <row r="13" spans="2:9">
      <c r="B13" s="3" t="str">
        <v>Pan</v>
      </c>
      <c r="C13" t="s">
        <v>2</v>
      </c>
      <c r="D13" t="s">
        <v>3</v>
      </c>
      <c r="E13" t="s">
        <v>4</v>
      </c>
      <c r="F13" t="s">
        <v>5</v>
      </c>
      <c r="G13" t="s">
        <v>6</v>
      </c>
      <c r="H13" t="s">
        <v>7</v>
      </c>
      <c r="I13" t="s">
        <v>8</v>
      </c>
    </row>
    <row r="14" spans="2:9">
      <c r="B14" s="3" t="str">
        <v>CnH</v>
      </c>
      <c r="C14" t="s">
        <v>2</v>
      </c>
      <c r="D14" t="s">
        <v>3</v>
      </c>
      <c r="E14" t="s">
        <v>4</v>
      </c>
      <c r="F14" t="s">
        <v>5</v>
      </c>
      <c r="G14" t="s">
        <v>6</v>
      </c>
      <c r="H14" t="s">
        <v>7</v>
      </c>
      <c r="I14" t="s">
        <v>8</v>
      </c>
    </row>
    <row r="15" spans="2:9">
      <c r="B15" s="3" t="str">
        <v>CnU</v>
      </c>
      <c r="C15" t="s">
        <v>2</v>
      </c>
      <c r="D15" t="s">
        <v>3</v>
      </c>
      <c r="E15" t="s">
        <v>4</v>
      </c>
      <c r="F15" t="s">
        <v>5</v>
      </c>
      <c r="G15" t="s">
        <v>6</v>
      </c>
      <c r="H15" t="s">
        <v>7</v>
      </c>
      <c r="I15" t="s">
        <v>8</v>
      </c>
    </row>
    <row r="16" spans="2:9">
      <c r="B16" s="3" t="str">
        <v>InMx</v>
      </c>
      <c r="C16" t="s">
        <v>2</v>
      </c>
      <c r="D16" t="s">
        <v>3</v>
      </c>
      <c r="E16" t="s">
        <v>4</v>
      </c>
      <c r="F16" t="s">
        <v>5</v>
      </c>
      <c r="G16" t="s">
        <v>6</v>
      </c>
      <c r="H16" t="s">
        <v>7</v>
      </c>
      <c r="I16" t="s">
        <v>8</v>
      </c>
    </row>
    <row r="17" spans="2:9">
      <c r="B17" s="3" t="str">
        <v>Rad</v>
      </c>
      <c r="C17" t="s">
        <v>2</v>
      </c>
      <c r="D17" t="s">
        <v>3</v>
      </c>
      <c r="E17" t="s">
        <v>4</v>
      </c>
      <c r="F17" t="s">
        <v>5</v>
      </c>
      <c r="G17" t="s">
        <v>6</v>
      </c>
      <c r="H17" t="s">
        <v>7</v>
      </c>
      <c r="I17" t="s">
        <v>8</v>
      </c>
    </row>
    <row r="18" spans="2:9">
      <c r="B18" s="3" t="str">
        <v>PRV</v>
      </c>
      <c r="C18" t="s">
        <v>2</v>
      </c>
      <c r="D18" t="s">
        <v>3</v>
      </c>
      <c r="E18" t="s">
        <v>4</v>
      </c>
      <c r="F18" t="s">
        <v>5</v>
      </c>
      <c r="G18" t="s">
        <v>6</v>
      </c>
      <c r="H18" t="s">
        <v>7</v>
      </c>
      <c r="I18" t="s">
        <v>8</v>
      </c>
    </row>
    <row r="20" spans="2:9">
      <c r="B20" s="1" t="s">
        <v>16</v>
      </c>
    </row>
    <row r="21" spans="2:9">
      <c r="B21" s="3" t="str">
        <f>INDEX(_pcName,1)</f>
        <v>Axial Cylindrical Housed</v>
      </c>
    </row>
    <row r="22" spans="2:9">
      <c r="B22" s="5" t="s">
        <v>17</v>
      </c>
      <c r="C22" s="6">
        <v>7.0699999999999999E-2</v>
      </c>
    </row>
    <row r="23" spans="2:9">
      <c r="B23" s="5" t="s">
        <v>18</v>
      </c>
      <c r="C23" s="6">
        <v>0.92930000000000001</v>
      </c>
    </row>
    <row r="24" spans="2:9">
      <c r="B24" s="3" t="str">
        <f>INDEX(_pcName,2)</f>
        <v>Panel</v>
      </c>
    </row>
    <row r="25" spans="2:9">
      <c r="B25" s="5" t="s">
        <v>17</v>
      </c>
      <c r="C25" s="6">
        <v>0.96140000000000003</v>
      </c>
    </row>
    <row r="26" spans="2:9">
      <c r="B26" s="5" t="s">
        <v>18</v>
      </c>
      <c r="C26" s="6">
        <v>3.8600000000000002E-2</v>
      </c>
    </row>
    <row r="27" spans="2:9">
      <c r="B27" s="3" t="str">
        <f>INDEX(_pcName,3)</f>
        <v>Centrif Housed</v>
      </c>
    </row>
    <row r="28" spans="2:9">
      <c r="B28" s="5" t="s">
        <v>17</v>
      </c>
      <c r="C28" s="6">
        <v>0.62</v>
      </c>
    </row>
    <row r="29" spans="2:9">
      <c r="B29" s="5" t="s">
        <v>18</v>
      </c>
      <c r="C29" s="6">
        <v>0.38</v>
      </c>
    </row>
    <row r="30" spans="2:9">
      <c r="B30" s="3" t="str">
        <f>INDEX(_pcName,4)</f>
        <v>Centrif Unhous</v>
      </c>
    </row>
    <row r="31" spans="2:9">
      <c r="B31" s="5" t="s">
        <v>17</v>
      </c>
      <c r="C31" s="6">
        <v>0.91900000000000004</v>
      </c>
    </row>
    <row r="32" spans="2:9">
      <c r="B32" s="5" t="s">
        <v>18</v>
      </c>
      <c r="C32" s="6">
        <v>8.1000000000000003E-2</v>
      </c>
    </row>
    <row r="33" spans="2:8">
      <c r="B33" s="3" t="str">
        <f>INDEX(_pcName,5)</f>
        <v>Inline-Mixed</v>
      </c>
    </row>
    <row r="34" spans="2:8">
      <c r="B34" s="5" t="s">
        <v>17</v>
      </c>
      <c r="C34" s="6">
        <v>0.80520000000000003</v>
      </c>
    </row>
    <row r="35" spans="2:8">
      <c r="B35" s="5" t="s">
        <v>18</v>
      </c>
      <c r="C35" s="6">
        <v>0.1948</v>
      </c>
    </row>
    <row r="36" spans="2:8">
      <c r="B36" s="3" t="str">
        <f>INDEX(_pcName,6)</f>
        <v>Radial</v>
      </c>
    </row>
    <row r="37" spans="2:8">
      <c r="B37" s="5" t="s">
        <v>17</v>
      </c>
      <c r="C37" s="6">
        <f>'Energy Factors'!tshrRadCom</f>
        <v>0</v>
      </c>
    </row>
    <row r="38" spans="2:8">
      <c r="B38" s="5" t="s">
        <v>18</v>
      </c>
      <c r="C38" s="6">
        <f>'Energy Factors'!tshrRadInd</f>
        <v>1</v>
      </c>
    </row>
    <row r="39" spans="2:8">
      <c r="B39" s="3" t="str">
        <f>INDEX(_pcName,7)</f>
        <v>Power Roof Vent</v>
      </c>
    </row>
    <row r="40" spans="2:8">
      <c r="B40" s="5" t="s">
        <v>17</v>
      </c>
      <c r="C40" s="6">
        <v>0.96</v>
      </c>
    </row>
    <row r="41" spans="2:8">
      <c r="B41" s="5" t="s">
        <v>18</v>
      </c>
      <c r="C41" s="6">
        <v>0.04</v>
      </c>
    </row>
    <row r="44" spans="2:8">
      <c r="B44" s="1" t="s">
        <v>19</v>
      </c>
      <c r="C44" s="2">
        <v>1</v>
      </c>
      <c r="D44" s="2">
        <v>2</v>
      </c>
      <c r="E44" s="2">
        <v>3</v>
      </c>
      <c r="F44" s="2">
        <v>4</v>
      </c>
      <c r="G44" s="2">
        <v>5</v>
      </c>
      <c r="H44" s="2">
        <v>6</v>
      </c>
    </row>
    <row r="45" spans="2:8">
      <c r="B45" s="3" t="str">
        <f t="array" ref="B45:B51">_pcName</f>
        <v>Axial Cylindrical Housed</v>
      </c>
      <c r="C45">
        <v>1</v>
      </c>
      <c r="D45">
        <v>2</v>
      </c>
      <c r="E45">
        <v>3</v>
      </c>
      <c r="F45">
        <v>4</v>
      </c>
      <c r="G45">
        <v>5</v>
      </c>
      <c r="H45">
        <v>6</v>
      </c>
    </row>
    <row r="46" spans="2:8">
      <c r="B46" s="3" t="str">
        <v>Panel</v>
      </c>
      <c r="C46" s="78">
        <v>1</v>
      </c>
      <c r="D46" s="78">
        <v>2</v>
      </c>
      <c r="E46" s="78">
        <v>3</v>
      </c>
      <c r="F46" s="78">
        <v>4</v>
      </c>
      <c r="G46" s="78">
        <v>5</v>
      </c>
      <c r="H46" s="78">
        <v>6</v>
      </c>
    </row>
    <row r="47" spans="2:8">
      <c r="B47" s="3" t="str">
        <v>Centrif Housed</v>
      </c>
      <c r="C47" s="78">
        <v>1</v>
      </c>
      <c r="D47" s="78">
        <v>2</v>
      </c>
      <c r="E47" s="78">
        <v>3</v>
      </c>
      <c r="F47" s="78">
        <v>4</v>
      </c>
      <c r="G47" s="78">
        <v>5</v>
      </c>
      <c r="H47" s="78">
        <v>6</v>
      </c>
    </row>
    <row r="48" spans="2:8">
      <c r="B48" s="3" t="str">
        <v>Centrif Unhous</v>
      </c>
      <c r="C48" s="78">
        <v>1</v>
      </c>
      <c r="D48" s="78">
        <v>2</v>
      </c>
      <c r="E48" s="78">
        <v>3</v>
      </c>
      <c r="F48" s="78">
        <v>4</v>
      </c>
      <c r="G48" s="78">
        <v>5</v>
      </c>
      <c r="H48" s="78">
        <v>6</v>
      </c>
    </row>
    <row r="49" spans="2:62">
      <c r="B49" s="3" t="str">
        <v>Inline-Mixed</v>
      </c>
      <c r="C49" s="78">
        <v>1</v>
      </c>
      <c r="D49" s="78">
        <v>2</v>
      </c>
      <c r="E49" s="78">
        <v>3</v>
      </c>
      <c r="F49" s="78">
        <v>4</v>
      </c>
      <c r="G49" s="78">
        <v>5</v>
      </c>
      <c r="H49" s="78">
        <v>6</v>
      </c>
    </row>
    <row r="50" spans="2:62">
      <c r="B50" s="3" t="str">
        <v>Radial</v>
      </c>
      <c r="C50" s="78">
        <v>1</v>
      </c>
      <c r="D50" s="78">
        <v>2</v>
      </c>
      <c r="E50" s="78">
        <v>3</v>
      </c>
      <c r="F50" s="78">
        <v>4</v>
      </c>
      <c r="G50" s="78">
        <v>5</v>
      </c>
      <c r="H50" s="78">
        <v>6</v>
      </c>
    </row>
    <row r="51" spans="2:62">
      <c r="B51" s="3" t="str">
        <v>Power Roof Vent</v>
      </c>
      <c r="C51" s="78">
        <v>1</v>
      </c>
      <c r="D51" s="78">
        <v>2</v>
      </c>
      <c r="E51" s="78">
        <v>3</v>
      </c>
      <c r="F51" s="78">
        <v>4</v>
      </c>
      <c r="G51" s="78">
        <v>5</v>
      </c>
      <c r="H51" s="78">
        <v>6</v>
      </c>
    </row>
    <row r="52" spans="2:62">
      <c r="B52" s="1" t="s">
        <v>20</v>
      </c>
      <c r="C52">
        <v>2019</v>
      </c>
      <c r="D52">
        <v>2019</v>
      </c>
      <c r="E52" s="78">
        <v>2019</v>
      </c>
      <c r="F52" s="78">
        <v>2019</v>
      </c>
      <c r="G52" s="78">
        <v>2019</v>
      </c>
      <c r="H52" s="78">
        <v>2019</v>
      </c>
    </row>
    <row r="53" spans="2:62">
      <c r="B53" s="1" t="s">
        <v>21</v>
      </c>
      <c r="C53">
        <v>30</v>
      </c>
      <c r="D53">
        <v>30</v>
      </c>
      <c r="E53" s="78">
        <v>30</v>
      </c>
      <c r="F53" s="78">
        <v>30</v>
      </c>
      <c r="G53" s="78">
        <v>30</v>
      </c>
      <c r="H53" s="78">
        <v>30</v>
      </c>
    </row>
    <row r="55" spans="2:62">
      <c r="B55" s="1" t="s">
        <v>22</v>
      </c>
      <c r="C55" s="7">
        <f t="array" ref="C55:BJ55">(1+dRate)^(1-_t)</f>
        <v>1</v>
      </c>
      <c r="D55" s="7">
        <v>0.93457943925233644</v>
      </c>
      <c r="E55" s="7">
        <v>0.87343872827321156</v>
      </c>
      <c r="F55" s="7">
        <v>0.81629787689085187</v>
      </c>
      <c r="G55" s="7">
        <v>0.7628952120475252</v>
      </c>
      <c r="H55" s="7">
        <v>0.71298617948366838</v>
      </c>
      <c r="I55" s="7">
        <v>0.66634222381651254</v>
      </c>
      <c r="J55" s="7">
        <v>0.62274974188459109</v>
      </c>
      <c r="K55" s="7">
        <v>0.5820091045650384</v>
      </c>
      <c r="L55" s="7">
        <v>0.54393374258414806</v>
      </c>
      <c r="M55" s="7">
        <v>0.5083492921347178</v>
      </c>
      <c r="N55" s="7">
        <v>0.47509279638758667</v>
      </c>
      <c r="O55" s="7">
        <v>0.44401195924073528</v>
      </c>
      <c r="P55" s="7">
        <v>0.41496444788853759</v>
      </c>
      <c r="Q55" s="7">
        <v>0.3878172410173249</v>
      </c>
      <c r="R55" s="7">
        <v>0.36244601964235967</v>
      </c>
      <c r="S55" s="7">
        <v>0.33873459779659787</v>
      </c>
      <c r="T55" s="7">
        <v>0.31657439046411018</v>
      </c>
      <c r="U55" s="7">
        <v>0.29586391632159825</v>
      </c>
      <c r="V55" s="7">
        <v>0.27650833301083949</v>
      </c>
      <c r="W55" s="7">
        <v>0.2584190028138687</v>
      </c>
      <c r="X55" s="7">
        <v>0.24151308674193336</v>
      </c>
      <c r="Y55" s="7">
        <v>0.22571316517937698</v>
      </c>
      <c r="Z55" s="7">
        <v>0.21094688334521211</v>
      </c>
      <c r="AA55" s="7">
        <v>0.19714661994879637</v>
      </c>
      <c r="AB55" s="7">
        <v>0.18424917752223957</v>
      </c>
      <c r="AC55" s="7">
        <v>0.17219549301143888</v>
      </c>
      <c r="AD55" s="7">
        <v>0.16093036730041013</v>
      </c>
      <c r="AE55" s="7">
        <v>0.15040221243028987</v>
      </c>
      <c r="AF55" s="7">
        <v>0.1405628153554111</v>
      </c>
      <c r="AG55" s="7">
        <v>0.13136711715458982</v>
      </c>
      <c r="AH55" s="7">
        <v>0.1227730066865325</v>
      </c>
      <c r="AI55" s="7">
        <v>0.11474112774442291</v>
      </c>
      <c r="AJ55" s="7">
        <v>0.10723469882656347</v>
      </c>
      <c r="AK55" s="7">
        <v>0.10021934469772288</v>
      </c>
      <c r="AL55" s="7">
        <v>9.366293896983445E-2</v>
      </c>
      <c r="AM55" s="7">
        <v>8.7535456981153698E-2</v>
      </c>
      <c r="AN55" s="7">
        <v>8.1808838300143641E-2</v>
      </c>
      <c r="AO55" s="7">
        <v>7.6456858224433308E-2</v>
      </c>
      <c r="AP55" s="7">
        <v>7.1455007686386268E-2</v>
      </c>
      <c r="AQ55" s="7">
        <v>6.6780381015314264E-2</v>
      </c>
      <c r="AR55" s="7">
        <v>6.2411571042349782E-2</v>
      </c>
      <c r="AS55" s="7">
        <v>5.8328571067616623E-2</v>
      </c>
      <c r="AT55" s="7">
        <v>5.4512683240763193E-2</v>
      </c>
      <c r="AU55" s="7">
        <v>5.0946432935292711E-2</v>
      </c>
      <c r="AV55" s="7">
        <v>4.761348872457262E-2</v>
      </c>
      <c r="AW55" s="7">
        <v>4.4498587593058525E-2</v>
      </c>
      <c r="AX55" s="7">
        <v>4.1587465040241613E-2</v>
      </c>
      <c r="AY55" s="7">
        <v>3.8866789757235155E-2</v>
      </c>
      <c r="AZ55" s="7">
        <v>3.6324102576855283E-2</v>
      </c>
      <c r="BA55" s="7">
        <v>3.3947759417621758E-2</v>
      </c>
      <c r="BB55" s="7">
        <v>3.1726877960394168E-2</v>
      </c>
      <c r="BC55" s="7">
        <v>2.9651287813452491E-2</v>
      </c>
      <c r="BD55" s="7">
        <v>2.7711483937806064E-2</v>
      </c>
      <c r="BE55" s="7">
        <v>2.5898583119444922E-2</v>
      </c>
      <c r="BF55" s="7">
        <v>2.4204283289200861E-2</v>
      </c>
      <c r="BG55" s="7">
        <v>2.262082550392604E-2</v>
      </c>
      <c r="BH55" s="7">
        <v>2.1140958414884149E-2</v>
      </c>
      <c r="BI55" s="7">
        <v>1.9757905060639392E-2</v>
      </c>
      <c r="BJ55" s="7">
        <v>1.8465331832373259E-2</v>
      </c>
    </row>
    <row r="57" spans="2:62">
      <c r="B57" s="1" t="s">
        <v>23</v>
      </c>
      <c r="C57" t="s">
        <v>110</v>
      </c>
      <c r="D57" t="s">
        <v>112</v>
      </c>
      <c r="E57" t="s">
        <v>111</v>
      </c>
    </row>
    <row r="58" spans="2:62">
      <c r="B58" t="s">
        <v>24</v>
      </c>
    </row>
    <row r="59" spans="2:62">
      <c r="B59" s="3" t="s">
        <v>25</v>
      </c>
      <c r="C59" t="s">
        <v>110</v>
      </c>
    </row>
    <row r="60" spans="2:62">
      <c r="B60" s="3" t="s">
        <v>26</v>
      </c>
      <c r="C60" t="s">
        <v>111</v>
      </c>
    </row>
    <row r="61" spans="2:62">
      <c r="B61" s="3" t="s">
        <v>27</v>
      </c>
      <c r="C61" t="s">
        <v>112</v>
      </c>
    </row>
    <row r="63" spans="2:62">
      <c r="B63" t="s">
        <v>28</v>
      </c>
      <c r="C63" t="s">
        <v>29</v>
      </c>
    </row>
    <row r="65" spans="2:5">
      <c r="B65" t="s">
        <v>30</v>
      </c>
      <c r="C65" t="b">
        <f>sElast="Yes"</f>
        <v>0</v>
      </c>
    </row>
    <row r="67" spans="2:5">
      <c r="C67" t="s">
        <v>31</v>
      </c>
      <c r="D67" t="s">
        <v>32</v>
      </c>
      <c r="E67" t="s">
        <v>33</v>
      </c>
    </row>
    <row r="68" spans="2:5">
      <c r="B68" t="s">
        <v>34</v>
      </c>
      <c r="C68" t="s">
        <v>35</v>
      </c>
      <c r="D68" t="s">
        <v>35</v>
      </c>
      <c r="E68" t="s">
        <v>35</v>
      </c>
    </row>
    <row r="70" spans="2:5">
      <c r="B70" s="8" t="s">
        <v>36</v>
      </c>
      <c r="C70" s="8" t="b">
        <v>1</v>
      </c>
    </row>
    <row r="73" spans="2:5">
      <c r="B73" t="s">
        <v>130</v>
      </c>
      <c r="C73">
        <v>2022</v>
      </c>
    </row>
    <row r="74" spans="2:5">
      <c r="C74">
        <v>2023</v>
      </c>
    </row>
    <row r="78" spans="2:5">
      <c r="B78" t="s">
        <v>131</v>
      </c>
      <c r="C78">
        <v>9</v>
      </c>
    </row>
    <row r="79" spans="2:5">
      <c r="C79">
        <v>30</v>
      </c>
    </row>
  </sheetData>
  <conditionalFormatting sqref="C12:I18">
    <cfRule type="containsBlanks" dxfId="47" priority="7" stopIfTrue="1">
      <formula>LEN(TRIM(C12))=0</formula>
    </cfRule>
    <cfRule type="notContainsBlanks" dxfId="46" priority="8" stopIfTrue="1">
      <formula>LEN(TRIM(C12))&gt;0</formula>
    </cfRule>
  </conditionalFormatting>
  <conditionalFormatting sqref="C22:C23">
    <cfRule type="containsBlanks" dxfId="45" priority="9" stopIfTrue="1">
      <formula>LEN(TRIM(C22))=0</formula>
    </cfRule>
    <cfRule type="expression" dxfId="44" priority="10" stopIfTrue="1">
      <formula>SUM($C$22:$C$23)&lt;&gt;1</formula>
    </cfRule>
    <cfRule type="notContainsBlanks" dxfId="43" priority="11" stopIfTrue="1">
      <formula>LEN(TRIM(C22))&gt;0</formula>
    </cfRule>
  </conditionalFormatting>
  <conditionalFormatting sqref="C25:C26">
    <cfRule type="containsBlanks" dxfId="42" priority="12" stopIfTrue="1">
      <formula>LEN(TRIM(C25))=0</formula>
    </cfRule>
    <cfRule type="expression" dxfId="41" priority="13" stopIfTrue="1">
      <formula>SUM($C$25:$C$26)&lt;&gt;1</formula>
    </cfRule>
    <cfRule type="notContainsBlanks" dxfId="40" priority="14" stopIfTrue="1">
      <formula>LEN(TRIM(C25))&gt;0</formula>
    </cfRule>
  </conditionalFormatting>
  <conditionalFormatting sqref="C28:C29">
    <cfRule type="containsBlanks" dxfId="39" priority="15" stopIfTrue="1">
      <formula>LEN(TRIM(C28))=0</formula>
    </cfRule>
    <cfRule type="expression" dxfId="38" priority="16" stopIfTrue="1">
      <formula>SUM($C$28:$C$29)&lt;&gt;1</formula>
    </cfRule>
    <cfRule type="notContainsBlanks" dxfId="37" priority="17" stopIfTrue="1">
      <formula>LEN(TRIM(C28))&gt;0</formula>
    </cfRule>
  </conditionalFormatting>
  <conditionalFormatting sqref="C31:C32">
    <cfRule type="containsBlanks" dxfId="36" priority="18" stopIfTrue="1">
      <formula>LEN(TRIM(C31))=0</formula>
    </cfRule>
    <cfRule type="expression" dxfId="35" priority="19" stopIfTrue="1">
      <formula>SUM($C$31:$C$32)&lt;&gt;1</formula>
    </cfRule>
    <cfRule type="notContainsBlanks" dxfId="34" priority="20" stopIfTrue="1">
      <formula>LEN(TRIM(C31))&gt;0</formula>
    </cfRule>
  </conditionalFormatting>
  <conditionalFormatting sqref="C34:C35">
    <cfRule type="containsBlanks" dxfId="33" priority="21" stopIfTrue="1">
      <formula>LEN(TRIM(C34))=0</formula>
    </cfRule>
    <cfRule type="expression" dxfId="32" priority="22" stopIfTrue="1">
      <formula>SUM($C$34:$C$35)&lt;&gt;1</formula>
    </cfRule>
    <cfRule type="notContainsBlanks" dxfId="31" priority="23" stopIfTrue="1">
      <formula>LEN(TRIM(C34))&gt;0</formula>
    </cfRule>
  </conditionalFormatting>
  <conditionalFormatting sqref="C37:C38">
    <cfRule type="containsBlanks" dxfId="30" priority="24" stopIfTrue="1">
      <formula>LEN(TRIM(C37))=0</formula>
    </cfRule>
    <cfRule type="expression" dxfId="29" priority="25" stopIfTrue="1">
      <formula>SUM($C$37:$C$38)&lt;&gt;1</formula>
    </cfRule>
    <cfRule type="notContainsBlanks" dxfId="28" priority="26" stopIfTrue="1">
      <formula>LEN(TRIM(C37))&gt;0</formula>
    </cfRule>
  </conditionalFormatting>
  <conditionalFormatting sqref="C40:C41">
    <cfRule type="containsBlanks" dxfId="27" priority="27" stopIfTrue="1">
      <formula>LEN(TRIM(C40))=0</formula>
    </cfRule>
    <cfRule type="expression" dxfId="26" priority="28" stopIfTrue="1">
      <formula>SUM($C$40:$C$41)&lt;&gt;1</formula>
    </cfRule>
    <cfRule type="notContainsBlanks" dxfId="25" priority="29" stopIfTrue="1">
      <formula>LEN(TRIM(C40))&gt;0</formula>
    </cfRule>
  </conditionalFormatting>
  <conditionalFormatting sqref="C55:BJ55">
    <cfRule type="containsBlanks" dxfId="24" priority="36" stopIfTrue="1">
      <formula>LEN(TRIM(C55))=0</formula>
    </cfRule>
    <cfRule type="notContainsBlanks" dxfId="23" priority="37" stopIfTrue="1">
      <formula>LEN(TRIM(C55))&gt;0</formula>
    </cfRule>
  </conditionalFormatting>
  <conditionalFormatting sqref="C57:E57">
    <cfRule type="containsBlanks" dxfId="22" priority="38" stopIfTrue="1">
      <formula>LEN(TRIM(C57))=0</formula>
    </cfRule>
    <cfRule type="notContainsBlanks" dxfId="21" priority="39" stopIfTrue="1">
      <formula>LEN(TRIM(C57))&gt;0</formula>
    </cfRule>
  </conditionalFormatting>
  <conditionalFormatting sqref="C59">
    <cfRule type="containsBlanks" dxfId="20" priority="40" stopIfTrue="1">
      <formula>LEN(TRIM(C59))=0</formula>
    </cfRule>
    <cfRule type="expression" dxfId="19" priority="41" stopIfTrue="1">
      <formula>COUNTIF($C$59:$C$61,sPIdxRef)&gt;1</formula>
    </cfRule>
    <cfRule type="notContainsBlanks" dxfId="18" priority="42" stopIfTrue="1">
      <formula>LEN(TRIM(C59))&gt;0</formula>
    </cfRule>
  </conditionalFormatting>
  <conditionalFormatting sqref="C60">
    <cfRule type="containsBlanks" dxfId="17" priority="43" stopIfTrue="1">
      <formula>LEN(TRIM(C60))=0</formula>
    </cfRule>
    <cfRule type="expression" dxfId="16" priority="44" stopIfTrue="1">
      <formula>COUNTIF($C$59:$C$61,sPIdxLow)&gt;1</formula>
    </cfRule>
    <cfRule type="notContainsBlanks" dxfId="15" priority="45" stopIfTrue="1">
      <formula>LEN(TRIM(C60))&gt;0</formula>
    </cfRule>
  </conditionalFormatting>
  <conditionalFormatting sqref="C61">
    <cfRule type="containsBlanks" dxfId="14" priority="46" stopIfTrue="1">
      <formula>LEN(TRIM(C61))=0</formula>
    </cfRule>
    <cfRule type="expression" dxfId="13" priority="47" stopIfTrue="1">
      <formula>COUNTIF($C$59:$C$61,sPIdxHigh)&gt;1</formula>
    </cfRule>
    <cfRule type="notContainsBlanks" dxfId="12" priority="48" stopIfTrue="1">
      <formula>LEN(TRIM(C61))&gt;0</formula>
    </cfRule>
  </conditionalFormatting>
  <conditionalFormatting sqref="C44:H44">
    <cfRule type="containsBlanks" dxfId="11" priority="81" stopIfTrue="1">
      <formula>LEN(TRIM(C44))=0</formula>
    </cfRule>
    <cfRule type="duplicateValues" dxfId="10" priority="82" stopIfTrue="1"/>
  </conditionalFormatting>
  <conditionalFormatting sqref="C45:H51">
    <cfRule type="containsBlanks" dxfId="9" priority="83" stopIfTrue="1">
      <formula>LEN(TRIM(C45))=0</formula>
    </cfRule>
    <cfRule type="notContainsBlanks" dxfId="8" priority="84" stopIfTrue="1">
      <formula>LEN(TRIM(C45))&gt;0</formula>
    </cfRule>
  </conditionalFormatting>
  <conditionalFormatting sqref="C52:H52">
    <cfRule type="containsBlanks" dxfId="7" priority="85" stopIfTrue="1">
      <formula>LEN(TRIM(C52))=0</formula>
    </cfRule>
    <cfRule type="notContainsBlanks" dxfId="6" priority="86" stopIfTrue="1">
      <formula>LEN(TRIM(C52))&gt;0</formula>
    </cfRule>
  </conditionalFormatting>
  <conditionalFormatting sqref="C53:H53">
    <cfRule type="containsBlanks" dxfId="5" priority="87" stopIfTrue="1">
      <formula>LEN(TRIM(C53))=0</formula>
    </cfRule>
    <cfRule type="notContainsBlanks" dxfId="4" priority="88" stopIfTrue="1">
      <formula>LEN(TRIM(C53))&gt;0</formula>
    </cfRule>
  </conditionalFormatting>
  <conditionalFormatting sqref="D4:I10">
    <cfRule type="containsBlanks" dxfId="3" priority="3" stopIfTrue="1">
      <formula>LEN(TRIM(D4))=0</formula>
    </cfRule>
    <cfRule type="notContainsBlanks" dxfId="2" priority="4" stopIfTrue="1">
      <formula>LEN(TRIM(D4))&gt;0</formula>
    </cfRule>
  </conditionalFormatting>
  <conditionalFormatting sqref="C4:C10">
    <cfRule type="containsBlanks" dxfId="1" priority="1" stopIfTrue="1">
      <formula>LEN(TRIM(C4))=0</formula>
    </cfRule>
    <cfRule type="notContainsBlanks" dxfId="0" priority="2" stopIfTrue="1">
      <formula>LEN(TRIM(C4))&gt;0</formula>
    </cfRule>
  </conditionalFormatting>
  <dataValidations count="6">
    <dataValidation type="list" allowBlank="1" showInputMessage="1" showErrorMessage="1" sqref="C59:C61">
      <formula1>_PIdx</formula1>
    </dataValidation>
    <dataValidation type="list" allowBlank="1" showInputMessage="1" showErrorMessage="1" sqref="C63">
      <formula1>"Retail,TIC"</formula1>
    </dataValidation>
    <dataValidation type="list" allowBlank="1" showInputMessage="1" showErrorMessage="1" sqref="C68:E68">
      <formula1>"Yes,No"</formula1>
    </dataValidation>
    <dataValidation type="list" allowBlank="1" showInputMessage="1" showErrorMessage="1" sqref="C70">
      <formula1>"True,False"</formula1>
    </dataValidation>
    <dataValidation type="whole" allowBlank="1" showInputMessage="1" showErrorMessage="1" errorTitle="Invalid compliance year" error="The 1st year should be between 2019 and 2023." sqref="C52:H52">
      <formula1>2019</formula1>
      <formula2>2023</formula2>
    </dataValidation>
    <dataValidation type="whole" allowBlank="1" showInputMessage="1" showErrorMessage="1" errorTitle="Invalid number of years" error="The max #Years for the 1st year selected is 34." sqref="C53:H53">
      <formula1>1</formula1>
      <formula2>34</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AllScenarios" enableFormatConditionsCalculation="0"/>
  <dimension ref="A1:S760"/>
  <sheetViews>
    <sheetView topLeftCell="A408" zoomScale="85" zoomScaleNormal="85" zoomScalePageLayoutView="85" workbookViewId="0">
      <selection activeCell="I14" sqref="I14"/>
    </sheetView>
  </sheetViews>
  <sheetFormatPr defaultColWidth="8.77734375" defaultRowHeight="14.4"/>
  <cols>
    <col min="1" max="1" width="8.6640625" customWidth="1"/>
    <col min="2" max="2" width="11.33203125" bestFit="1" customWidth="1"/>
    <col min="3" max="3" width="23.77734375" bestFit="1" customWidth="1"/>
    <col min="4" max="4" width="10.44140625" bestFit="1" customWidth="1"/>
    <col min="5" max="6" width="9.6640625" bestFit="1" customWidth="1"/>
    <col min="7" max="7" width="20.33203125" bestFit="1" customWidth="1"/>
    <col min="8" max="8" width="22.44140625" bestFit="1" customWidth="1"/>
    <col min="9" max="9" width="18.6640625" bestFit="1" customWidth="1"/>
    <col min="10" max="10" width="10.109375" bestFit="1" customWidth="1"/>
    <col min="12" max="12" width="25.109375" bestFit="1" customWidth="1"/>
    <col min="13" max="13" width="23.77734375" customWidth="1"/>
    <col min="14" max="18" width="6.6640625" customWidth="1"/>
    <col min="19" max="19" width="7.6640625" customWidth="1"/>
  </cols>
  <sheetData>
    <row r="1" spans="1:19" ht="15">
      <c r="A1" t="s">
        <v>245</v>
      </c>
    </row>
    <row r="2" spans="1:19" ht="15">
      <c r="A2" t="s">
        <v>113</v>
      </c>
    </row>
    <row r="4" spans="1:19" ht="15">
      <c r="A4" s="77" t="s">
        <v>103</v>
      </c>
      <c r="B4" s="77" t="s">
        <v>102</v>
      </c>
      <c r="C4" s="77" t="s">
        <v>114</v>
      </c>
      <c r="D4" s="77" t="s">
        <v>115</v>
      </c>
      <c r="E4" s="77" t="s">
        <v>116</v>
      </c>
      <c r="F4" s="77" t="s">
        <v>107</v>
      </c>
      <c r="G4" s="77" t="s">
        <v>95</v>
      </c>
      <c r="H4" s="77" t="s">
        <v>117</v>
      </c>
      <c r="I4" s="77" t="s">
        <v>121</v>
      </c>
      <c r="J4" s="77" t="s">
        <v>118</v>
      </c>
      <c r="L4" s="145" t="s">
        <v>115</v>
      </c>
      <c r="M4" s="144" t="s">
        <v>39</v>
      </c>
    </row>
    <row r="5" spans="1:19" ht="15">
      <c r="A5">
        <v>1</v>
      </c>
      <c r="B5" t="s">
        <v>110</v>
      </c>
      <c r="C5" t="s">
        <v>125</v>
      </c>
      <c r="D5" t="s">
        <v>39</v>
      </c>
      <c r="E5" s="79">
        <v>0.03</v>
      </c>
      <c r="F5" s="7">
        <v>638.26824424351128</v>
      </c>
      <c r="G5" s="7">
        <v>195.27972759336649</v>
      </c>
      <c r="H5" s="7">
        <v>833.54797183687776</v>
      </c>
      <c r="I5" s="7">
        <v>0.17131690688005555</v>
      </c>
      <c r="J5" s="7">
        <v>0.17131690688005555</v>
      </c>
      <c r="L5" s="145" t="s">
        <v>116</v>
      </c>
      <c r="M5" s="154">
        <v>7.0000000000000007E-2</v>
      </c>
    </row>
    <row r="6" spans="1:19" ht="15">
      <c r="A6">
        <v>1</v>
      </c>
      <c r="B6" t="s">
        <v>110</v>
      </c>
      <c r="C6" t="s">
        <v>9</v>
      </c>
      <c r="D6" t="s">
        <v>39</v>
      </c>
      <c r="E6" s="79">
        <v>0.03</v>
      </c>
      <c r="F6" s="7">
        <v>1753.7266816799236</v>
      </c>
      <c r="G6" s="7">
        <v>149.28459977867456</v>
      </c>
      <c r="H6" s="7">
        <v>1903.0112814585982</v>
      </c>
      <c r="I6" s="7">
        <v>0.37571160354087185</v>
      </c>
      <c r="J6" s="7">
        <v>0.37571160354087185</v>
      </c>
      <c r="L6" s="145" t="s">
        <v>102</v>
      </c>
      <c r="M6" s="144" t="s">
        <v>110</v>
      </c>
    </row>
    <row r="7" spans="1:19" ht="15">
      <c r="A7">
        <v>1</v>
      </c>
      <c r="B7" t="s">
        <v>110</v>
      </c>
      <c r="C7" t="s">
        <v>10</v>
      </c>
      <c r="D7" t="s">
        <v>39</v>
      </c>
      <c r="E7" s="79">
        <v>0.03</v>
      </c>
      <c r="F7" s="7">
        <v>2240.2664631358925</v>
      </c>
      <c r="G7" s="7">
        <v>736.04135212031167</v>
      </c>
      <c r="H7" s="7">
        <v>2976.3078152562043</v>
      </c>
      <c r="I7" s="7">
        <v>0.5654174348305987</v>
      </c>
      <c r="J7" s="7">
        <v>0.5654174348305987</v>
      </c>
    </row>
    <row r="8" spans="1:19" ht="15">
      <c r="A8">
        <v>1</v>
      </c>
      <c r="B8" t="s">
        <v>110</v>
      </c>
      <c r="C8" t="s">
        <v>11</v>
      </c>
      <c r="D8" t="s">
        <v>39</v>
      </c>
      <c r="E8" s="79">
        <v>0.03</v>
      </c>
      <c r="F8" s="7">
        <v>753.87999235305927</v>
      </c>
      <c r="G8" s="7">
        <v>229.26718373364724</v>
      </c>
      <c r="H8" s="7">
        <v>983.14717608670651</v>
      </c>
      <c r="I8" s="7">
        <v>0.18308927263304753</v>
      </c>
      <c r="J8" s="7">
        <v>0.18308927263304753</v>
      </c>
      <c r="L8" s="143"/>
      <c r="M8" s="147"/>
      <c r="N8" s="146" t="s">
        <v>103</v>
      </c>
      <c r="O8" s="147"/>
      <c r="P8" s="147"/>
      <c r="Q8" s="147"/>
      <c r="R8" s="147"/>
      <c r="S8" s="148"/>
    </row>
    <row r="9" spans="1:19" ht="15">
      <c r="A9">
        <v>1</v>
      </c>
      <c r="B9" t="s">
        <v>110</v>
      </c>
      <c r="C9" t="s">
        <v>12</v>
      </c>
      <c r="D9" t="s">
        <v>39</v>
      </c>
      <c r="E9" s="79">
        <v>0.03</v>
      </c>
      <c r="F9" s="7">
        <v>444.26731384565204</v>
      </c>
      <c r="G9" s="7">
        <v>243.52373098781783</v>
      </c>
      <c r="H9" s="7">
        <v>687.79104483346987</v>
      </c>
      <c r="I9" s="7">
        <v>0.14053902461993106</v>
      </c>
      <c r="J9" s="7">
        <v>0.14053902461993106</v>
      </c>
      <c r="L9" s="146" t="s">
        <v>123</v>
      </c>
      <c r="M9" s="146" t="s">
        <v>114</v>
      </c>
      <c r="N9" s="143">
        <v>1</v>
      </c>
      <c r="O9" s="149">
        <v>2</v>
      </c>
      <c r="P9" s="149">
        <v>3</v>
      </c>
      <c r="Q9" s="149">
        <v>4</v>
      </c>
      <c r="R9" s="149">
        <v>5</v>
      </c>
      <c r="S9" s="152">
        <v>6</v>
      </c>
    </row>
    <row r="10" spans="1:19" ht="15">
      <c r="A10">
        <v>1</v>
      </c>
      <c r="B10" t="s">
        <v>110</v>
      </c>
      <c r="C10" t="s">
        <v>13</v>
      </c>
      <c r="D10" t="s">
        <v>39</v>
      </c>
      <c r="E10" s="79">
        <v>0.03</v>
      </c>
      <c r="F10" s="7">
        <v>1338.4450275479912</v>
      </c>
      <c r="G10" s="7">
        <v>87.253661838750233</v>
      </c>
      <c r="H10" s="7">
        <v>1425.6986893867415</v>
      </c>
      <c r="I10" s="7">
        <v>0.29969126210323732</v>
      </c>
      <c r="J10" s="7">
        <v>0.29969126210323732</v>
      </c>
      <c r="L10" s="143" t="s">
        <v>122</v>
      </c>
      <c r="M10" s="143" t="s">
        <v>125</v>
      </c>
      <c r="N10" s="150">
        <v>0.17131690688005555</v>
      </c>
      <c r="O10" s="151">
        <v>0.23054766812756738</v>
      </c>
      <c r="P10" s="151">
        <v>0.30609451611144473</v>
      </c>
      <c r="Q10" s="151">
        <v>0.40268680567979614</v>
      </c>
      <c r="R10" s="151">
        <v>0.5704962718596438</v>
      </c>
      <c r="S10" s="153">
        <v>1.5969804685675402</v>
      </c>
    </row>
    <row r="11" spans="1:19" ht="15">
      <c r="A11">
        <v>1</v>
      </c>
      <c r="B11" t="s">
        <v>110</v>
      </c>
      <c r="C11" t="s">
        <v>14</v>
      </c>
      <c r="D11" t="s">
        <v>39</v>
      </c>
      <c r="E11" s="79">
        <v>0.03</v>
      </c>
      <c r="F11" s="7">
        <v>1390.6713099198155</v>
      </c>
      <c r="G11" s="7">
        <v>641.76654280935736</v>
      </c>
      <c r="H11" s="7">
        <v>2032.4378527291728</v>
      </c>
      <c r="I11" s="7">
        <v>0.43080853441933098</v>
      </c>
      <c r="J11" s="7">
        <v>0.43080853441933098</v>
      </c>
      <c r="L11" s="224"/>
      <c r="M11" s="227" t="s">
        <v>10</v>
      </c>
      <c r="N11" s="228">
        <v>0.5654174348305987</v>
      </c>
      <c r="O11" s="229">
        <v>0.66906806848427369</v>
      </c>
      <c r="P11" s="229">
        <v>0.99354231338365995</v>
      </c>
      <c r="Q11" s="229">
        <v>1.3369232264921225</v>
      </c>
      <c r="R11" s="229">
        <v>1.5851902987314284</v>
      </c>
      <c r="S11" s="230">
        <v>4.3757503807605831</v>
      </c>
    </row>
    <row r="12" spans="1:19" ht="15">
      <c r="A12">
        <v>1</v>
      </c>
      <c r="B12" t="s">
        <v>110</v>
      </c>
      <c r="C12" t="s">
        <v>125</v>
      </c>
      <c r="D12" t="s">
        <v>39</v>
      </c>
      <c r="E12" s="79">
        <v>7.0000000000000007E-2</v>
      </c>
      <c r="F12" s="7">
        <v>176.0519261838582</v>
      </c>
      <c r="G12" s="7">
        <v>100.37711812932456</v>
      </c>
      <c r="H12" s="7">
        <v>276.42904431318277</v>
      </c>
      <c r="I12" s="7">
        <v>0.17131690688005555</v>
      </c>
      <c r="J12" s="7">
        <v>0.17131690688005555</v>
      </c>
      <c r="L12" s="224"/>
      <c r="M12" s="227" t="s">
        <v>11</v>
      </c>
      <c r="N12" s="228">
        <v>0.18308927263304753</v>
      </c>
      <c r="O12" s="229">
        <v>0.2382638988666837</v>
      </c>
      <c r="P12" s="229">
        <v>0.34553236028685302</v>
      </c>
      <c r="Q12" s="229">
        <v>0.5414811399106676</v>
      </c>
      <c r="R12" s="229">
        <v>0.76315809801321377</v>
      </c>
      <c r="S12" s="230">
        <v>5.1644649766250623</v>
      </c>
    </row>
    <row r="13" spans="1:19" ht="15">
      <c r="A13">
        <v>1</v>
      </c>
      <c r="B13" t="s">
        <v>110</v>
      </c>
      <c r="C13" t="s">
        <v>9</v>
      </c>
      <c r="D13" t="s">
        <v>39</v>
      </c>
      <c r="E13" s="79">
        <v>7.0000000000000007E-2</v>
      </c>
      <c r="F13" s="7">
        <v>582.72283380951455</v>
      </c>
      <c r="G13" s="7">
        <v>76.734836183691868</v>
      </c>
      <c r="H13" s="7">
        <v>659.45766999320642</v>
      </c>
      <c r="I13" s="7">
        <v>0.37571160354087185</v>
      </c>
      <c r="J13" s="7">
        <v>0.37571160354087185</v>
      </c>
      <c r="L13" s="224"/>
      <c r="M13" s="227" t="s">
        <v>12</v>
      </c>
      <c r="N13" s="228">
        <v>0.14053902461993106</v>
      </c>
      <c r="O13" s="229">
        <v>0.18428707833462393</v>
      </c>
      <c r="P13" s="229">
        <v>0.25877874709577608</v>
      </c>
      <c r="Q13" s="229">
        <v>0.33778814693770925</v>
      </c>
      <c r="R13" s="229">
        <v>0.40783713384322473</v>
      </c>
      <c r="S13" s="230">
        <v>0.71851171862792029</v>
      </c>
    </row>
    <row r="14" spans="1:19" ht="15">
      <c r="A14">
        <v>1</v>
      </c>
      <c r="B14" t="s">
        <v>110</v>
      </c>
      <c r="C14" t="s">
        <v>10</v>
      </c>
      <c r="D14" t="s">
        <v>39</v>
      </c>
      <c r="E14" s="79">
        <v>7.0000000000000007E-2</v>
      </c>
      <c r="F14" s="7">
        <v>703.90123003701842</v>
      </c>
      <c r="G14" s="7">
        <v>378.33783701139305</v>
      </c>
      <c r="H14" s="7">
        <v>1082.2390670484115</v>
      </c>
      <c r="I14" s="7">
        <v>0.5654174348305987</v>
      </c>
      <c r="J14" s="7">
        <v>0.5654174348305987</v>
      </c>
      <c r="L14" s="224"/>
      <c r="M14" s="227" t="s">
        <v>9</v>
      </c>
      <c r="N14" s="228">
        <v>0.37571160354087185</v>
      </c>
      <c r="O14" s="229">
        <v>0.53169346555709607</v>
      </c>
      <c r="P14" s="229">
        <v>0.71507948004505717</v>
      </c>
      <c r="Q14" s="229">
        <v>1.0157926628303318</v>
      </c>
      <c r="R14" s="229">
        <v>1.3328116379300989</v>
      </c>
      <c r="S14" s="230">
        <v>2.4020362959729926</v>
      </c>
    </row>
    <row r="15" spans="1:19" ht="15">
      <c r="A15">
        <v>1</v>
      </c>
      <c r="B15" t="s">
        <v>110</v>
      </c>
      <c r="C15" t="s">
        <v>11</v>
      </c>
      <c r="D15" t="s">
        <v>39</v>
      </c>
      <c r="E15" s="79">
        <v>7.0000000000000007E-2</v>
      </c>
      <c r="F15" s="7">
        <v>247.03679234338415</v>
      </c>
      <c r="G15" s="7">
        <v>117.84725157303853</v>
      </c>
      <c r="H15" s="7">
        <v>364.88404391642268</v>
      </c>
      <c r="I15" s="7">
        <v>0.18308927263304753</v>
      </c>
      <c r="J15" s="7">
        <v>0.18308927263304753</v>
      </c>
      <c r="L15" s="224"/>
      <c r="M15" s="227" t="s">
        <v>14</v>
      </c>
      <c r="N15" s="228">
        <v>0.43080853441933098</v>
      </c>
      <c r="O15" s="229">
        <v>0.56346040191374502</v>
      </c>
      <c r="P15" s="229">
        <v>0.69583162471255633</v>
      </c>
      <c r="Q15" s="229">
        <v>0.83714755046069111</v>
      </c>
      <c r="R15" s="229">
        <v>1.0103999406437776</v>
      </c>
      <c r="S15" s="230">
        <v>1.5806735692831881</v>
      </c>
    </row>
    <row r="16" spans="1:19" ht="15">
      <c r="A16">
        <v>1</v>
      </c>
      <c r="B16" t="s">
        <v>110</v>
      </c>
      <c r="C16" t="s">
        <v>12</v>
      </c>
      <c r="D16" t="s">
        <v>39</v>
      </c>
      <c r="E16" s="79">
        <v>7.0000000000000007E-2</v>
      </c>
      <c r="F16" s="7">
        <v>105.3823649714187</v>
      </c>
      <c r="G16" s="7">
        <v>125.17536056563202</v>
      </c>
      <c r="H16" s="7">
        <v>230.55772553705071</v>
      </c>
      <c r="I16" s="7">
        <v>0.14053902461993106</v>
      </c>
      <c r="J16" s="7">
        <v>0.14053902461993106</v>
      </c>
      <c r="L16" s="224"/>
      <c r="M16" s="227" t="s">
        <v>13</v>
      </c>
      <c r="N16" s="228">
        <v>0.29969126210323732</v>
      </c>
      <c r="O16" s="229">
        <v>0.48868789339035373</v>
      </c>
      <c r="P16" s="229">
        <v>0.69759162813543685</v>
      </c>
      <c r="Q16" s="229">
        <v>1.0604349772370085</v>
      </c>
      <c r="R16" s="229">
        <v>1.5480377827610885</v>
      </c>
      <c r="S16" s="230">
        <v>3.2937524321662881</v>
      </c>
    </row>
    <row r="17" spans="1:19" ht="15">
      <c r="A17">
        <v>1</v>
      </c>
      <c r="B17" t="s">
        <v>110</v>
      </c>
      <c r="C17" t="s">
        <v>13</v>
      </c>
      <c r="D17" t="s">
        <v>39</v>
      </c>
      <c r="E17" s="79">
        <v>7.0000000000000007E-2</v>
      </c>
      <c r="F17" s="7">
        <v>415.32887669421171</v>
      </c>
      <c r="G17" s="7">
        <v>44.849873714704451</v>
      </c>
      <c r="H17" s="7">
        <v>460.17875040891619</v>
      </c>
      <c r="I17" s="7">
        <v>0.29969126210323732</v>
      </c>
      <c r="J17" s="7">
        <v>0.29969126210323732</v>
      </c>
      <c r="L17" s="143" t="s">
        <v>124</v>
      </c>
      <c r="M17" s="143" t="s">
        <v>125</v>
      </c>
      <c r="N17" s="150">
        <v>176.0519261838582</v>
      </c>
      <c r="O17" s="151">
        <v>251.68361247293456</v>
      </c>
      <c r="P17" s="151">
        <v>343.13108766746006</v>
      </c>
      <c r="Q17" s="151">
        <v>469.15380088886752</v>
      </c>
      <c r="R17" s="151">
        <v>695.75723775979964</v>
      </c>
      <c r="S17" s="153">
        <v>2188.2869872518063</v>
      </c>
    </row>
    <row r="18" spans="1:19" ht="15">
      <c r="A18">
        <v>1</v>
      </c>
      <c r="B18" t="s">
        <v>110</v>
      </c>
      <c r="C18" t="s">
        <v>14</v>
      </c>
      <c r="D18" t="s">
        <v>39</v>
      </c>
      <c r="E18" s="79">
        <v>7.0000000000000007E-2</v>
      </c>
      <c r="F18" s="7">
        <v>329.377097272009</v>
      </c>
      <c r="G18" s="7">
        <v>329.87897347523415</v>
      </c>
      <c r="H18" s="7">
        <v>659.25607074724314</v>
      </c>
      <c r="I18" s="7">
        <v>0.43080853441933098</v>
      </c>
      <c r="J18" s="7">
        <v>0.43080853441933098</v>
      </c>
      <c r="L18" s="224"/>
      <c r="M18" s="227" t="s">
        <v>10</v>
      </c>
      <c r="N18" s="228">
        <v>703.90123003701842</v>
      </c>
      <c r="O18" s="229">
        <v>819.11470311972221</v>
      </c>
      <c r="P18" s="229">
        <v>1352.0566918489883</v>
      </c>
      <c r="Q18" s="229">
        <v>1886.4207283335352</v>
      </c>
      <c r="R18" s="229">
        <v>2104.7996533987666</v>
      </c>
      <c r="S18" s="230">
        <v>6707.2978446385105</v>
      </c>
    </row>
    <row r="19" spans="1:19" ht="15">
      <c r="A19">
        <v>1</v>
      </c>
      <c r="B19" t="s">
        <v>110</v>
      </c>
      <c r="C19" t="s">
        <v>125</v>
      </c>
      <c r="D19" t="s">
        <v>119</v>
      </c>
      <c r="E19" s="79">
        <v>0.03</v>
      </c>
      <c r="F19" s="7">
        <v>538.92358328166506</v>
      </c>
      <c r="G19" s="7">
        <v>180.28574924659932</v>
      </c>
      <c r="H19" s="7">
        <v>719.20933252826433</v>
      </c>
      <c r="I19" s="7">
        <v>0.15746079933192952</v>
      </c>
      <c r="J19" s="7">
        <v>0.15746079933192952</v>
      </c>
      <c r="L19" s="224"/>
      <c r="M19" s="227" t="s">
        <v>11</v>
      </c>
      <c r="N19" s="228">
        <v>247.03679234338415</v>
      </c>
      <c r="O19" s="229">
        <v>314.79523951275337</v>
      </c>
      <c r="P19" s="229">
        <v>486.27341036422342</v>
      </c>
      <c r="Q19" s="229">
        <v>800.04332208841299</v>
      </c>
      <c r="R19" s="229">
        <v>1154.1443378176618</v>
      </c>
      <c r="S19" s="230">
        <v>9248.9221667635084</v>
      </c>
    </row>
    <row r="20" spans="1:19" ht="15">
      <c r="A20">
        <v>1</v>
      </c>
      <c r="B20" t="s">
        <v>110</v>
      </c>
      <c r="C20" t="s">
        <v>9</v>
      </c>
      <c r="D20" t="s">
        <v>119</v>
      </c>
      <c r="E20" s="79">
        <v>0.03</v>
      </c>
      <c r="F20" s="7">
        <v>1507.3654512181715</v>
      </c>
      <c r="G20" s="7">
        <v>137.82222176241558</v>
      </c>
      <c r="H20" s="7">
        <v>1645.1876729805872</v>
      </c>
      <c r="I20" s="7">
        <v>0.34532641461828845</v>
      </c>
      <c r="J20" s="7">
        <v>0.34532641461828845</v>
      </c>
      <c r="L20" s="224"/>
      <c r="M20" s="227" t="s">
        <v>12</v>
      </c>
      <c r="N20" s="228">
        <v>105.3823649714187</v>
      </c>
      <c r="O20" s="229">
        <v>154.37131925092709</v>
      </c>
      <c r="P20" s="229">
        <v>238.80448516952774</v>
      </c>
      <c r="Q20" s="229">
        <v>327.69593253456554</v>
      </c>
      <c r="R20" s="229">
        <v>394.13940295928148</v>
      </c>
      <c r="S20" s="230">
        <v>754.63231803768917</v>
      </c>
    </row>
    <row r="21" spans="1:19" ht="15">
      <c r="A21">
        <v>1</v>
      </c>
      <c r="B21" t="s">
        <v>110</v>
      </c>
      <c r="C21" t="s">
        <v>10</v>
      </c>
      <c r="D21" t="s">
        <v>119</v>
      </c>
      <c r="E21" s="79">
        <v>0.03</v>
      </c>
      <c r="F21" s="7">
        <v>1898.3966033715742</v>
      </c>
      <c r="G21" s="7">
        <v>679.52658618926796</v>
      </c>
      <c r="H21" s="7">
        <v>2577.9231895608423</v>
      </c>
      <c r="I21" s="7">
        <v>0.51969725366024877</v>
      </c>
      <c r="J21" s="7">
        <v>0.51969725366024877</v>
      </c>
      <c r="L21" s="224"/>
      <c r="M21" s="227" t="s">
        <v>9</v>
      </c>
      <c r="N21" s="228">
        <v>582.72283380951455</v>
      </c>
      <c r="O21" s="229">
        <v>817.53088395118868</v>
      </c>
      <c r="P21" s="229">
        <v>1086.8943526841663</v>
      </c>
      <c r="Q21" s="229">
        <v>1551.6689837293495</v>
      </c>
      <c r="R21" s="229">
        <v>2024.4254694060764</v>
      </c>
      <c r="S21" s="230">
        <v>3700.2630505861707</v>
      </c>
    </row>
    <row r="22" spans="1:19" ht="15">
      <c r="A22">
        <v>1</v>
      </c>
      <c r="B22" t="s">
        <v>110</v>
      </c>
      <c r="C22" t="s">
        <v>11</v>
      </c>
      <c r="D22" t="s">
        <v>119</v>
      </c>
      <c r="E22" s="79">
        <v>0.03</v>
      </c>
      <c r="F22" s="7">
        <v>640.583493247457</v>
      </c>
      <c r="G22" s="7">
        <v>211.66357873638498</v>
      </c>
      <c r="H22" s="7">
        <v>852.24707198384192</v>
      </c>
      <c r="I22" s="7">
        <v>0.16828569710939958</v>
      </c>
      <c r="J22" s="7">
        <v>0.16828569710939958</v>
      </c>
      <c r="L22" s="224"/>
      <c r="M22" s="227" t="s">
        <v>14</v>
      </c>
      <c r="N22" s="228">
        <v>329.377097272009</v>
      </c>
      <c r="O22" s="229">
        <v>468.36335794148482</v>
      </c>
      <c r="P22" s="229">
        <v>583.41072126171071</v>
      </c>
      <c r="Q22" s="229">
        <v>678.8481926652297</v>
      </c>
      <c r="R22" s="229">
        <v>812.59755731950418</v>
      </c>
      <c r="S22" s="230">
        <v>1300.1031509776028</v>
      </c>
    </row>
    <row r="23" spans="1:19" ht="15">
      <c r="A23">
        <v>1</v>
      </c>
      <c r="B23" t="s">
        <v>110</v>
      </c>
      <c r="C23" t="s">
        <v>12</v>
      </c>
      <c r="D23" t="s">
        <v>119</v>
      </c>
      <c r="E23" s="79">
        <v>0.03</v>
      </c>
      <c r="F23" s="7">
        <v>368.98851407538973</v>
      </c>
      <c r="G23" s="7">
        <v>224.82547902712986</v>
      </c>
      <c r="H23" s="7">
        <v>593.81399310251959</v>
      </c>
      <c r="I23" s="7">
        <v>0.12917213979329051</v>
      </c>
      <c r="J23" s="7">
        <v>0.12917213979329051</v>
      </c>
      <c r="L23" s="224"/>
      <c r="M23" s="227" t="s">
        <v>13</v>
      </c>
      <c r="N23" s="228">
        <v>415.32887669421171</v>
      </c>
      <c r="O23" s="229">
        <v>694.29099826684217</v>
      </c>
      <c r="P23" s="229">
        <v>981.76142795469195</v>
      </c>
      <c r="Q23" s="229">
        <v>1505.3778422267587</v>
      </c>
      <c r="R23" s="229">
        <v>2198.9107298422623</v>
      </c>
      <c r="S23" s="230">
        <v>4657.5667982186151</v>
      </c>
    </row>
    <row r="24" spans="1:19" ht="15">
      <c r="A24">
        <v>1</v>
      </c>
      <c r="B24" t="s">
        <v>110</v>
      </c>
      <c r="C24" t="s">
        <v>13</v>
      </c>
      <c r="D24" t="s">
        <v>119</v>
      </c>
      <c r="E24" s="79">
        <v>0.03</v>
      </c>
      <c r="F24" s="7">
        <v>1148.2573333202561</v>
      </c>
      <c r="G24" s="7">
        <v>80.554146572062592</v>
      </c>
      <c r="H24" s="7">
        <v>1228.8114798923186</v>
      </c>
      <c r="I24" s="7">
        <v>0.27545077581107114</v>
      </c>
      <c r="J24" s="7">
        <v>0.27545077581107114</v>
      </c>
      <c r="L24" s="143" t="s">
        <v>230</v>
      </c>
      <c r="M24" s="147"/>
      <c r="N24" s="150">
        <v>2.1665740390270729</v>
      </c>
      <c r="O24" s="151">
        <v>2.9060084746743438</v>
      </c>
      <c r="P24" s="151">
        <v>4.012450669770784</v>
      </c>
      <c r="Q24" s="151">
        <v>5.5322545095483271</v>
      </c>
      <c r="R24" s="151">
        <v>7.2179311637824757</v>
      </c>
      <c r="S24" s="153">
        <v>19.132169842003577</v>
      </c>
    </row>
    <row r="25" spans="1:19" ht="15">
      <c r="A25">
        <v>1</v>
      </c>
      <c r="B25" t="s">
        <v>110</v>
      </c>
      <c r="C25" t="s">
        <v>14</v>
      </c>
      <c r="D25" t="s">
        <v>119</v>
      </c>
      <c r="E25" s="79">
        <v>0.03</v>
      </c>
      <c r="F25" s="7">
        <v>1159.6379836312055</v>
      </c>
      <c r="G25" s="7">
        <v>592.49039026063792</v>
      </c>
      <c r="H25" s="7">
        <v>1752.1283738918435</v>
      </c>
      <c r="I25" s="7">
        <v>0.39596223341628395</v>
      </c>
      <c r="J25" s="7">
        <v>0.39596223341628395</v>
      </c>
      <c r="L25" s="223" t="s">
        <v>231</v>
      </c>
      <c r="M25" s="231"/>
      <c r="N25" s="225">
        <v>2559.801121311415</v>
      </c>
      <c r="O25" s="226">
        <v>3520.1501145158531</v>
      </c>
      <c r="P25" s="226">
        <v>5072.3321769507675</v>
      </c>
      <c r="Q25" s="226">
        <v>7219.2088024667191</v>
      </c>
      <c r="R25" s="226">
        <v>9384.7743885033524</v>
      </c>
      <c r="S25" s="232">
        <v>28557.072316473903</v>
      </c>
    </row>
    <row r="26" spans="1:19" ht="15">
      <c r="A26">
        <v>1</v>
      </c>
      <c r="B26" t="s">
        <v>110</v>
      </c>
      <c r="C26" t="s">
        <v>125</v>
      </c>
      <c r="D26" t="s">
        <v>119</v>
      </c>
      <c r="E26" s="79">
        <v>7.0000000000000007E-2</v>
      </c>
      <c r="F26" s="7">
        <v>148.42925602714277</v>
      </c>
      <c r="G26" s="7">
        <v>93.142672146442578</v>
      </c>
      <c r="H26" s="7">
        <v>241.57192817358535</v>
      </c>
      <c r="I26" s="7">
        <v>0.15746079933192952</v>
      </c>
      <c r="J26" s="7">
        <v>0.15746079933192952</v>
      </c>
    </row>
    <row r="27" spans="1:19" ht="15">
      <c r="A27">
        <v>1</v>
      </c>
      <c r="B27" t="s">
        <v>110</v>
      </c>
      <c r="C27" t="s">
        <v>9</v>
      </c>
      <c r="D27" t="s">
        <v>119</v>
      </c>
      <c r="E27" s="79">
        <v>7.0000000000000007E-2</v>
      </c>
      <c r="F27" s="7">
        <v>505.60904213428455</v>
      </c>
      <c r="G27" s="7">
        <v>71.204352367041693</v>
      </c>
      <c r="H27" s="7">
        <v>576.81339450132623</v>
      </c>
      <c r="I27" s="7">
        <v>0.34532641461828845</v>
      </c>
      <c r="J27" s="7">
        <v>0.34532641461828845</v>
      </c>
    </row>
    <row r="28" spans="1:19" ht="15">
      <c r="A28">
        <v>1</v>
      </c>
      <c r="B28" t="s">
        <v>110</v>
      </c>
      <c r="C28" t="s">
        <v>10</v>
      </c>
      <c r="D28" t="s">
        <v>119</v>
      </c>
      <c r="E28" s="79">
        <v>7.0000000000000007E-2</v>
      </c>
      <c r="F28" s="7">
        <v>596.65430692754842</v>
      </c>
      <c r="G28" s="7">
        <v>351.07002243224838</v>
      </c>
      <c r="H28" s="7">
        <v>947.7243293597968</v>
      </c>
      <c r="I28" s="7">
        <v>0.51969725366024877</v>
      </c>
      <c r="J28" s="7">
        <v>0.51969725366024877</v>
      </c>
    </row>
    <row r="29" spans="1:19" ht="15">
      <c r="A29">
        <v>1</v>
      </c>
      <c r="B29" t="s">
        <v>110</v>
      </c>
      <c r="C29" t="s">
        <v>11</v>
      </c>
      <c r="D29" t="s">
        <v>119</v>
      </c>
      <c r="E29" s="79">
        <v>7.0000000000000007E-2</v>
      </c>
      <c r="F29" s="7">
        <v>210.33402888912309</v>
      </c>
      <c r="G29" s="7">
        <v>109.35368658905635</v>
      </c>
      <c r="H29" s="7">
        <v>319.68771547817943</v>
      </c>
      <c r="I29" s="7">
        <v>0.16828569710939958</v>
      </c>
      <c r="J29" s="7">
        <v>0.16828569710939958</v>
      </c>
    </row>
    <row r="30" spans="1:19" ht="15">
      <c r="A30">
        <v>1</v>
      </c>
      <c r="B30" t="s">
        <v>110</v>
      </c>
      <c r="C30" t="s">
        <v>12</v>
      </c>
      <c r="D30" t="s">
        <v>119</v>
      </c>
      <c r="E30" s="79">
        <v>7.0000000000000007E-2</v>
      </c>
      <c r="F30" s="7">
        <v>85.356074361890137</v>
      </c>
      <c r="G30" s="7">
        <v>116.15363926822332</v>
      </c>
      <c r="H30" s="7">
        <v>201.50971363011345</v>
      </c>
      <c r="I30" s="7">
        <v>0.12917213979329051</v>
      </c>
      <c r="J30" s="7">
        <v>0.12917213979329051</v>
      </c>
    </row>
    <row r="31" spans="1:19" ht="15">
      <c r="A31">
        <v>1</v>
      </c>
      <c r="B31" t="s">
        <v>110</v>
      </c>
      <c r="C31" t="s">
        <v>13</v>
      </c>
      <c r="D31" t="s">
        <v>119</v>
      </c>
      <c r="E31" s="79">
        <v>7.0000000000000007E-2</v>
      </c>
      <c r="F31" s="7">
        <v>360.27758768494766</v>
      </c>
      <c r="G31" s="7">
        <v>41.617423981388988</v>
      </c>
      <c r="H31" s="7">
        <v>401.89501166633664</v>
      </c>
      <c r="I31" s="7">
        <v>0.27545077581107114</v>
      </c>
      <c r="J31" s="7">
        <v>0.27545077581107114</v>
      </c>
    </row>
    <row r="32" spans="1:19" ht="15">
      <c r="A32">
        <v>1</v>
      </c>
      <c r="B32" t="s">
        <v>110</v>
      </c>
      <c r="C32" t="s">
        <v>14</v>
      </c>
      <c r="D32" t="s">
        <v>119</v>
      </c>
      <c r="E32" s="79">
        <v>7.0000000000000007E-2</v>
      </c>
      <c r="F32" s="7">
        <v>269.71379332230845</v>
      </c>
      <c r="G32" s="7">
        <v>306.10371812848859</v>
      </c>
      <c r="H32" s="7">
        <v>575.81751145079704</v>
      </c>
      <c r="I32" s="7">
        <v>0.39596223341628395</v>
      </c>
      <c r="J32" s="7">
        <v>0.39596223341628395</v>
      </c>
    </row>
    <row r="33" spans="1:10" ht="15">
      <c r="A33">
        <v>1</v>
      </c>
      <c r="B33" t="s">
        <v>110</v>
      </c>
      <c r="C33" t="s">
        <v>125</v>
      </c>
      <c r="D33" t="s">
        <v>120</v>
      </c>
      <c r="E33" s="79">
        <v>0.03</v>
      </c>
      <c r="F33" s="7">
        <v>766.6732666103843</v>
      </c>
      <c r="G33" s="7">
        <v>212.92402719048005</v>
      </c>
      <c r="H33" s="7">
        <v>979.59729380086435</v>
      </c>
      <c r="I33" s="7">
        <v>0.18734817077716737</v>
      </c>
      <c r="J33" s="7">
        <v>0.18734817077716737</v>
      </c>
    </row>
    <row r="34" spans="1:10" ht="15">
      <c r="A34">
        <v>1</v>
      </c>
      <c r="B34" t="s">
        <v>110</v>
      </c>
      <c r="C34" t="s">
        <v>9</v>
      </c>
      <c r="D34" t="s">
        <v>120</v>
      </c>
      <c r="E34" s="79">
        <v>0.03</v>
      </c>
      <c r="F34" s="7">
        <v>2065.8948617159954</v>
      </c>
      <c r="G34" s="7">
        <v>162.77305675366048</v>
      </c>
      <c r="H34" s="7">
        <v>2228.6679184696559</v>
      </c>
      <c r="I34" s="7">
        <v>0.41086867817896727</v>
      </c>
      <c r="J34" s="7">
        <v>0.41086867817896727</v>
      </c>
    </row>
    <row r="35" spans="1:10" ht="15">
      <c r="A35">
        <v>1</v>
      </c>
      <c r="B35" t="s">
        <v>110</v>
      </c>
      <c r="C35" t="s">
        <v>10</v>
      </c>
      <c r="D35" t="s">
        <v>120</v>
      </c>
      <c r="E35" s="79">
        <v>0.03</v>
      </c>
      <c r="F35" s="7">
        <v>2671.5309789505336</v>
      </c>
      <c r="G35" s="7">
        <v>802.54561394373172</v>
      </c>
      <c r="H35" s="7">
        <v>3474.0765928942656</v>
      </c>
      <c r="I35" s="7">
        <v>0.61832351033367772</v>
      </c>
      <c r="J35" s="7">
        <v>0.61832351033367772</v>
      </c>
    </row>
    <row r="36" spans="1:10" ht="15">
      <c r="A36">
        <v>1</v>
      </c>
      <c r="B36" t="s">
        <v>110</v>
      </c>
      <c r="C36" t="s">
        <v>11</v>
      </c>
      <c r="D36" t="s">
        <v>120</v>
      </c>
      <c r="E36" s="79">
        <v>0.03</v>
      </c>
      <c r="F36" s="7">
        <v>895.93433448928499</v>
      </c>
      <c r="G36" s="7">
        <v>249.98238508832426</v>
      </c>
      <c r="H36" s="7">
        <v>1145.9167195776092</v>
      </c>
      <c r="I36" s="7">
        <v>0.20022047188520711</v>
      </c>
      <c r="J36" s="7">
        <v>0.20022047188520711</v>
      </c>
    </row>
    <row r="37" spans="1:10" ht="15">
      <c r="A37">
        <v>1</v>
      </c>
      <c r="B37" t="s">
        <v>110</v>
      </c>
      <c r="C37" t="s">
        <v>12</v>
      </c>
      <c r="D37" t="s">
        <v>120</v>
      </c>
      <c r="E37" s="79">
        <v>0.03</v>
      </c>
      <c r="F37" s="7">
        <v>541.86362522318825</v>
      </c>
      <c r="G37" s="7">
        <v>265.5270680546497</v>
      </c>
      <c r="H37" s="7">
        <v>807.39069327783795</v>
      </c>
      <c r="I37" s="7">
        <v>0.15369027189799933</v>
      </c>
      <c r="J37" s="7">
        <v>0.15369027189799933</v>
      </c>
    </row>
    <row r="38" spans="1:10" ht="15">
      <c r="A38">
        <v>1</v>
      </c>
      <c r="B38" t="s">
        <v>110</v>
      </c>
      <c r="C38" t="s">
        <v>13</v>
      </c>
      <c r="D38" t="s">
        <v>120</v>
      </c>
      <c r="E38" s="79">
        <v>0.03</v>
      </c>
      <c r="F38" s="7">
        <v>1583.5432263826303</v>
      </c>
      <c r="G38" s="7">
        <v>95.137377006736997</v>
      </c>
      <c r="H38" s="7">
        <v>1678.6806033893674</v>
      </c>
      <c r="I38" s="7">
        <v>0.32773588595551323</v>
      </c>
      <c r="J38" s="7">
        <v>0.32773588595551323</v>
      </c>
    </row>
    <row r="39" spans="1:10" ht="15">
      <c r="A39">
        <v>1</v>
      </c>
      <c r="B39" t="s">
        <v>110</v>
      </c>
      <c r="C39" t="s">
        <v>14</v>
      </c>
      <c r="D39" t="s">
        <v>120</v>
      </c>
      <c r="E39" s="79">
        <v>0.03</v>
      </c>
      <c r="F39" s="7">
        <v>1692.4405746309894</v>
      </c>
      <c r="G39" s="7">
        <v>699.75270088261743</v>
      </c>
      <c r="H39" s="7">
        <v>2392.1932755136067</v>
      </c>
      <c r="I39" s="7">
        <v>0.47112315677188316</v>
      </c>
      <c r="J39" s="7">
        <v>0.47112315677188316</v>
      </c>
    </row>
    <row r="40" spans="1:10" ht="15">
      <c r="A40">
        <v>1</v>
      </c>
      <c r="B40" t="s">
        <v>110</v>
      </c>
      <c r="C40" t="s">
        <v>125</v>
      </c>
      <c r="D40" t="s">
        <v>120</v>
      </c>
      <c r="E40" s="79">
        <v>7.0000000000000007E-2</v>
      </c>
      <c r="F40" s="7">
        <v>210.43297867253986</v>
      </c>
      <c r="G40" s="7">
        <v>109.10219173971879</v>
      </c>
      <c r="H40" s="7">
        <v>319.53517041225865</v>
      </c>
      <c r="I40" s="7">
        <v>0.18734817077716737</v>
      </c>
      <c r="J40" s="7">
        <v>0.18734817077716737</v>
      </c>
    </row>
    <row r="41" spans="1:10" ht="15">
      <c r="A41">
        <v>1</v>
      </c>
      <c r="B41" t="s">
        <v>110</v>
      </c>
      <c r="C41" t="s">
        <v>9</v>
      </c>
      <c r="D41" t="s">
        <v>120</v>
      </c>
      <c r="E41" s="79">
        <v>7.0000000000000007E-2</v>
      </c>
      <c r="F41" s="7">
        <v>677.67791291244907</v>
      </c>
      <c r="G41" s="7">
        <v>83.404853281828252</v>
      </c>
      <c r="H41" s="7">
        <v>761.08276619427727</v>
      </c>
      <c r="I41" s="7">
        <v>0.41086867817896727</v>
      </c>
      <c r="J41" s="7">
        <v>0.41086867817896727</v>
      </c>
    </row>
    <row r="42" spans="1:10" ht="15">
      <c r="A42">
        <v>1</v>
      </c>
      <c r="B42" t="s">
        <v>110</v>
      </c>
      <c r="C42" t="s">
        <v>10</v>
      </c>
      <c r="D42" t="s">
        <v>120</v>
      </c>
      <c r="E42" s="79">
        <v>7.0000000000000007E-2</v>
      </c>
      <c r="F42" s="7">
        <v>835.20881870148003</v>
      </c>
      <c r="G42" s="7">
        <v>411.22407183304574</v>
      </c>
      <c r="H42" s="7">
        <v>1246.4328905345258</v>
      </c>
      <c r="I42" s="7">
        <v>0.61832351033367772</v>
      </c>
      <c r="J42" s="7">
        <v>0.61832351033367772</v>
      </c>
    </row>
    <row r="43" spans="1:10" ht="15">
      <c r="A43">
        <v>1</v>
      </c>
      <c r="B43" t="s">
        <v>110</v>
      </c>
      <c r="C43" t="s">
        <v>11</v>
      </c>
      <c r="D43" t="s">
        <v>120</v>
      </c>
      <c r="E43" s="79">
        <v>7.0000000000000007E-2</v>
      </c>
      <c r="F43" s="7">
        <v>291.78989943281113</v>
      </c>
      <c r="G43" s="7">
        <v>128.09088043905828</v>
      </c>
      <c r="H43" s="7">
        <v>419.88077987186944</v>
      </c>
      <c r="I43" s="7">
        <v>0.20022047188520711</v>
      </c>
      <c r="J43" s="7">
        <v>0.20022047188520711</v>
      </c>
    </row>
    <row r="44" spans="1:10" ht="15">
      <c r="A44">
        <v>1</v>
      </c>
      <c r="B44" t="s">
        <v>110</v>
      </c>
      <c r="C44" t="s">
        <v>12</v>
      </c>
      <c r="D44" t="s">
        <v>120</v>
      </c>
      <c r="E44" s="79">
        <v>7.0000000000000007E-2</v>
      </c>
      <c r="F44" s="7">
        <v>130.39250871121362</v>
      </c>
      <c r="G44" s="7">
        <v>136.05597016567708</v>
      </c>
      <c r="H44" s="7">
        <v>266.4484788768907</v>
      </c>
      <c r="I44" s="7">
        <v>0.15369027189799933</v>
      </c>
      <c r="J44" s="7">
        <v>0.15369027189799933</v>
      </c>
    </row>
    <row r="45" spans="1:10" ht="15">
      <c r="A45">
        <v>1</v>
      </c>
      <c r="B45" t="s">
        <v>110</v>
      </c>
      <c r="C45" t="s">
        <v>13</v>
      </c>
      <c r="D45" t="s">
        <v>120</v>
      </c>
      <c r="E45" s="79">
        <v>7.0000000000000007E-2</v>
      </c>
      <c r="F45" s="7">
        <v>483.79007386041491</v>
      </c>
      <c r="G45" s="7">
        <v>48.748356325786325</v>
      </c>
      <c r="H45" s="7">
        <v>532.53843018620125</v>
      </c>
      <c r="I45" s="7">
        <v>0.32773588595551323</v>
      </c>
      <c r="J45" s="7">
        <v>0.32773588595551323</v>
      </c>
    </row>
    <row r="46" spans="1:10" ht="15">
      <c r="A46">
        <v>1</v>
      </c>
      <c r="B46" t="s">
        <v>110</v>
      </c>
      <c r="C46" t="s">
        <v>14</v>
      </c>
      <c r="D46" t="s">
        <v>120</v>
      </c>
      <c r="E46" s="79">
        <v>7.0000000000000007E-2</v>
      </c>
      <c r="F46" s="7">
        <v>404.22585560635184</v>
      </c>
      <c r="G46" s="7">
        <v>358.55302170188747</v>
      </c>
      <c r="H46" s="7">
        <v>762.77887730823932</v>
      </c>
      <c r="I46" s="7">
        <v>0.47112315677188316</v>
      </c>
      <c r="J46" s="7">
        <v>0.47112315677188316</v>
      </c>
    </row>
    <row r="47" spans="1:10" ht="15">
      <c r="A47">
        <v>1</v>
      </c>
      <c r="B47" t="s">
        <v>112</v>
      </c>
      <c r="C47" t="s">
        <v>125</v>
      </c>
      <c r="D47" t="s">
        <v>39</v>
      </c>
      <c r="E47" s="79">
        <v>0.03</v>
      </c>
      <c r="F47" s="7">
        <v>639.84774544402694</v>
      </c>
      <c r="G47" s="7">
        <v>193.70022639285085</v>
      </c>
      <c r="H47" s="7">
        <v>833.54797183687776</v>
      </c>
      <c r="I47" s="7">
        <v>0.17131690688005555</v>
      </c>
      <c r="J47" s="7">
        <v>0.17131690688005555</v>
      </c>
    </row>
    <row r="48" spans="1:10" ht="15">
      <c r="A48">
        <v>1</v>
      </c>
      <c r="B48" t="s">
        <v>112</v>
      </c>
      <c r="C48" t="s">
        <v>9</v>
      </c>
      <c r="D48" t="s">
        <v>39</v>
      </c>
      <c r="E48" s="79">
        <v>0.03</v>
      </c>
      <c r="F48" s="7">
        <v>1754.9341557350895</v>
      </c>
      <c r="G48" s="7">
        <v>148.07712572350877</v>
      </c>
      <c r="H48" s="7">
        <v>1903.0112814585982</v>
      </c>
      <c r="I48" s="7">
        <v>0.37571160354087185</v>
      </c>
      <c r="J48" s="7">
        <v>0.37571160354087185</v>
      </c>
    </row>
    <row r="49" spans="1:10" ht="15">
      <c r="A49">
        <v>1</v>
      </c>
      <c r="B49" t="s">
        <v>112</v>
      </c>
      <c r="C49" t="s">
        <v>10</v>
      </c>
      <c r="D49" t="s">
        <v>39</v>
      </c>
      <c r="E49" s="79">
        <v>0.03</v>
      </c>
      <c r="F49" s="7">
        <v>2246.219862465312</v>
      </c>
      <c r="G49" s="7">
        <v>730.08795279089259</v>
      </c>
      <c r="H49" s="7">
        <v>2976.3078152562043</v>
      </c>
      <c r="I49" s="7">
        <v>0.5654174348305987</v>
      </c>
      <c r="J49" s="7">
        <v>0.5654174348305987</v>
      </c>
    </row>
    <row r="50" spans="1:10" ht="15">
      <c r="A50">
        <v>1</v>
      </c>
      <c r="B50" t="s">
        <v>112</v>
      </c>
      <c r="C50" t="s">
        <v>11</v>
      </c>
      <c r="D50" t="s">
        <v>39</v>
      </c>
      <c r="E50" s="79">
        <v>0.03</v>
      </c>
      <c r="F50" s="7">
        <v>755.73439780727267</v>
      </c>
      <c r="G50" s="7">
        <v>227.41277827943387</v>
      </c>
      <c r="H50" s="7">
        <v>983.14717608670651</v>
      </c>
      <c r="I50" s="7">
        <v>0.18308927263304753</v>
      </c>
      <c r="J50" s="7">
        <v>0.18308927263304753</v>
      </c>
    </row>
    <row r="51" spans="1:10" ht="15">
      <c r="A51">
        <v>1</v>
      </c>
      <c r="B51" t="s">
        <v>112</v>
      </c>
      <c r="C51" t="s">
        <v>12</v>
      </c>
      <c r="D51" t="s">
        <v>39</v>
      </c>
      <c r="E51" s="79">
        <v>0.03</v>
      </c>
      <c r="F51" s="7">
        <v>446.23703200426337</v>
      </c>
      <c r="G51" s="7">
        <v>241.55401282920647</v>
      </c>
      <c r="H51" s="7">
        <v>687.79104483346987</v>
      </c>
      <c r="I51" s="7">
        <v>0.14053902461993106</v>
      </c>
      <c r="J51" s="7">
        <v>0.14053902461993106</v>
      </c>
    </row>
    <row r="52" spans="1:10" ht="15">
      <c r="A52">
        <v>1</v>
      </c>
      <c r="B52" t="s">
        <v>112</v>
      </c>
      <c r="C52" t="s">
        <v>13</v>
      </c>
      <c r="D52" t="s">
        <v>39</v>
      </c>
      <c r="E52" s="79">
        <v>0.03</v>
      </c>
      <c r="F52" s="7">
        <v>1339.1507703576629</v>
      </c>
      <c r="G52" s="7">
        <v>86.547919029078713</v>
      </c>
      <c r="H52" s="7">
        <v>1425.6986893867415</v>
      </c>
      <c r="I52" s="7">
        <v>0.29969126210323732</v>
      </c>
      <c r="J52" s="7">
        <v>0.29969126210323732</v>
      </c>
    </row>
    <row r="53" spans="1:10" ht="15">
      <c r="A53">
        <v>1</v>
      </c>
      <c r="B53" t="s">
        <v>112</v>
      </c>
      <c r="C53" t="s">
        <v>14</v>
      </c>
      <c r="D53" t="s">
        <v>39</v>
      </c>
      <c r="E53" s="79">
        <v>0.03</v>
      </c>
      <c r="F53" s="7">
        <v>1395.86217656691</v>
      </c>
      <c r="G53" s="7">
        <v>636.57567616226277</v>
      </c>
      <c r="H53" s="7">
        <v>2032.4378527291728</v>
      </c>
      <c r="I53" s="7">
        <v>0.43080853441933098</v>
      </c>
      <c r="J53" s="7">
        <v>0.43080853441933098</v>
      </c>
    </row>
    <row r="54" spans="1:10" ht="15">
      <c r="A54">
        <v>1</v>
      </c>
      <c r="B54" t="s">
        <v>112</v>
      </c>
      <c r="C54" t="s">
        <v>125</v>
      </c>
      <c r="D54" t="s">
        <v>39</v>
      </c>
      <c r="E54" s="79">
        <v>7.0000000000000007E-2</v>
      </c>
      <c r="F54" s="7">
        <v>176.91143157692147</v>
      </c>
      <c r="G54" s="7">
        <v>99.517612736261299</v>
      </c>
      <c r="H54" s="7">
        <v>276.42904431318277</v>
      </c>
      <c r="I54" s="7">
        <v>0.17131690688005555</v>
      </c>
      <c r="J54" s="7">
        <v>0.17131690688005555</v>
      </c>
    </row>
    <row r="55" spans="1:10" ht="15">
      <c r="A55">
        <v>1</v>
      </c>
      <c r="B55" t="s">
        <v>112</v>
      </c>
      <c r="C55" t="s">
        <v>9</v>
      </c>
      <c r="D55" t="s">
        <v>39</v>
      </c>
      <c r="E55" s="79">
        <v>7.0000000000000007E-2</v>
      </c>
      <c r="F55" s="7">
        <v>583.37989596436455</v>
      </c>
      <c r="G55" s="7">
        <v>76.077774028841901</v>
      </c>
      <c r="H55" s="7">
        <v>659.45766999320642</v>
      </c>
      <c r="I55" s="7">
        <v>0.37571160354087185</v>
      </c>
      <c r="J55" s="7">
        <v>0.37571160354087185</v>
      </c>
    </row>
    <row r="56" spans="1:10" ht="15">
      <c r="A56">
        <v>1</v>
      </c>
      <c r="B56" t="s">
        <v>112</v>
      </c>
      <c r="C56" t="s">
        <v>10</v>
      </c>
      <c r="D56" t="s">
        <v>39</v>
      </c>
      <c r="E56" s="79">
        <v>7.0000000000000007E-2</v>
      </c>
      <c r="F56" s="7">
        <v>707.14084696736609</v>
      </c>
      <c r="G56" s="7">
        <v>375.09822008104533</v>
      </c>
      <c r="H56" s="7">
        <v>1082.2390670484115</v>
      </c>
      <c r="I56" s="7">
        <v>0.5654174348305987</v>
      </c>
      <c r="J56" s="7">
        <v>0.5654174348305987</v>
      </c>
    </row>
    <row r="57" spans="1:10" ht="15">
      <c r="A57">
        <v>1</v>
      </c>
      <c r="B57" t="s">
        <v>112</v>
      </c>
      <c r="C57" t="s">
        <v>11</v>
      </c>
      <c r="D57" t="s">
        <v>39</v>
      </c>
      <c r="E57" s="79">
        <v>7.0000000000000007E-2</v>
      </c>
      <c r="F57" s="7">
        <v>248.04589033476412</v>
      </c>
      <c r="G57" s="7">
        <v>116.83815358165856</v>
      </c>
      <c r="H57" s="7">
        <v>364.88404391642268</v>
      </c>
      <c r="I57" s="7">
        <v>0.18308927263304753</v>
      </c>
      <c r="J57" s="7">
        <v>0.18308927263304753</v>
      </c>
    </row>
    <row r="58" spans="1:10" ht="15">
      <c r="A58">
        <v>1</v>
      </c>
      <c r="B58" t="s">
        <v>112</v>
      </c>
      <c r="C58" t="s">
        <v>12</v>
      </c>
      <c r="D58" t="s">
        <v>39</v>
      </c>
      <c r="E58" s="79">
        <v>7.0000000000000007E-2</v>
      </c>
      <c r="F58" s="7">
        <v>106.45421181749168</v>
      </c>
      <c r="G58" s="7">
        <v>124.10351371955903</v>
      </c>
      <c r="H58" s="7">
        <v>230.55772553705071</v>
      </c>
      <c r="I58" s="7">
        <v>0.14053902461993106</v>
      </c>
      <c r="J58" s="7">
        <v>0.14053902461993106</v>
      </c>
    </row>
    <row r="59" spans="1:10" ht="15">
      <c r="A59">
        <v>1</v>
      </c>
      <c r="B59" t="s">
        <v>112</v>
      </c>
      <c r="C59" t="s">
        <v>13</v>
      </c>
      <c r="D59" t="s">
        <v>39</v>
      </c>
      <c r="E59" s="79">
        <v>7.0000000000000007E-2</v>
      </c>
      <c r="F59" s="7">
        <v>415.71291549762026</v>
      </c>
      <c r="G59" s="7">
        <v>44.465834911295921</v>
      </c>
      <c r="H59" s="7">
        <v>460.17875040891619</v>
      </c>
      <c r="I59" s="7">
        <v>0.29969126210323732</v>
      </c>
      <c r="J59" s="7">
        <v>0.29969126210323732</v>
      </c>
    </row>
    <row r="60" spans="1:10" ht="15">
      <c r="A60">
        <v>1</v>
      </c>
      <c r="B60" t="s">
        <v>112</v>
      </c>
      <c r="C60" t="s">
        <v>14</v>
      </c>
      <c r="D60" t="s">
        <v>39</v>
      </c>
      <c r="E60" s="79">
        <v>7.0000000000000007E-2</v>
      </c>
      <c r="F60" s="7">
        <v>332.20177247731658</v>
      </c>
      <c r="G60" s="7">
        <v>327.05429826992656</v>
      </c>
      <c r="H60" s="7">
        <v>659.25607074724314</v>
      </c>
      <c r="I60" s="7">
        <v>0.43080853441933098</v>
      </c>
      <c r="J60" s="7">
        <v>0.43080853441933098</v>
      </c>
    </row>
    <row r="61" spans="1:10" ht="15">
      <c r="A61">
        <v>1</v>
      </c>
      <c r="B61" t="s">
        <v>112</v>
      </c>
      <c r="C61" t="s">
        <v>125</v>
      </c>
      <c r="D61" t="s">
        <v>119</v>
      </c>
      <c r="E61" s="79">
        <v>0.03</v>
      </c>
      <c r="F61" s="7">
        <v>540.38447797670494</v>
      </c>
      <c r="G61" s="7">
        <v>178.82485455155938</v>
      </c>
      <c r="H61" s="7">
        <v>719.20933252826433</v>
      </c>
      <c r="I61" s="7">
        <v>0.15746079933192952</v>
      </c>
      <c r="J61" s="7">
        <v>0.15746079933192952</v>
      </c>
    </row>
    <row r="62" spans="1:10" ht="15">
      <c r="A62">
        <v>1</v>
      </c>
      <c r="B62" t="s">
        <v>112</v>
      </c>
      <c r="C62" t="s">
        <v>9</v>
      </c>
      <c r="D62" t="s">
        <v>119</v>
      </c>
      <c r="E62" s="79">
        <v>0.03</v>
      </c>
      <c r="F62" s="7">
        <v>1508.4822547008243</v>
      </c>
      <c r="G62" s="7">
        <v>136.70541827976274</v>
      </c>
      <c r="H62" s="7">
        <v>1645.1876729805872</v>
      </c>
      <c r="I62" s="7">
        <v>0.34532641461828845</v>
      </c>
      <c r="J62" s="7">
        <v>0.34532641461828845</v>
      </c>
    </row>
    <row r="63" spans="1:10" ht="15">
      <c r="A63">
        <v>1</v>
      </c>
      <c r="B63" t="s">
        <v>112</v>
      </c>
      <c r="C63" t="s">
        <v>10</v>
      </c>
      <c r="D63" t="s">
        <v>119</v>
      </c>
      <c r="E63" s="79">
        <v>0.03</v>
      </c>
      <c r="F63" s="7">
        <v>1903.9029553103787</v>
      </c>
      <c r="G63" s="7">
        <v>674.02023425046366</v>
      </c>
      <c r="H63" s="7">
        <v>2577.9231895608423</v>
      </c>
      <c r="I63" s="7">
        <v>0.51969725366024877</v>
      </c>
      <c r="J63" s="7">
        <v>0.51969725366024877</v>
      </c>
    </row>
    <row r="64" spans="1:10" ht="15">
      <c r="A64">
        <v>1</v>
      </c>
      <c r="B64" t="s">
        <v>112</v>
      </c>
      <c r="C64" t="s">
        <v>11</v>
      </c>
      <c r="D64" t="s">
        <v>119</v>
      </c>
      <c r="E64" s="79">
        <v>0.03</v>
      </c>
      <c r="F64" s="7">
        <v>642.29864932940791</v>
      </c>
      <c r="G64" s="7">
        <v>209.94842265443401</v>
      </c>
      <c r="H64" s="7">
        <v>852.24707198384192</v>
      </c>
      <c r="I64" s="7">
        <v>0.16828569710939958</v>
      </c>
      <c r="J64" s="7">
        <v>0.16828569710939958</v>
      </c>
    </row>
    <row r="65" spans="1:10" ht="15">
      <c r="A65">
        <v>1</v>
      </c>
      <c r="B65" t="s">
        <v>112</v>
      </c>
      <c r="C65" t="s">
        <v>12</v>
      </c>
      <c r="D65" t="s">
        <v>119</v>
      </c>
      <c r="E65" s="79">
        <v>0.03</v>
      </c>
      <c r="F65" s="7">
        <v>370.81032390225153</v>
      </c>
      <c r="G65" s="7">
        <v>223.00366920026809</v>
      </c>
      <c r="H65" s="7">
        <v>593.81399310251959</v>
      </c>
      <c r="I65" s="7">
        <v>0.12917213979329051</v>
      </c>
      <c r="J65" s="7">
        <v>0.12917213979329051</v>
      </c>
    </row>
    <row r="66" spans="1:10" ht="15">
      <c r="A66">
        <v>1</v>
      </c>
      <c r="B66" t="s">
        <v>112</v>
      </c>
      <c r="C66" t="s">
        <v>13</v>
      </c>
      <c r="D66" t="s">
        <v>119</v>
      </c>
      <c r="E66" s="79">
        <v>0.03</v>
      </c>
      <c r="F66" s="7">
        <v>1148.9100811158103</v>
      </c>
      <c r="G66" s="7">
        <v>79.901398776508415</v>
      </c>
      <c r="H66" s="7">
        <v>1228.8114798923186</v>
      </c>
      <c r="I66" s="7">
        <v>0.27545077581107114</v>
      </c>
      <c r="J66" s="7">
        <v>0.27545077581107114</v>
      </c>
    </row>
    <row r="67" spans="1:10" ht="15">
      <c r="A67">
        <v>1</v>
      </c>
      <c r="B67" t="s">
        <v>112</v>
      </c>
      <c r="C67" t="s">
        <v>14</v>
      </c>
      <c r="D67" t="s">
        <v>119</v>
      </c>
      <c r="E67" s="79">
        <v>0.03</v>
      </c>
      <c r="F67" s="7">
        <v>1164.4390623166316</v>
      </c>
      <c r="G67" s="7">
        <v>587.68931157521183</v>
      </c>
      <c r="H67" s="7">
        <v>1752.1283738918435</v>
      </c>
      <c r="I67" s="7">
        <v>0.39596223341628395</v>
      </c>
      <c r="J67" s="7">
        <v>0.39596223341628395</v>
      </c>
    </row>
    <row r="68" spans="1:10" ht="15">
      <c r="A68">
        <v>1</v>
      </c>
      <c r="B68" t="s">
        <v>112</v>
      </c>
      <c r="C68" t="s">
        <v>125</v>
      </c>
      <c r="D68" t="s">
        <v>119</v>
      </c>
      <c r="E68" s="79">
        <v>7.0000000000000007E-2</v>
      </c>
      <c r="F68" s="7">
        <v>149.22848398203746</v>
      </c>
      <c r="G68" s="7">
        <v>92.343444191547889</v>
      </c>
      <c r="H68" s="7">
        <v>241.57192817358535</v>
      </c>
      <c r="I68" s="7">
        <v>0.15746079933192952</v>
      </c>
      <c r="J68" s="7">
        <v>0.15746079933192952</v>
      </c>
    </row>
    <row r="69" spans="1:10" ht="15">
      <c r="A69">
        <v>1</v>
      </c>
      <c r="B69" t="s">
        <v>112</v>
      </c>
      <c r="C69" t="s">
        <v>9</v>
      </c>
      <c r="D69" t="s">
        <v>119</v>
      </c>
      <c r="E69" s="79">
        <v>7.0000000000000007E-2</v>
      </c>
      <c r="F69" s="7">
        <v>506.22002427179956</v>
      </c>
      <c r="G69" s="7">
        <v>70.59337022952667</v>
      </c>
      <c r="H69" s="7">
        <v>576.81339450132623</v>
      </c>
      <c r="I69" s="7">
        <v>0.34532641461828845</v>
      </c>
      <c r="J69" s="7">
        <v>0.34532641461828845</v>
      </c>
    </row>
    <row r="70" spans="1:10" ht="15">
      <c r="A70">
        <v>1</v>
      </c>
      <c r="B70" t="s">
        <v>112</v>
      </c>
      <c r="C70" t="s">
        <v>10</v>
      </c>
      <c r="D70" t="s">
        <v>119</v>
      </c>
      <c r="E70" s="79">
        <v>7.0000000000000007E-2</v>
      </c>
      <c r="F70" s="7">
        <v>599.66672829776962</v>
      </c>
      <c r="G70" s="7">
        <v>348.05760106202723</v>
      </c>
      <c r="H70" s="7">
        <v>947.7243293597968</v>
      </c>
      <c r="I70" s="7">
        <v>0.51969725366024877</v>
      </c>
      <c r="J70" s="7">
        <v>0.51969725366024877</v>
      </c>
    </row>
    <row r="71" spans="1:10" ht="15">
      <c r="A71">
        <v>1</v>
      </c>
      <c r="B71" t="s">
        <v>112</v>
      </c>
      <c r="C71" t="s">
        <v>11</v>
      </c>
      <c r="D71" t="s">
        <v>119</v>
      </c>
      <c r="E71" s="79">
        <v>7.0000000000000007E-2</v>
      </c>
      <c r="F71" s="7">
        <v>211.27235845685777</v>
      </c>
      <c r="G71" s="7">
        <v>108.41535702132165</v>
      </c>
      <c r="H71" s="7">
        <v>319.68771547817943</v>
      </c>
      <c r="I71" s="7">
        <v>0.16828569710939958</v>
      </c>
      <c r="J71" s="7">
        <v>0.16828569710939958</v>
      </c>
    </row>
    <row r="72" spans="1:10" ht="15">
      <c r="A72">
        <v>1</v>
      </c>
      <c r="B72" t="s">
        <v>112</v>
      </c>
      <c r="C72" t="s">
        <v>12</v>
      </c>
      <c r="D72" t="s">
        <v>119</v>
      </c>
      <c r="E72" s="79">
        <v>7.0000000000000007E-2</v>
      </c>
      <c r="F72" s="7">
        <v>86.352752183415063</v>
      </c>
      <c r="G72" s="7">
        <v>115.15696144669839</v>
      </c>
      <c r="H72" s="7">
        <v>201.50971363011345</v>
      </c>
      <c r="I72" s="7">
        <v>0.12917213979329051</v>
      </c>
      <c r="J72" s="7">
        <v>0.12917213979329051</v>
      </c>
    </row>
    <row r="73" spans="1:10" ht="15">
      <c r="A73">
        <v>1</v>
      </c>
      <c r="B73" t="s">
        <v>112</v>
      </c>
      <c r="C73" t="s">
        <v>13</v>
      </c>
      <c r="D73" t="s">
        <v>119</v>
      </c>
      <c r="E73" s="79">
        <v>7.0000000000000007E-2</v>
      </c>
      <c r="F73" s="7">
        <v>360.63469370187966</v>
      </c>
      <c r="G73" s="7">
        <v>41.260317964457002</v>
      </c>
      <c r="H73" s="7">
        <v>401.89501166633664</v>
      </c>
      <c r="I73" s="7">
        <v>0.27545077581107114</v>
      </c>
      <c r="J73" s="7">
        <v>0.27545077581107114</v>
      </c>
    </row>
    <row r="74" spans="1:10" ht="15">
      <c r="A74">
        <v>1</v>
      </c>
      <c r="B74" t="s">
        <v>112</v>
      </c>
      <c r="C74" t="s">
        <v>14</v>
      </c>
      <c r="D74" t="s">
        <v>119</v>
      </c>
      <c r="E74" s="79">
        <v>7.0000000000000007E-2</v>
      </c>
      <c r="F74" s="7">
        <v>272.3403729875435</v>
      </c>
      <c r="G74" s="7">
        <v>303.47713846325354</v>
      </c>
      <c r="H74" s="7">
        <v>575.81751145079704</v>
      </c>
      <c r="I74" s="7">
        <v>0.39596223341628395</v>
      </c>
      <c r="J74" s="7">
        <v>0.39596223341628395</v>
      </c>
    </row>
    <row r="75" spans="1:10" ht="15">
      <c r="A75">
        <v>1</v>
      </c>
      <c r="B75" t="s">
        <v>112</v>
      </c>
      <c r="C75" t="s">
        <v>125</v>
      </c>
      <c r="D75" t="s">
        <v>120</v>
      </c>
      <c r="E75" s="79">
        <v>0.03</v>
      </c>
      <c r="F75" s="7">
        <v>768.39434407906856</v>
      </c>
      <c r="G75" s="7">
        <v>211.20294972179576</v>
      </c>
      <c r="H75" s="7">
        <v>979.59729380086435</v>
      </c>
      <c r="I75" s="7">
        <v>0.18734817077716737</v>
      </c>
      <c r="J75" s="7">
        <v>0.18734817077716737</v>
      </c>
    </row>
    <row r="76" spans="1:10" ht="15">
      <c r="A76">
        <v>1</v>
      </c>
      <c r="B76" t="s">
        <v>112</v>
      </c>
      <c r="C76" t="s">
        <v>9</v>
      </c>
      <c r="D76" t="s">
        <v>120</v>
      </c>
      <c r="E76" s="79">
        <v>0.03</v>
      </c>
      <c r="F76" s="7">
        <v>2067.2105659330532</v>
      </c>
      <c r="G76" s="7">
        <v>161.45735253660249</v>
      </c>
      <c r="H76" s="7">
        <v>2228.6679184696559</v>
      </c>
      <c r="I76" s="7">
        <v>0.41086867817896727</v>
      </c>
      <c r="J76" s="7">
        <v>0.41086867817896727</v>
      </c>
    </row>
    <row r="77" spans="1:10" ht="15">
      <c r="A77">
        <v>1</v>
      </c>
      <c r="B77" t="s">
        <v>112</v>
      </c>
      <c r="C77" t="s">
        <v>10</v>
      </c>
      <c r="D77" t="s">
        <v>120</v>
      </c>
      <c r="E77" s="79">
        <v>0.03</v>
      </c>
      <c r="F77" s="7">
        <v>2678.0180024770739</v>
      </c>
      <c r="G77" s="7">
        <v>796.05859041719168</v>
      </c>
      <c r="H77" s="7">
        <v>3474.0765928942656</v>
      </c>
      <c r="I77" s="7">
        <v>0.61832351033367772</v>
      </c>
      <c r="J77" s="7">
        <v>0.61832351033367772</v>
      </c>
    </row>
    <row r="78" spans="1:10" ht="15">
      <c r="A78">
        <v>1</v>
      </c>
      <c r="B78" t="s">
        <v>112</v>
      </c>
      <c r="C78" t="s">
        <v>11</v>
      </c>
      <c r="D78" t="s">
        <v>120</v>
      </c>
      <c r="E78" s="79">
        <v>0.03</v>
      </c>
      <c r="F78" s="7">
        <v>897.95495685032597</v>
      </c>
      <c r="G78" s="7">
        <v>247.9617627272832</v>
      </c>
      <c r="H78" s="7">
        <v>1145.9167195776092</v>
      </c>
      <c r="I78" s="7">
        <v>0.20022047188520711</v>
      </c>
      <c r="J78" s="7">
        <v>0.20022047188520711</v>
      </c>
    </row>
    <row r="79" spans="1:10" ht="15">
      <c r="A79">
        <v>1</v>
      </c>
      <c r="B79" t="s">
        <v>112</v>
      </c>
      <c r="C79" t="s">
        <v>12</v>
      </c>
      <c r="D79" t="s">
        <v>120</v>
      </c>
      <c r="E79" s="79">
        <v>0.03</v>
      </c>
      <c r="F79" s="7">
        <v>544.00989617337029</v>
      </c>
      <c r="G79" s="7">
        <v>263.38079710446766</v>
      </c>
      <c r="H79" s="7">
        <v>807.39069327783795</v>
      </c>
      <c r="I79" s="7">
        <v>0.15369027189799933</v>
      </c>
      <c r="J79" s="7">
        <v>0.15369027189799933</v>
      </c>
    </row>
    <row r="80" spans="1:10" ht="15">
      <c r="A80">
        <v>1</v>
      </c>
      <c r="B80" t="s">
        <v>112</v>
      </c>
      <c r="C80" t="s">
        <v>13</v>
      </c>
      <c r="D80" t="s">
        <v>120</v>
      </c>
      <c r="E80" s="79">
        <v>0.03</v>
      </c>
      <c r="F80" s="7">
        <v>1584.3122274115724</v>
      </c>
      <c r="G80" s="7">
        <v>94.368375977795012</v>
      </c>
      <c r="H80" s="7">
        <v>1678.6806033893674</v>
      </c>
      <c r="I80" s="7">
        <v>0.32773588595551323</v>
      </c>
      <c r="J80" s="7">
        <v>0.32773588595551323</v>
      </c>
    </row>
    <row r="81" spans="1:10" ht="15">
      <c r="A81">
        <v>1</v>
      </c>
      <c r="B81" t="s">
        <v>112</v>
      </c>
      <c r="C81" t="s">
        <v>14</v>
      </c>
      <c r="D81" t="s">
        <v>120</v>
      </c>
      <c r="E81" s="79">
        <v>0.03</v>
      </c>
      <c r="F81" s="7">
        <v>1698.0967169791829</v>
      </c>
      <c r="G81" s="7">
        <v>694.09655853442393</v>
      </c>
      <c r="H81" s="7">
        <v>2392.1932755136067</v>
      </c>
      <c r="I81" s="7">
        <v>0.47112315677188316</v>
      </c>
      <c r="J81" s="7">
        <v>0.47112315677188316</v>
      </c>
    </row>
    <row r="82" spans="1:10" ht="15">
      <c r="A82">
        <v>1</v>
      </c>
      <c r="B82" t="s">
        <v>112</v>
      </c>
      <c r="C82" t="s">
        <v>125</v>
      </c>
      <c r="D82" t="s">
        <v>120</v>
      </c>
      <c r="E82" s="79">
        <v>7.0000000000000007E-2</v>
      </c>
      <c r="F82" s="7">
        <v>211.36677820403884</v>
      </c>
      <c r="G82" s="7">
        <v>108.16839220821983</v>
      </c>
      <c r="H82" s="7">
        <v>319.53517041225865</v>
      </c>
      <c r="I82" s="7">
        <v>0.18734817077716737</v>
      </c>
      <c r="J82" s="7">
        <v>0.18734817077716737</v>
      </c>
    </row>
    <row r="83" spans="1:10" ht="15">
      <c r="A83">
        <v>1</v>
      </c>
      <c r="B83" t="s">
        <v>112</v>
      </c>
      <c r="C83" t="s">
        <v>9</v>
      </c>
      <c r="D83" t="s">
        <v>120</v>
      </c>
      <c r="E83" s="79">
        <v>7.0000000000000007E-2</v>
      </c>
      <c r="F83" s="7">
        <v>678.3917703673485</v>
      </c>
      <c r="G83" s="7">
        <v>82.690995826928713</v>
      </c>
      <c r="H83" s="7">
        <v>761.08276619427727</v>
      </c>
      <c r="I83" s="7">
        <v>0.41086867817896727</v>
      </c>
      <c r="J83" s="7">
        <v>0.41086867817896727</v>
      </c>
    </row>
    <row r="84" spans="1:10" ht="15">
      <c r="A84">
        <v>1</v>
      </c>
      <c r="B84" t="s">
        <v>112</v>
      </c>
      <c r="C84" t="s">
        <v>10</v>
      </c>
      <c r="D84" t="s">
        <v>120</v>
      </c>
      <c r="E84" s="79">
        <v>7.0000000000000007E-2</v>
      </c>
      <c r="F84" s="7">
        <v>838.72846243636468</v>
      </c>
      <c r="G84" s="7">
        <v>407.70442809816103</v>
      </c>
      <c r="H84" s="7">
        <v>1246.4328905345258</v>
      </c>
      <c r="I84" s="7">
        <v>0.61832351033367772</v>
      </c>
      <c r="J84" s="7">
        <v>0.61832351033367772</v>
      </c>
    </row>
    <row r="85" spans="1:10" ht="15">
      <c r="A85">
        <v>1</v>
      </c>
      <c r="B85" t="s">
        <v>112</v>
      </c>
      <c r="C85" t="s">
        <v>11</v>
      </c>
      <c r="D85" t="s">
        <v>120</v>
      </c>
      <c r="E85" s="79">
        <v>7.0000000000000007E-2</v>
      </c>
      <c r="F85" s="7">
        <v>292.88622208441069</v>
      </c>
      <c r="G85" s="7">
        <v>126.99455778745876</v>
      </c>
      <c r="H85" s="7">
        <v>419.88077987186944</v>
      </c>
      <c r="I85" s="7">
        <v>0.20022047188520711</v>
      </c>
      <c r="J85" s="7">
        <v>0.20022047188520711</v>
      </c>
    </row>
    <row r="86" spans="1:10" ht="15">
      <c r="A86">
        <v>1</v>
      </c>
      <c r="B86" t="s">
        <v>112</v>
      </c>
      <c r="C86" t="s">
        <v>12</v>
      </c>
      <c r="D86" t="s">
        <v>120</v>
      </c>
      <c r="E86" s="79">
        <v>7.0000000000000007E-2</v>
      </c>
      <c r="F86" s="7">
        <v>131.55700411843191</v>
      </c>
      <c r="G86" s="7">
        <v>134.8914747584588</v>
      </c>
      <c r="H86" s="7">
        <v>266.4484788768907</v>
      </c>
      <c r="I86" s="7">
        <v>0.15369027189799933</v>
      </c>
      <c r="J86" s="7">
        <v>0.15369027189799933</v>
      </c>
    </row>
    <row r="87" spans="1:10" ht="15">
      <c r="A87">
        <v>1</v>
      </c>
      <c r="B87" t="s">
        <v>112</v>
      </c>
      <c r="C87" t="s">
        <v>13</v>
      </c>
      <c r="D87" t="s">
        <v>120</v>
      </c>
      <c r="E87" s="79">
        <v>7.0000000000000007E-2</v>
      </c>
      <c r="F87" s="7">
        <v>484.2073083043108</v>
      </c>
      <c r="G87" s="7">
        <v>48.331121881890425</v>
      </c>
      <c r="H87" s="7">
        <v>532.53843018620125</v>
      </c>
      <c r="I87" s="7">
        <v>0.32773588595551323</v>
      </c>
      <c r="J87" s="7">
        <v>0.32773588595551323</v>
      </c>
    </row>
    <row r="88" spans="1:10" ht="15">
      <c r="A88">
        <v>1</v>
      </c>
      <c r="B88" t="s">
        <v>112</v>
      </c>
      <c r="C88" t="s">
        <v>14</v>
      </c>
      <c r="D88" t="s">
        <v>120</v>
      </c>
      <c r="E88" s="79">
        <v>7.0000000000000007E-2</v>
      </c>
      <c r="F88" s="7">
        <v>407.29469078137311</v>
      </c>
      <c r="G88" s="7">
        <v>355.48418652686621</v>
      </c>
      <c r="H88" s="7">
        <v>762.77887730823932</v>
      </c>
      <c r="I88" s="7">
        <v>0.47112315677188316</v>
      </c>
      <c r="J88" s="7">
        <v>0.47112315677188316</v>
      </c>
    </row>
    <row r="89" spans="1:10" ht="15">
      <c r="A89">
        <v>1</v>
      </c>
      <c r="B89" t="s">
        <v>111</v>
      </c>
      <c r="C89" t="s">
        <v>125</v>
      </c>
      <c r="D89" t="s">
        <v>39</v>
      </c>
      <c r="E89" s="79">
        <v>0.03</v>
      </c>
      <c r="F89" s="7">
        <v>541.00399781031319</v>
      </c>
      <c r="G89" s="7">
        <v>292.54397402656457</v>
      </c>
      <c r="H89" s="7">
        <v>833.54797183687776</v>
      </c>
      <c r="I89" s="7">
        <v>0.17131690688005555</v>
      </c>
      <c r="J89" s="7">
        <v>0.17131690688005555</v>
      </c>
    </row>
    <row r="90" spans="1:10" ht="15">
      <c r="A90">
        <v>1</v>
      </c>
      <c r="B90" t="s">
        <v>111</v>
      </c>
      <c r="C90" t="s">
        <v>9</v>
      </c>
      <c r="D90" t="s">
        <v>39</v>
      </c>
      <c r="E90" s="79">
        <v>0.03</v>
      </c>
      <c r="F90" s="7">
        <v>1679.3715282776739</v>
      </c>
      <c r="G90" s="7">
        <v>223.63975318092446</v>
      </c>
      <c r="H90" s="7">
        <v>1903.0112814585982</v>
      </c>
      <c r="I90" s="7">
        <v>0.37571160354087185</v>
      </c>
      <c r="J90" s="7">
        <v>0.37571160354087185</v>
      </c>
    </row>
    <row r="91" spans="1:10" ht="15">
      <c r="A91">
        <v>1</v>
      </c>
      <c r="B91" t="s">
        <v>111</v>
      </c>
      <c r="C91" t="s">
        <v>10</v>
      </c>
      <c r="D91" t="s">
        <v>39</v>
      </c>
      <c r="E91" s="79">
        <v>0.03</v>
      </c>
      <c r="F91" s="7">
        <v>1873.6615505833352</v>
      </c>
      <c r="G91" s="7">
        <v>1102.6462646728692</v>
      </c>
      <c r="H91" s="7">
        <v>2976.3078152562043</v>
      </c>
      <c r="I91" s="7">
        <v>0.5654174348305987</v>
      </c>
      <c r="J91" s="7">
        <v>0.5654174348305987</v>
      </c>
    </row>
    <row r="92" spans="1:10" ht="15">
      <c r="A92">
        <v>1</v>
      </c>
      <c r="B92" t="s">
        <v>111</v>
      </c>
      <c r="C92" t="s">
        <v>11</v>
      </c>
      <c r="D92" t="s">
        <v>39</v>
      </c>
      <c r="E92" s="79">
        <v>0.03</v>
      </c>
      <c r="F92" s="7">
        <v>639.68739216596475</v>
      </c>
      <c r="G92" s="7">
        <v>343.45978392074176</v>
      </c>
      <c r="H92" s="7">
        <v>983.14717608670651</v>
      </c>
      <c r="I92" s="7">
        <v>0.18308927263304753</v>
      </c>
      <c r="J92" s="7">
        <v>0.18308927263304753</v>
      </c>
    </row>
    <row r="93" spans="1:10" ht="15">
      <c r="A93">
        <v>1</v>
      </c>
      <c r="B93" t="s">
        <v>111</v>
      </c>
      <c r="C93" t="s">
        <v>12</v>
      </c>
      <c r="D93" t="s">
        <v>39</v>
      </c>
      <c r="E93" s="79">
        <v>0.03</v>
      </c>
      <c r="F93" s="7">
        <v>322.97386226703878</v>
      </c>
      <c r="G93" s="7">
        <v>364.81718256643109</v>
      </c>
      <c r="H93" s="7">
        <v>687.79104483346987</v>
      </c>
      <c r="I93" s="7">
        <v>0.14053902461993106</v>
      </c>
      <c r="J93" s="7">
        <v>0.14053902461993106</v>
      </c>
    </row>
    <row r="94" spans="1:10" ht="15">
      <c r="A94">
        <v>1</v>
      </c>
      <c r="B94" t="s">
        <v>111</v>
      </c>
      <c r="C94" t="s">
        <v>13</v>
      </c>
      <c r="D94" t="s">
        <v>39</v>
      </c>
      <c r="E94" s="79">
        <v>0.03</v>
      </c>
      <c r="F94" s="7">
        <v>1294.9860276206919</v>
      </c>
      <c r="G94" s="7">
        <v>130.71266176604968</v>
      </c>
      <c r="H94" s="7">
        <v>1425.6986893867415</v>
      </c>
      <c r="I94" s="7">
        <v>0.29969126210323732</v>
      </c>
      <c r="J94" s="7">
        <v>0.29969126210323732</v>
      </c>
    </row>
    <row r="95" spans="1:10" ht="15">
      <c r="A95">
        <v>1</v>
      </c>
      <c r="B95" t="s">
        <v>111</v>
      </c>
      <c r="C95" t="s">
        <v>14</v>
      </c>
      <c r="D95" t="s">
        <v>39</v>
      </c>
      <c r="E95" s="79">
        <v>0.03</v>
      </c>
      <c r="F95" s="7">
        <v>1071.0224659682788</v>
      </c>
      <c r="G95" s="7">
        <v>961.41538676089408</v>
      </c>
      <c r="H95" s="7">
        <v>2032.4378527291728</v>
      </c>
      <c r="I95" s="7">
        <v>0.43080853441933098</v>
      </c>
      <c r="J95" s="7">
        <v>0.43080853441933098</v>
      </c>
    </row>
    <row r="96" spans="1:10" ht="15">
      <c r="A96">
        <v>1</v>
      </c>
      <c r="B96" t="s">
        <v>111</v>
      </c>
      <c r="C96" t="s">
        <v>125</v>
      </c>
      <c r="D96" t="s">
        <v>39</v>
      </c>
      <c r="E96" s="79">
        <v>7.0000000000000007E-2</v>
      </c>
      <c r="F96" s="7">
        <v>133.54660422277433</v>
      </c>
      <c r="G96" s="7">
        <v>142.88244009040844</v>
      </c>
      <c r="H96" s="7">
        <v>276.42904431318277</v>
      </c>
      <c r="I96" s="7">
        <v>0.17131690688005555</v>
      </c>
      <c r="J96" s="7">
        <v>0.17131690688005555</v>
      </c>
    </row>
    <row r="97" spans="1:10" ht="15">
      <c r="A97">
        <v>1</v>
      </c>
      <c r="B97" t="s">
        <v>111</v>
      </c>
      <c r="C97" t="s">
        <v>9</v>
      </c>
      <c r="D97" t="s">
        <v>39</v>
      </c>
      <c r="E97" s="79">
        <v>7.0000000000000007E-2</v>
      </c>
      <c r="F97" s="7">
        <v>550.2289848287478</v>
      </c>
      <c r="G97" s="7">
        <v>109.22868516445864</v>
      </c>
      <c r="H97" s="7">
        <v>659.45766999320642</v>
      </c>
      <c r="I97" s="7">
        <v>0.37571160354087185</v>
      </c>
      <c r="J97" s="7">
        <v>0.37571160354087185</v>
      </c>
    </row>
    <row r="98" spans="1:10" ht="15">
      <c r="A98">
        <v>1</v>
      </c>
      <c r="B98" t="s">
        <v>111</v>
      </c>
      <c r="C98" t="s">
        <v>10</v>
      </c>
      <c r="D98" t="s">
        <v>39</v>
      </c>
      <c r="E98" s="79">
        <v>7.0000000000000007E-2</v>
      </c>
      <c r="F98" s="7">
        <v>543.69169352183314</v>
      </c>
      <c r="G98" s="7">
        <v>538.54737352657833</v>
      </c>
      <c r="H98" s="7">
        <v>1082.2390670484115</v>
      </c>
      <c r="I98" s="7">
        <v>0.5654174348305987</v>
      </c>
      <c r="J98" s="7">
        <v>0.5654174348305987</v>
      </c>
    </row>
    <row r="99" spans="1:10" ht="15">
      <c r="A99">
        <v>1</v>
      </c>
      <c r="B99" t="s">
        <v>111</v>
      </c>
      <c r="C99" t="s">
        <v>11</v>
      </c>
      <c r="D99" t="s">
        <v>39</v>
      </c>
      <c r="E99" s="79">
        <v>7.0000000000000007E-2</v>
      </c>
      <c r="F99" s="7">
        <v>197.13363250284209</v>
      </c>
      <c r="G99" s="7">
        <v>167.75041141358059</v>
      </c>
      <c r="H99" s="7">
        <v>364.88404391642268</v>
      </c>
      <c r="I99" s="7">
        <v>0.18308927263304753</v>
      </c>
      <c r="J99" s="7">
        <v>0.18308927263304753</v>
      </c>
    </row>
    <row r="100" spans="1:10" ht="15">
      <c r="A100">
        <v>1</v>
      </c>
      <c r="B100" t="s">
        <v>111</v>
      </c>
      <c r="C100" t="s">
        <v>12</v>
      </c>
      <c r="D100" t="s">
        <v>39</v>
      </c>
      <c r="E100" s="79">
        <v>7.0000000000000007E-2</v>
      </c>
      <c r="F100" s="7">
        <v>52.376071290204436</v>
      </c>
      <c r="G100" s="7">
        <v>178.18165424684628</v>
      </c>
      <c r="H100" s="7">
        <v>230.55772553705071</v>
      </c>
      <c r="I100" s="7">
        <v>0.14053902461993106</v>
      </c>
      <c r="J100" s="7">
        <v>0.14053902461993106</v>
      </c>
    </row>
    <row r="101" spans="1:10" ht="15">
      <c r="A101">
        <v>1</v>
      </c>
      <c r="B101" t="s">
        <v>111</v>
      </c>
      <c r="C101" t="s">
        <v>13</v>
      </c>
      <c r="D101" t="s">
        <v>39</v>
      </c>
      <c r="E101" s="79">
        <v>7.0000000000000007E-2</v>
      </c>
      <c r="F101" s="7">
        <v>396.33691560103364</v>
      </c>
      <c r="G101" s="7">
        <v>63.841834807882535</v>
      </c>
      <c r="H101" s="7">
        <v>460.17875040891619</v>
      </c>
      <c r="I101" s="7">
        <v>0.29969126210323732</v>
      </c>
      <c r="J101" s="7">
        <v>0.29969126210323732</v>
      </c>
    </row>
    <row r="102" spans="1:10" ht="15">
      <c r="A102">
        <v>1</v>
      </c>
      <c r="B102" t="s">
        <v>111</v>
      </c>
      <c r="C102" t="s">
        <v>14</v>
      </c>
      <c r="D102" t="s">
        <v>39</v>
      </c>
      <c r="E102" s="79">
        <v>7.0000000000000007E-2</v>
      </c>
      <c r="F102" s="7">
        <v>189.68777128746171</v>
      </c>
      <c r="G102" s="7">
        <v>469.56829945978143</v>
      </c>
      <c r="H102" s="7">
        <v>659.25607074724314</v>
      </c>
      <c r="I102" s="7">
        <v>0.43080853441933098</v>
      </c>
      <c r="J102" s="7">
        <v>0.43080853441933098</v>
      </c>
    </row>
    <row r="103" spans="1:10" ht="15">
      <c r="A103">
        <v>1</v>
      </c>
      <c r="B103" t="s">
        <v>111</v>
      </c>
      <c r="C103" t="s">
        <v>125</v>
      </c>
      <c r="D103" t="s">
        <v>119</v>
      </c>
      <c r="E103" s="79">
        <v>0.03</v>
      </c>
      <c r="F103" s="7">
        <v>449.89113268475415</v>
      </c>
      <c r="G103" s="7">
        <v>269.31819984351017</v>
      </c>
      <c r="H103" s="7">
        <v>719.20933252826433</v>
      </c>
      <c r="I103" s="7">
        <v>0.15746079933192952</v>
      </c>
      <c r="J103" s="7">
        <v>0.15746079933192952</v>
      </c>
    </row>
    <row r="104" spans="1:10" ht="15">
      <c r="A104">
        <v>1</v>
      </c>
      <c r="B104" t="s">
        <v>111</v>
      </c>
      <c r="C104" t="s">
        <v>9</v>
      </c>
      <c r="D104" t="s">
        <v>119</v>
      </c>
      <c r="E104" s="79">
        <v>0.03</v>
      </c>
      <c r="F104" s="7">
        <v>1439.3032211112611</v>
      </c>
      <c r="G104" s="7">
        <v>205.88445186932606</v>
      </c>
      <c r="H104" s="7">
        <v>1645.1876729805872</v>
      </c>
      <c r="I104" s="7">
        <v>0.34532641461828845</v>
      </c>
      <c r="J104" s="7">
        <v>0.34532641461828845</v>
      </c>
    </row>
    <row r="105" spans="1:10" ht="15">
      <c r="A105">
        <v>1</v>
      </c>
      <c r="B105" t="s">
        <v>111</v>
      </c>
      <c r="C105" t="s">
        <v>10</v>
      </c>
      <c r="D105" t="s">
        <v>119</v>
      </c>
      <c r="E105" s="79">
        <v>0.03</v>
      </c>
      <c r="F105" s="7">
        <v>1562.8186807292836</v>
      </c>
      <c r="G105" s="7">
        <v>1015.1045088315585</v>
      </c>
      <c r="H105" s="7">
        <v>2577.9231895608423</v>
      </c>
      <c r="I105" s="7">
        <v>0.51969725366024877</v>
      </c>
      <c r="J105" s="7">
        <v>0.51969725366024877</v>
      </c>
    </row>
    <row r="106" spans="1:10" ht="15">
      <c r="A106">
        <v>1</v>
      </c>
      <c r="B106" t="s">
        <v>111</v>
      </c>
      <c r="C106" t="s">
        <v>11</v>
      </c>
      <c r="D106" t="s">
        <v>119</v>
      </c>
      <c r="E106" s="79">
        <v>0.03</v>
      </c>
      <c r="F106" s="7">
        <v>536.05539163230628</v>
      </c>
      <c r="G106" s="7">
        <v>316.19168035153564</v>
      </c>
      <c r="H106" s="7">
        <v>852.24707198384192</v>
      </c>
      <c r="I106" s="7">
        <v>0.16828569710939958</v>
      </c>
      <c r="J106" s="7">
        <v>0.16828569710939958</v>
      </c>
    </row>
    <row r="107" spans="1:10" ht="15">
      <c r="A107">
        <v>1</v>
      </c>
      <c r="B107" t="s">
        <v>111</v>
      </c>
      <c r="C107" t="s">
        <v>12</v>
      </c>
      <c r="D107" t="s">
        <v>119</v>
      </c>
      <c r="E107" s="79">
        <v>0.03</v>
      </c>
      <c r="F107" s="7">
        <v>257.96052967807481</v>
      </c>
      <c r="G107" s="7">
        <v>335.85346342444478</v>
      </c>
      <c r="H107" s="7">
        <v>593.81399310251959</v>
      </c>
      <c r="I107" s="7">
        <v>0.12917213979329051</v>
      </c>
      <c r="J107" s="7">
        <v>0.12917213979329051</v>
      </c>
    </row>
    <row r="108" spans="1:10" ht="15">
      <c r="A108">
        <v>1</v>
      </c>
      <c r="B108" t="s">
        <v>111</v>
      </c>
      <c r="C108" t="s">
        <v>13</v>
      </c>
      <c r="D108" t="s">
        <v>119</v>
      </c>
      <c r="E108" s="79">
        <v>0.03</v>
      </c>
      <c r="F108" s="7">
        <v>1108.4764127260078</v>
      </c>
      <c r="G108" s="7">
        <v>120.33506716631084</v>
      </c>
      <c r="H108" s="7">
        <v>1228.8114798923186</v>
      </c>
      <c r="I108" s="7">
        <v>0.27545077581107114</v>
      </c>
      <c r="J108" s="7">
        <v>0.27545077581107114</v>
      </c>
    </row>
    <row r="109" spans="1:10" ht="15">
      <c r="A109">
        <v>1</v>
      </c>
      <c r="B109" t="s">
        <v>111</v>
      </c>
      <c r="C109" t="s">
        <v>14</v>
      </c>
      <c r="D109" t="s">
        <v>119</v>
      </c>
      <c r="E109" s="79">
        <v>0.03</v>
      </c>
      <c r="F109" s="7">
        <v>867.04208173398695</v>
      </c>
      <c r="G109" s="7">
        <v>885.08629215785652</v>
      </c>
      <c r="H109" s="7">
        <v>1752.1283738918435</v>
      </c>
      <c r="I109" s="7">
        <v>0.39596223341628395</v>
      </c>
      <c r="J109" s="7">
        <v>0.39596223341628395</v>
      </c>
    </row>
    <row r="110" spans="1:10" ht="15">
      <c r="A110">
        <v>1</v>
      </c>
      <c r="B110" t="s">
        <v>111</v>
      </c>
      <c r="C110" t="s">
        <v>125</v>
      </c>
      <c r="D110" t="s">
        <v>119</v>
      </c>
      <c r="E110" s="79">
        <v>7.0000000000000007E-2</v>
      </c>
      <c r="F110" s="7">
        <v>109.30235360584564</v>
      </c>
      <c r="G110" s="7">
        <v>132.26957456773971</v>
      </c>
      <c r="H110" s="7">
        <v>241.57192817358535</v>
      </c>
      <c r="I110" s="7">
        <v>0.15746079933192952</v>
      </c>
      <c r="J110" s="7">
        <v>0.15746079933192952</v>
      </c>
    </row>
    <row r="111" spans="1:10" ht="15">
      <c r="A111">
        <v>1</v>
      </c>
      <c r="B111" t="s">
        <v>111</v>
      </c>
      <c r="C111" t="s">
        <v>9</v>
      </c>
      <c r="D111" t="s">
        <v>119</v>
      </c>
      <c r="E111" s="79">
        <v>7.0000000000000007E-2</v>
      </c>
      <c r="F111" s="7">
        <v>475.69787807989019</v>
      </c>
      <c r="G111" s="7">
        <v>101.11551642143603</v>
      </c>
      <c r="H111" s="7">
        <v>576.81339450132623</v>
      </c>
      <c r="I111" s="7">
        <v>0.34532641461828845</v>
      </c>
      <c r="J111" s="7">
        <v>0.34532641461828845</v>
      </c>
    </row>
    <row r="112" spans="1:10" ht="15">
      <c r="A112">
        <v>1</v>
      </c>
      <c r="B112" t="s">
        <v>111</v>
      </c>
      <c r="C112" t="s">
        <v>10</v>
      </c>
      <c r="D112" t="s">
        <v>119</v>
      </c>
      <c r="E112" s="79">
        <v>7.0000000000000007E-2</v>
      </c>
      <c r="F112" s="7">
        <v>449.17858828859596</v>
      </c>
      <c r="G112" s="7">
        <v>498.54574107120084</v>
      </c>
      <c r="H112" s="7">
        <v>947.7243293597968</v>
      </c>
      <c r="I112" s="7">
        <v>0.51969725366024877</v>
      </c>
      <c r="J112" s="7">
        <v>0.51969725366024877</v>
      </c>
    </row>
    <row r="113" spans="1:10" ht="15">
      <c r="A113">
        <v>1</v>
      </c>
      <c r="B113" t="s">
        <v>111</v>
      </c>
      <c r="C113" t="s">
        <v>11</v>
      </c>
      <c r="D113" t="s">
        <v>119</v>
      </c>
      <c r="E113" s="79">
        <v>7.0000000000000007E-2</v>
      </c>
      <c r="F113" s="7">
        <v>164.39728554712499</v>
      </c>
      <c r="G113" s="7">
        <v>155.29042993105443</v>
      </c>
      <c r="H113" s="7">
        <v>319.68771547817943</v>
      </c>
      <c r="I113" s="7">
        <v>0.16828569710939958</v>
      </c>
      <c r="J113" s="7">
        <v>0.16828569710939958</v>
      </c>
    </row>
    <row r="114" spans="1:10" ht="15">
      <c r="A114">
        <v>1</v>
      </c>
      <c r="B114" t="s">
        <v>111</v>
      </c>
      <c r="C114" t="s">
        <v>12</v>
      </c>
      <c r="D114" t="s">
        <v>119</v>
      </c>
      <c r="E114" s="79">
        <v>7.0000000000000007E-2</v>
      </c>
      <c r="F114" s="7">
        <v>36.562841305607634</v>
      </c>
      <c r="G114" s="7">
        <v>164.94687232450582</v>
      </c>
      <c r="H114" s="7">
        <v>201.50971363011345</v>
      </c>
      <c r="I114" s="7">
        <v>0.12917213979329051</v>
      </c>
      <c r="J114" s="7">
        <v>0.12917213979329051</v>
      </c>
    </row>
    <row r="115" spans="1:10" ht="15">
      <c r="A115">
        <v>1</v>
      </c>
      <c r="B115" t="s">
        <v>111</v>
      </c>
      <c r="C115" t="s">
        <v>13</v>
      </c>
      <c r="D115" t="s">
        <v>119</v>
      </c>
      <c r="E115" s="79">
        <v>7.0000000000000007E-2</v>
      </c>
      <c r="F115" s="7">
        <v>342.79515079946304</v>
      </c>
      <c r="G115" s="7">
        <v>59.099860866873591</v>
      </c>
      <c r="H115" s="7">
        <v>401.89501166633664</v>
      </c>
      <c r="I115" s="7">
        <v>0.27545077581107114</v>
      </c>
      <c r="J115" s="7">
        <v>0.27545077581107114</v>
      </c>
    </row>
    <row r="116" spans="1:10" ht="15">
      <c r="A116">
        <v>1</v>
      </c>
      <c r="B116" t="s">
        <v>111</v>
      </c>
      <c r="C116" t="s">
        <v>14</v>
      </c>
      <c r="D116" t="s">
        <v>119</v>
      </c>
      <c r="E116" s="79">
        <v>7.0000000000000007E-2</v>
      </c>
      <c r="F116" s="7">
        <v>141.12729226961113</v>
      </c>
      <c r="G116" s="7">
        <v>434.69021918118591</v>
      </c>
      <c r="H116" s="7">
        <v>575.81751145079704</v>
      </c>
      <c r="I116" s="7">
        <v>0.39596223341628395</v>
      </c>
      <c r="J116" s="7">
        <v>0.39596223341628395</v>
      </c>
    </row>
    <row r="117" spans="1:10" ht="15">
      <c r="A117">
        <v>1</v>
      </c>
      <c r="B117" t="s">
        <v>111</v>
      </c>
      <c r="C117" t="s">
        <v>125</v>
      </c>
      <c r="D117" t="s">
        <v>120</v>
      </c>
      <c r="E117" s="79">
        <v>0.03</v>
      </c>
      <c r="F117" s="7">
        <v>660.02927841271571</v>
      </c>
      <c r="G117" s="7">
        <v>319.56801538814864</v>
      </c>
      <c r="H117" s="7">
        <v>979.59729380086435</v>
      </c>
      <c r="I117" s="7">
        <v>0.18734817077716737</v>
      </c>
      <c r="J117" s="7">
        <v>0.18734817077716737</v>
      </c>
    </row>
    <row r="118" spans="1:10" ht="15">
      <c r="A118">
        <v>1</v>
      </c>
      <c r="B118" t="s">
        <v>111</v>
      </c>
      <c r="C118" t="s">
        <v>9</v>
      </c>
      <c r="D118" t="s">
        <v>120</v>
      </c>
      <c r="E118" s="79">
        <v>0.03</v>
      </c>
      <c r="F118" s="7">
        <v>1984.3692200475382</v>
      </c>
      <c r="G118" s="7">
        <v>244.29869842211764</v>
      </c>
      <c r="H118" s="7">
        <v>2228.6679184696559</v>
      </c>
      <c r="I118" s="7">
        <v>0.41086867817896727</v>
      </c>
      <c r="J118" s="7">
        <v>0.41086867817896727</v>
      </c>
    </row>
    <row r="119" spans="1:10" ht="15">
      <c r="A119">
        <v>1</v>
      </c>
      <c r="B119" t="s">
        <v>111</v>
      </c>
      <c r="C119" t="s">
        <v>10</v>
      </c>
      <c r="D119" t="s">
        <v>120</v>
      </c>
      <c r="E119" s="79">
        <v>0.03</v>
      </c>
      <c r="F119" s="7">
        <v>2269.5722798275851</v>
      </c>
      <c r="G119" s="7">
        <v>1204.5043130666804</v>
      </c>
      <c r="H119" s="7">
        <v>3474.0765928942656</v>
      </c>
      <c r="I119" s="7">
        <v>0.61832351033367772</v>
      </c>
      <c r="J119" s="7">
        <v>0.61832351033367772</v>
      </c>
    </row>
    <row r="120" spans="1:10" ht="15">
      <c r="A120">
        <v>1</v>
      </c>
      <c r="B120" t="s">
        <v>111</v>
      </c>
      <c r="C120" t="s">
        <v>11</v>
      </c>
      <c r="D120" t="s">
        <v>120</v>
      </c>
      <c r="E120" s="79">
        <v>0.03</v>
      </c>
      <c r="F120" s="7">
        <v>770.72949557679203</v>
      </c>
      <c r="G120" s="7">
        <v>375.1872240008172</v>
      </c>
      <c r="H120" s="7">
        <v>1145.9167195776092</v>
      </c>
      <c r="I120" s="7">
        <v>0.20022047188520711</v>
      </c>
      <c r="J120" s="7">
        <v>0.20022047188520711</v>
      </c>
    </row>
    <row r="121" spans="1:10" ht="15">
      <c r="A121">
        <v>1</v>
      </c>
      <c r="B121" t="s">
        <v>111</v>
      </c>
      <c r="C121" t="s">
        <v>12</v>
      </c>
      <c r="D121" t="s">
        <v>120</v>
      </c>
      <c r="E121" s="79">
        <v>0.03</v>
      </c>
      <c r="F121" s="7">
        <v>408.87315963120784</v>
      </c>
      <c r="G121" s="7">
        <v>398.51753364663011</v>
      </c>
      <c r="H121" s="7">
        <v>807.39069327783795</v>
      </c>
      <c r="I121" s="7">
        <v>0.15369027189799933</v>
      </c>
      <c r="J121" s="7">
        <v>0.15369027189799933</v>
      </c>
    </row>
    <row r="122" spans="1:10" ht="15">
      <c r="A122">
        <v>1</v>
      </c>
      <c r="B122" t="s">
        <v>111</v>
      </c>
      <c r="C122" t="s">
        <v>13</v>
      </c>
      <c r="D122" t="s">
        <v>120</v>
      </c>
      <c r="E122" s="79">
        <v>0.03</v>
      </c>
      <c r="F122" s="7">
        <v>1535.8932291299141</v>
      </c>
      <c r="G122" s="7">
        <v>142.78737425945332</v>
      </c>
      <c r="H122" s="7">
        <v>1678.6806033893674</v>
      </c>
      <c r="I122" s="7">
        <v>0.32773588595551323</v>
      </c>
      <c r="J122" s="7">
        <v>0.32773588595551323</v>
      </c>
    </row>
    <row r="123" spans="1:10" ht="15">
      <c r="A123">
        <v>1</v>
      </c>
      <c r="B123" t="s">
        <v>111</v>
      </c>
      <c r="C123" t="s">
        <v>14</v>
      </c>
      <c r="D123" t="s">
        <v>120</v>
      </c>
      <c r="E123" s="79">
        <v>0.03</v>
      </c>
      <c r="F123" s="7">
        <v>1341.9661835588447</v>
      </c>
      <c r="G123" s="7">
        <v>1050.227091954762</v>
      </c>
      <c r="H123" s="7">
        <v>2392.1932755136067</v>
      </c>
      <c r="I123" s="7">
        <v>0.47112315677188316</v>
      </c>
      <c r="J123" s="7">
        <v>0.47112315677188316</v>
      </c>
    </row>
    <row r="124" spans="1:10" ht="15">
      <c r="A124">
        <v>1</v>
      </c>
      <c r="B124" t="s">
        <v>111</v>
      </c>
      <c r="C124" t="s">
        <v>125</v>
      </c>
      <c r="D124" t="s">
        <v>120</v>
      </c>
      <c r="E124" s="79">
        <v>7.0000000000000007E-2</v>
      </c>
      <c r="F124" s="7">
        <v>164.00998077207791</v>
      </c>
      <c r="G124" s="7">
        <v>155.52518964018074</v>
      </c>
      <c r="H124" s="7">
        <v>319.53517041225865</v>
      </c>
      <c r="I124" s="7">
        <v>0.18734817077716737</v>
      </c>
      <c r="J124" s="7">
        <v>0.18734817077716737</v>
      </c>
    </row>
    <row r="125" spans="1:10" ht="15">
      <c r="A125">
        <v>1</v>
      </c>
      <c r="B125" t="s">
        <v>111</v>
      </c>
      <c r="C125" t="s">
        <v>9</v>
      </c>
      <c r="D125" t="s">
        <v>120</v>
      </c>
      <c r="E125" s="79">
        <v>7.0000000000000007E-2</v>
      </c>
      <c r="F125" s="7">
        <v>642.18913613308109</v>
      </c>
      <c r="G125" s="7">
        <v>118.89363006119619</v>
      </c>
      <c r="H125" s="7">
        <v>761.08276619427727</v>
      </c>
      <c r="I125" s="7">
        <v>0.41086867817896727</v>
      </c>
      <c r="J125" s="7">
        <v>0.41086867817896727</v>
      </c>
    </row>
    <row r="126" spans="1:10" ht="15">
      <c r="A126">
        <v>1</v>
      </c>
      <c r="B126" t="s">
        <v>111</v>
      </c>
      <c r="C126" t="s">
        <v>10</v>
      </c>
      <c r="D126" t="s">
        <v>120</v>
      </c>
      <c r="E126" s="79">
        <v>7.0000000000000007E-2</v>
      </c>
      <c r="F126" s="7">
        <v>660.23291841097534</v>
      </c>
      <c r="G126" s="7">
        <v>586.19997212355042</v>
      </c>
      <c r="H126" s="7">
        <v>1246.4328905345258</v>
      </c>
      <c r="I126" s="7">
        <v>0.61832351033367772</v>
      </c>
      <c r="J126" s="7">
        <v>0.61832351033367772</v>
      </c>
    </row>
    <row r="127" spans="1:10" ht="15">
      <c r="A127">
        <v>1</v>
      </c>
      <c r="B127" t="s">
        <v>111</v>
      </c>
      <c r="C127" t="s">
        <v>11</v>
      </c>
      <c r="D127" t="s">
        <v>120</v>
      </c>
      <c r="E127" s="79">
        <v>7.0000000000000007E-2</v>
      </c>
      <c r="F127" s="7">
        <v>237.28721182524694</v>
      </c>
      <c r="G127" s="7">
        <v>182.59356804662249</v>
      </c>
      <c r="H127" s="7">
        <v>419.88077987186944</v>
      </c>
      <c r="I127" s="7">
        <v>0.20022047188520711</v>
      </c>
      <c r="J127" s="7">
        <v>0.20022047188520711</v>
      </c>
    </row>
    <row r="128" spans="1:10" ht="15">
      <c r="A128">
        <v>1</v>
      </c>
      <c r="B128" t="s">
        <v>111</v>
      </c>
      <c r="C128" t="s">
        <v>12</v>
      </c>
      <c r="D128" t="s">
        <v>120</v>
      </c>
      <c r="E128" s="79">
        <v>7.0000000000000007E-2</v>
      </c>
      <c r="F128" s="7">
        <v>72.500674306872497</v>
      </c>
      <c r="G128" s="7">
        <v>193.94780457001821</v>
      </c>
      <c r="H128" s="7">
        <v>266.4484788768907</v>
      </c>
      <c r="I128" s="7">
        <v>0.15369027189799933</v>
      </c>
      <c r="J128" s="7">
        <v>0.15369027189799933</v>
      </c>
    </row>
    <row r="129" spans="1:10" ht="15">
      <c r="A129">
        <v>1</v>
      </c>
      <c r="B129" t="s">
        <v>111</v>
      </c>
      <c r="C129" t="s">
        <v>13</v>
      </c>
      <c r="D129" t="s">
        <v>120</v>
      </c>
      <c r="E129" s="79">
        <v>7.0000000000000007E-2</v>
      </c>
      <c r="F129" s="7">
        <v>463.0476414007461</v>
      </c>
      <c r="G129" s="7">
        <v>69.490788785455138</v>
      </c>
      <c r="H129" s="7">
        <v>532.53843018620125</v>
      </c>
      <c r="I129" s="7">
        <v>0.32773588595551323</v>
      </c>
      <c r="J129" s="7">
        <v>0.32773588595551323</v>
      </c>
    </row>
    <row r="130" spans="1:10" ht="15">
      <c r="A130">
        <v>1</v>
      </c>
      <c r="B130" t="s">
        <v>111</v>
      </c>
      <c r="C130" t="s">
        <v>14</v>
      </c>
      <c r="D130" t="s">
        <v>120</v>
      </c>
      <c r="E130" s="79">
        <v>7.0000000000000007E-2</v>
      </c>
      <c r="F130" s="7">
        <v>251.66149454034763</v>
      </c>
      <c r="G130" s="7">
        <v>511.11738276789168</v>
      </c>
      <c r="H130" s="7">
        <v>762.77887730823932</v>
      </c>
      <c r="I130" s="7">
        <v>0.47112315677188316</v>
      </c>
      <c r="J130" s="7">
        <v>0.47112315677188316</v>
      </c>
    </row>
    <row r="131" spans="1:10" ht="15">
      <c r="A131">
        <v>2</v>
      </c>
      <c r="B131" t="s">
        <v>110</v>
      </c>
      <c r="C131" t="s">
        <v>125</v>
      </c>
      <c r="D131" t="s">
        <v>39</v>
      </c>
      <c r="E131" s="79">
        <v>0.03</v>
      </c>
      <c r="F131" s="7">
        <v>887.66430389222569</v>
      </c>
      <c r="G131" s="7">
        <v>234.07285958575699</v>
      </c>
      <c r="H131" s="7">
        <v>1121.7371634779827</v>
      </c>
      <c r="I131" s="7">
        <v>0.23054766812756738</v>
      </c>
      <c r="J131" s="7">
        <v>0.23054766812756738</v>
      </c>
    </row>
    <row r="132" spans="1:10" ht="15">
      <c r="A132">
        <v>2</v>
      </c>
      <c r="B132" t="s">
        <v>110</v>
      </c>
      <c r="C132" t="s">
        <v>9</v>
      </c>
      <c r="D132" t="s">
        <v>39</v>
      </c>
      <c r="E132" s="79">
        <v>0.03</v>
      </c>
      <c r="F132" s="7">
        <v>2467.9639489297365</v>
      </c>
      <c r="G132" s="7">
        <v>225.10875283711346</v>
      </c>
      <c r="H132" s="7">
        <v>2693.0727017668501</v>
      </c>
      <c r="I132" s="7">
        <v>0.53169346555709607</v>
      </c>
      <c r="J132" s="7">
        <v>0.53169346555709607</v>
      </c>
    </row>
    <row r="133" spans="1:10" ht="15">
      <c r="A133">
        <v>2</v>
      </c>
      <c r="B133" t="s">
        <v>110</v>
      </c>
      <c r="C133" t="s">
        <v>10</v>
      </c>
      <c r="D133" t="s">
        <v>39</v>
      </c>
      <c r="E133" s="79">
        <v>0.03</v>
      </c>
      <c r="F133" s="7">
        <v>2624.0521521645096</v>
      </c>
      <c r="G133" s="7">
        <v>897.86351314345131</v>
      </c>
      <c r="H133" s="7">
        <v>3521.9156653079608</v>
      </c>
      <c r="I133" s="7">
        <v>0.66906806848427369</v>
      </c>
      <c r="J133" s="7">
        <v>0.66906806848427369</v>
      </c>
    </row>
    <row r="134" spans="1:10" ht="15">
      <c r="A134">
        <v>2</v>
      </c>
      <c r="B134" t="s">
        <v>110</v>
      </c>
      <c r="C134" t="s">
        <v>11</v>
      </c>
      <c r="D134" t="s">
        <v>39</v>
      </c>
      <c r="E134" s="79">
        <v>0.03</v>
      </c>
      <c r="F134" s="7">
        <v>968.05520895161158</v>
      </c>
      <c r="G134" s="7">
        <v>311.3669874742618</v>
      </c>
      <c r="H134" s="7">
        <v>1279.4221964258734</v>
      </c>
      <c r="I134" s="7">
        <v>0.2382638988666837</v>
      </c>
      <c r="J134" s="7">
        <v>0.2382638988666837</v>
      </c>
    </row>
    <row r="135" spans="1:10" ht="15">
      <c r="A135">
        <v>2</v>
      </c>
      <c r="B135" t="s">
        <v>110</v>
      </c>
      <c r="C135" t="s">
        <v>12</v>
      </c>
      <c r="D135" t="s">
        <v>39</v>
      </c>
      <c r="E135" s="79">
        <v>0.03</v>
      </c>
      <c r="F135" s="7">
        <v>614.04897234804901</v>
      </c>
      <c r="G135" s="7">
        <v>287.84288651364022</v>
      </c>
      <c r="H135" s="7">
        <v>901.89185886168923</v>
      </c>
      <c r="I135" s="7">
        <v>0.18428707833462393</v>
      </c>
      <c r="J135" s="7">
        <v>0.18428707833462393</v>
      </c>
    </row>
    <row r="136" spans="1:10" ht="15">
      <c r="A136">
        <v>2</v>
      </c>
      <c r="B136" t="s">
        <v>110</v>
      </c>
      <c r="C136" t="s">
        <v>13</v>
      </c>
      <c r="D136" t="s">
        <v>39</v>
      </c>
      <c r="E136" s="79">
        <v>0.03</v>
      </c>
      <c r="F136" s="7">
        <v>2215.6697545846182</v>
      </c>
      <c r="G136" s="7">
        <v>109.12838679657573</v>
      </c>
      <c r="H136" s="7">
        <v>2324.798141381194</v>
      </c>
      <c r="I136" s="7">
        <v>0.48868789339035373</v>
      </c>
      <c r="J136" s="7">
        <v>0.48868789339035373</v>
      </c>
    </row>
    <row r="137" spans="1:10" ht="15">
      <c r="A137">
        <v>2</v>
      </c>
      <c r="B137" t="s">
        <v>110</v>
      </c>
      <c r="C137" t="s">
        <v>14</v>
      </c>
      <c r="D137" t="s">
        <v>39</v>
      </c>
      <c r="E137" s="79">
        <v>0.03</v>
      </c>
      <c r="F137" s="7">
        <v>1891.9623122298572</v>
      </c>
      <c r="G137" s="7">
        <v>766.29108311444509</v>
      </c>
      <c r="H137" s="7">
        <v>2658.2533953443021</v>
      </c>
      <c r="I137" s="7">
        <v>0.56346040191374502</v>
      </c>
      <c r="J137" s="7">
        <v>0.56346040191374502</v>
      </c>
    </row>
    <row r="138" spans="1:10" ht="15">
      <c r="A138">
        <v>2</v>
      </c>
      <c r="B138" t="s">
        <v>110</v>
      </c>
      <c r="C138" t="s">
        <v>125</v>
      </c>
      <c r="D138" t="s">
        <v>39</v>
      </c>
      <c r="E138" s="79">
        <v>7.0000000000000007E-2</v>
      </c>
      <c r="F138" s="7">
        <v>251.68361247293456</v>
      </c>
      <c r="G138" s="7">
        <v>120.31745111009911</v>
      </c>
      <c r="H138" s="7">
        <v>372.00106358303367</v>
      </c>
      <c r="I138" s="7">
        <v>0.23054766812756738</v>
      </c>
      <c r="J138" s="7">
        <v>0.23054766812756738</v>
      </c>
    </row>
    <row r="139" spans="1:10" ht="15">
      <c r="A139">
        <v>2</v>
      </c>
      <c r="B139" t="s">
        <v>110</v>
      </c>
      <c r="C139" t="s">
        <v>9</v>
      </c>
      <c r="D139" t="s">
        <v>39</v>
      </c>
      <c r="E139" s="79">
        <v>7.0000000000000007E-2</v>
      </c>
      <c r="F139" s="7">
        <v>817.53088395118868</v>
      </c>
      <c r="G139" s="7">
        <v>115.70974700726394</v>
      </c>
      <c r="H139" s="7">
        <v>933.24063095845258</v>
      </c>
      <c r="I139" s="7">
        <v>0.53169346555709607</v>
      </c>
      <c r="J139" s="7">
        <v>0.53169346555709607</v>
      </c>
    </row>
    <row r="140" spans="1:10" ht="15">
      <c r="A140">
        <v>2</v>
      </c>
      <c r="B140" t="s">
        <v>110</v>
      </c>
      <c r="C140" t="s">
        <v>10</v>
      </c>
      <c r="D140" t="s">
        <v>39</v>
      </c>
      <c r="E140" s="79">
        <v>7.0000000000000007E-2</v>
      </c>
      <c r="F140" s="7">
        <v>819.11470311972221</v>
      </c>
      <c r="G140" s="7">
        <v>461.51719399403777</v>
      </c>
      <c r="H140" s="7">
        <v>1280.63189711376</v>
      </c>
      <c r="I140" s="7">
        <v>0.66906806848427369</v>
      </c>
      <c r="J140" s="7">
        <v>0.66906806848427369</v>
      </c>
    </row>
    <row r="141" spans="1:10" ht="15">
      <c r="A141">
        <v>2</v>
      </c>
      <c r="B141" t="s">
        <v>110</v>
      </c>
      <c r="C141" t="s">
        <v>11</v>
      </c>
      <c r="D141" t="s">
        <v>39</v>
      </c>
      <c r="E141" s="79">
        <v>7.0000000000000007E-2</v>
      </c>
      <c r="F141" s="7">
        <v>314.79523951275337</v>
      </c>
      <c r="G141" s="7">
        <v>160.04795412433583</v>
      </c>
      <c r="H141" s="7">
        <v>474.8431936370892</v>
      </c>
      <c r="I141" s="7">
        <v>0.2382638988666837</v>
      </c>
      <c r="J141" s="7">
        <v>0.2382638988666837</v>
      </c>
    </row>
    <row r="142" spans="1:10" ht="15">
      <c r="A142">
        <v>2</v>
      </c>
      <c r="B142" t="s">
        <v>110</v>
      </c>
      <c r="C142" t="s">
        <v>12</v>
      </c>
      <c r="D142" t="s">
        <v>39</v>
      </c>
      <c r="E142" s="79">
        <v>7.0000000000000007E-2</v>
      </c>
      <c r="F142" s="7">
        <v>154.37131925092709</v>
      </c>
      <c r="G142" s="7">
        <v>147.95616410541797</v>
      </c>
      <c r="H142" s="7">
        <v>302.32748335634506</v>
      </c>
      <c r="I142" s="7">
        <v>0.18428707833462393</v>
      </c>
      <c r="J142" s="7">
        <v>0.18428707833462393</v>
      </c>
    </row>
    <row r="143" spans="1:10" ht="15">
      <c r="A143">
        <v>2</v>
      </c>
      <c r="B143" t="s">
        <v>110</v>
      </c>
      <c r="C143" t="s">
        <v>13</v>
      </c>
      <c r="D143" t="s">
        <v>39</v>
      </c>
      <c r="E143" s="79">
        <v>7.0000000000000007E-2</v>
      </c>
      <c r="F143" s="7">
        <v>694.29099826684217</v>
      </c>
      <c r="G143" s="7">
        <v>56.093856273458911</v>
      </c>
      <c r="H143" s="7">
        <v>750.38485454030103</v>
      </c>
      <c r="I143" s="7">
        <v>0.48868789339035373</v>
      </c>
      <c r="J143" s="7">
        <v>0.48868789339035373</v>
      </c>
    </row>
    <row r="144" spans="1:10" ht="15">
      <c r="A144">
        <v>2</v>
      </c>
      <c r="B144" t="s">
        <v>110</v>
      </c>
      <c r="C144" t="s">
        <v>14</v>
      </c>
      <c r="D144" t="s">
        <v>39</v>
      </c>
      <c r="E144" s="79">
        <v>7.0000000000000007E-2</v>
      </c>
      <c r="F144" s="7">
        <v>468.36335794148482</v>
      </c>
      <c r="G144" s="7">
        <v>393.88671583664978</v>
      </c>
      <c r="H144" s="7">
        <v>862.25007377813461</v>
      </c>
      <c r="I144" s="7">
        <v>0.56346040191374502</v>
      </c>
      <c r="J144" s="7">
        <v>0.56346040191374502</v>
      </c>
    </row>
    <row r="145" spans="1:10" ht="15">
      <c r="A145">
        <v>2</v>
      </c>
      <c r="B145" t="s">
        <v>110</v>
      </c>
      <c r="C145" t="s">
        <v>125</v>
      </c>
      <c r="D145" t="s">
        <v>119</v>
      </c>
      <c r="E145" s="79">
        <v>0.03</v>
      </c>
      <c r="F145" s="7">
        <v>751.76704909860757</v>
      </c>
      <c r="G145" s="7">
        <v>216.10026493167729</v>
      </c>
      <c r="H145" s="7">
        <v>967.86731403028489</v>
      </c>
      <c r="I145" s="7">
        <v>0.21190097795132057</v>
      </c>
      <c r="J145" s="7">
        <v>0.21190097795132057</v>
      </c>
    </row>
    <row r="146" spans="1:10" ht="15">
      <c r="A146">
        <v>2</v>
      </c>
      <c r="B146" t="s">
        <v>110</v>
      </c>
      <c r="C146" t="s">
        <v>9</v>
      </c>
      <c r="D146" t="s">
        <v>119</v>
      </c>
      <c r="E146" s="79">
        <v>0.03</v>
      </c>
      <c r="F146" s="7">
        <v>2120.3856201414528</v>
      </c>
      <c r="G146" s="7">
        <v>207.82444070034234</v>
      </c>
      <c r="H146" s="7">
        <v>2328.210060841795</v>
      </c>
      <c r="I146" s="7">
        <v>0.48869344573445073</v>
      </c>
      <c r="J146" s="7">
        <v>0.48869344573445073</v>
      </c>
    </row>
    <row r="147" spans="1:10" ht="15">
      <c r="A147">
        <v>2</v>
      </c>
      <c r="B147" t="s">
        <v>110</v>
      </c>
      <c r="C147" t="s">
        <v>10</v>
      </c>
      <c r="D147" t="s">
        <v>119</v>
      </c>
      <c r="E147" s="79">
        <v>0.03</v>
      </c>
      <c r="F147" s="7">
        <v>2221.5766516234407</v>
      </c>
      <c r="G147" s="7">
        <v>828.92370950721102</v>
      </c>
      <c r="H147" s="7">
        <v>3050.500361130652</v>
      </c>
      <c r="I147" s="7">
        <v>0.6149666003971398</v>
      </c>
      <c r="J147" s="7">
        <v>0.6149666003971398</v>
      </c>
    </row>
    <row r="148" spans="1:10" ht="15">
      <c r="A148">
        <v>2</v>
      </c>
      <c r="B148" t="s">
        <v>110</v>
      </c>
      <c r="C148" t="s">
        <v>11</v>
      </c>
      <c r="D148" t="s">
        <v>119</v>
      </c>
      <c r="E148" s="79">
        <v>0.03</v>
      </c>
      <c r="F148" s="7">
        <v>821.61527311216355</v>
      </c>
      <c r="G148" s="7">
        <v>287.45959101471431</v>
      </c>
      <c r="H148" s="7">
        <v>1109.0748641268779</v>
      </c>
      <c r="I148" s="7">
        <v>0.21899921136912237</v>
      </c>
      <c r="J148" s="7">
        <v>0.21899921136912237</v>
      </c>
    </row>
    <row r="149" spans="1:10" ht="15">
      <c r="A149">
        <v>2</v>
      </c>
      <c r="B149" t="s">
        <v>110</v>
      </c>
      <c r="C149" t="s">
        <v>12</v>
      </c>
      <c r="D149" t="s">
        <v>119</v>
      </c>
      <c r="E149" s="79">
        <v>0.03</v>
      </c>
      <c r="F149" s="7">
        <v>512.91919874155565</v>
      </c>
      <c r="G149" s="7">
        <v>265.74171881515025</v>
      </c>
      <c r="H149" s="7">
        <v>778.66091755670584</v>
      </c>
      <c r="I149" s="7">
        <v>0.16938182336979987</v>
      </c>
      <c r="J149" s="7">
        <v>0.16938182336979987</v>
      </c>
    </row>
    <row r="150" spans="1:10" ht="15">
      <c r="A150">
        <v>2</v>
      </c>
      <c r="B150" t="s">
        <v>110</v>
      </c>
      <c r="C150" t="s">
        <v>13</v>
      </c>
      <c r="D150" t="s">
        <v>119</v>
      </c>
      <c r="E150" s="79">
        <v>0.03</v>
      </c>
      <c r="F150" s="7">
        <v>1902.9971345484055</v>
      </c>
      <c r="G150" s="7">
        <v>100.74928524409556</v>
      </c>
      <c r="H150" s="7">
        <v>2003.746419792501</v>
      </c>
      <c r="I150" s="7">
        <v>0.44916044071208566</v>
      </c>
      <c r="J150" s="7">
        <v>0.44916044071208566</v>
      </c>
    </row>
    <row r="151" spans="1:10" ht="15">
      <c r="A151">
        <v>2</v>
      </c>
      <c r="B151" t="s">
        <v>110</v>
      </c>
      <c r="C151" t="s">
        <v>14</v>
      </c>
      <c r="D151" t="s">
        <v>119</v>
      </c>
      <c r="E151" s="79">
        <v>0.03</v>
      </c>
      <c r="F151" s="7">
        <v>1584.1790954938208</v>
      </c>
      <c r="G151" s="7">
        <v>707.45368074227486</v>
      </c>
      <c r="H151" s="7">
        <v>2291.6327762360957</v>
      </c>
      <c r="I151" s="7">
        <v>0.51788444600830175</v>
      </c>
      <c r="J151" s="7">
        <v>0.51788444600830175</v>
      </c>
    </row>
    <row r="152" spans="1:10" ht="15">
      <c r="A152">
        <v>2</v>
      </c>
      <c r="B152" t="s">
        <v>110</v>
      </c>
      <c r="C152" t="s">
        <v>125</v>
      </c>
      <c r="D152" t="s">
        <v>119</v>
      </c>
      <c r="E152" s="79">
        <v>7.0000000000000007E-2</v>
      </c>
      <c r="F152" s="7">
        <v>213.44666626350823</v>
      </c>
      <c r="G152" s="7">
        <v>111.64585227287601</v>
      </c>
      <c r="H152" s="7">
        <v>325.09251853638426</v>
      </c>
      <c r="I152" s="7">
        <v>0.21190097795132057</v>
      </c>
      <c r="J152" s="7">
        <v>0.21190097795132057</v>
      </c>
    </row>
    <row r="153" spans="1:10" ht="15">
      <c r="A153">
        <v>2</v>
      </c>
      <c r="B153" t="s">
        <v>110</v>
      </c>
      <c r="C153" t="s">
        <v>9</v>
      </c>
      <c r="D153" t="s">
        <v>119</v>
      </c>
      <c r="E153" s="79">
        <v>7.0000000000000007E-2</v>
      </c>
      <c r="F153" s="7">
        <v>708.91520524361658</v>
      </c>
      <c r="G153" s="7">
        <v>107.37023766472161</v>
      </c>
      <c r="H153" s="7">
        <v>816.28544290833815</v>
      </c>
      <c r="I153" s="7">
        <v>0.48869344573445073</v>
      </c>
      <c r="J153" s="7">
        <v>0.48869344573445073</v>
      </c>
    </row>
    <row r="154" spans="1:10" ht="15">
      <c r="A154">
        <v>2</v>
      </c>
      <c r="B154" t="s">
        <v>110</v>
      </c>
      <c r="C154" t="s">
        <v>10</v>
      </c>
      <c r="D154" t="s">
        <v>119</v>
      </c>
      <c r="E154" s="79">
        <v>7.0000000000000007E-2</v>
      </c>
      <c r="F154" s="7">
        <v>693.20389805071625</v>
      </c>
      <c r="G154" s="7">
        <v>428.25442183694656</v>
      </c>
      <c r="H154" s="7">
        <v>1121.4583198876628</v>
      </c>
      <c r="I154" s="7">
        <v>0.6149666003971398</v>
      </c>
      <c r="J154" s="7">
        <v>0.6149666003971398</v>
      </c>
    </row>
    <row r="155" spans="1:10" ht="15">
      <c r="A155">
        <v>2</v>
      </c>
      <c r="B155" t="s">
        <v>110</v>
      </c>
      <c r="C155" t="s">
        <v>11</v>
      </c>
      <c r="D155" t="s">
        <v>119</v>
      </c>
      <c r="E155" s="79">
        <v>7.0000000000000007E-2</v>
      </c>
      <c r="F155" s="7">
        <v>267.51391304111428</v>
      </c>
      <c r="G155" s="7">
        <v>148.51287222159107</v>
      </c>
      <c r="H155" s="7">
        <v>416.02678526270535</v>
      </c>
      <c r="I155" s="7">
        <v>0.21899921136912237</v>
      </c>
      <c r="J155" s="7">
        <v>0.21899921136912237</v>
      </c>
    </row>
    <row r="156" spans="1:10" ht="15">
      <c r="A156">
        <v>2</v>
      </c>
      <c r="B156" t="s">
        <v>110</v>
      </c>
      <c r="C156" t="s">
        <v>12</v>
      </c>
      <c r="D156" t="s">
        <v>119</v>
      </c>
      <c r="E156" s="79">
        <v>7.0000000000000007E-2</v>
      </c>
      <c r="F156" s="7">
        <v>126.94461626172006</v>
      </c>
      <c r="G156" s="7">
        <v>137.29256968267305</v>
      </c>
      <c r="H156" s="7">
        <v>264.2371859443931</v>
      </c>
      <c r="I156" s="7">
        <v>0.16938182336979987</v>
      </c>
      <c r="J156" s="7">
        <v>0.16938182336979987</v>
      </c>
    </row>
    <row r="157" spans="1:10" ht="15">
      <c r="A157">
        <v>2</v>
      </c>
      <c r="B157" t="s">
        <v>110</v>
      </c>
      <c r="C157" t="s">
        <v>13</v>
      </c>
      <c r="D157" t="s">
        <v>119</v>
      </c>
      <c r="E157" s="79">
        <v>7.0000000000000007E-2</v>
      </c>
      <c r="F157" s="7">
        <v>603.2941655684682</v>
      </c>
      <c r="G157" s="7">
        <v>52.051022799608354</v>
      </c>
      <c r="H157" s="7">
        <v>655.34518836807661</v>
      </c>
      <c r="I157" s="7">
        <v>0.44916044071208566</v>
      </c>
      <c r="J157" s="7">
        <v>0.44916044071208566</v>
      </c>
    </row>
    <row r="158" spans="1:10" ht="15">
      <c r="A158">
        <v>2</v>
      </c>
      <c r="B158" t="s">
        <v>110</v>
      </c>
      <c r="C158" t="s">
        <v>14</v>
      </c>
      <c r="D158" t="s">
        <v>119</v>
      </c>
      <c r="E158" s="79">
        <v>7.0000000000000007E-2</v>
      </c>
      <c r="F158" s="7">
        <v>387.62138335503283</v>
      </c>
      <c r="G158" s="7">
        <v>365.49825218875236</v>
      </c>
      <c r="H158" s="7">
        <v>753.11963554378519</v>
      </c>
      <c r="I158" s="7">
        <v>0.51788444600830175</v>
      </c>
      <c r="J158" s="7">
        <v>0.51788444600830175</v>
      </c>
    </row>
    <row r="159" spans="1:10" ht="15">
      <c r="A159">
        <v>2</v>
      </c>
      <c r="B159" t="s">
        <v>110</v>
      </c>
      <c r="C159" t="s">
        <v>125</v>
      </c>
      <c r="D159" t="s">
        <v>120</v>
      </c>
      <c r="E159" s="79">
        <v>0.03</v>
      </c>
      <c r="F159" s="7">
        <v>1063.0590100769414</v>
      </c>
      <c r="G159" s="7">
        <v>255.22227285554729</v>
      </c>
      <c r="H159" s="7">
        <v>1318.2812829324887</v>
      </c>
      <c r="I159" s="7">
        <v>0.25212154881410359</v>
      </c>
      <c r="J159" s="7">
        <v>0.25212154881410359</v>
      </c>
    </row>
    <row r="160" spans="1:10" ht="15">
      <c r="A160">
        <v>2</v>
      </c>
      <c r="B160" t="s">
        <v>110</v>
      </c>
      <c r="C160" t="s">
        <v>9</v>
      </c>
      <c r="D160" t="s">
        <v>120</v>
      </c>
      <c r="E160" s="79">
        <v>0.03</v>
      </c>
      <c r="F160" s="7">
        <v>2908.4819665853383</v>
      </c>
      <c r="G160" s="7">
        <v>245.44822343111881</v>
      </c>
      <c r="H160" s="7">
        <v>3153.9301900164573</v>
      </c>
      <c r="I160" s="7">
        <v>0.58144648536539945</v>
      </c>
      <c r="J160" s="7">
        <v>0.58144648536539945</v>
      </c>
    </row>
    <row r="161" spans="1:10" ht="15">
      <c r="A161">
        <v>2</v>
      </c>
      <c r="B161" t="s">
        <v>110</v>
      </c>
      <c r="C161" t="s">
        <v>10</v>
      </c>
      <c r="D161" t="s">
        <v>120</v>
      </c>
      <c r="E161" s="79">
        <v>0.03</v>
      </c>
      <c r="F161" s="7">
        <v>3131.9448765855318</v>
      </c>
      <c r="G161" s="7">
        <v>978.98905043531101</v>
      </c>
      <c r="H161" s="7">
        <v>4110.9339270208429</v>
      </c>
      <c r="I161" s="7">
        <v>0.73167272756864332</v>
      </c>
      <c r="J161" s="7">
        <v>0.73167272756864332</v>
      </c>
    </row>
    <row r="162" spans="1:10" ht="15">
      <c r="A162">
        <v>2</v>
      </c>
      <c r="B162" t="s">
        <v>110</v>
      </c>
      <c r="C162" t="s">
        <v>11</v>
      </c>
      <c r="D162" t="s">
        <v>120</v>
      </c>
      <c r="E162" s="79">
        <v>0.03</v>
      </c>
      <c r="F162" s="7">
        <v>1151.7427085474719</v>
      </c>
      <c r="G162" s="7">
        <v>339.50023243190776</v>
      </c>
      <c r="H162" s="7">
        <v>1491.2429409793797</v>
      </c>
      <c r="I162" s="7">
        <v>0.26055764807099963</v>
      </c>
      <c r="J162" s="7">
        <v>0.26055764807099963</v>
      </c>
    </row>
    <row r="163" spans="1:10" ht="15">
      <c r="A163">
        <v>2</v>
      </c>
      <c r="B163" t="s">
        <v>110</v>
      </c>
      <c r="C163" t="s">
        <v>12</v>
      </c>
      <c r="D163" t="s">
        <v>120</v>
      </c>
      <c r="E163" s="79">
        <v>0.03</v>
      </c>
      <c r="F163" s="7">
        <v>744.8707577138714</v>
      </c>
      <c r="G163" s="7">
        <v>313.8506354445496</v>
      </c>
      <c r="H163" s="7">
        <v>1058.7213931584211</v>
      </c>
      <c r="I163" s="7">
        <v>0.20153214563095453</v>
      </c>
      <c r="J163" s="7">
        <v>0.20153214563095453</v>
      </c>
    </row>
    <row r="164" spans="1:10" ht="15">
      <c r="A164">
        <v>2</v>
      </c>
      <c r="B164" t="s">
        <v>110</v>
      </c>
      <c r="C164" t="s">
        <v>13</v>
      </c>
      <c r="D164" t="s">
        <v>120</v>
      </c>
      <c r="E164" s="79">
        <v>0.03</v>
      </c>
      <c r="F164" s="7">
        <v>2618.3314369112236</v>
      </c>
      <c r="G164" s="7">
        <v>118.98857031341244</v>
      </c>
      <c r="H164" s="7">
        <v>2737.3200072246359</v>
      </c>
      <c r="I164" s="7">
        <v>0.53441851648263716</v>
      </c>
      <c r="J164" s="7">
        <v>0.53441851648263716</v>
      </c>
    </row>
    <row r="165" spans="1:10" ht="15">
      <c r="A165">
        <v>2</v>
      </c>
      <c r="B165" t="s">
        <v>110</v>
      </c>
      <c r="C165" t="s">
        <v>14</v>
      </c>
      <c r="D165" t="s">
        <v>120</v>
      </c>
      <c r="E165" s="79">
        <v>0.03</v>
      </c>
      <c r="F165" s="7">
        <v>2293.2539278373147</v>
      </c>
      <c r="G165" s="7">
        <v>835.52852837154899</v>
      </c>
      <c r="H165" s="7">
        <v>3128.7824562088636</v>
      </c>
      <c r="I165" s="7">
        <v>0.61618845045249437</v>
      </c>
      <c r="J165" s="7">
        <v>0.61618845045249437</v>
      </c>
    </row>
    <row r="166" spans="1:10" ht="15">
      <c r="A166">
        <v>2</v>
      </c>
      <c r="B166" t="s">
        <v>110</v>
      </c>
      <c r="C166" t="s">
        <v>125</v>
      </c>
      <c r="D166" t="s">
        <v>120</v>
      </c>
      <c r="E166" s="79">
        <v>7.0000000000000007E-2</v>
      </c>
      <c r="F166" s="7">
        <v>299.23481765849544</v>
      </c>
      <c r="G166" s="7">
        <v>130.77579696735009</v>
      </c>
      <c r="H166" s="7">
        <v>430.01061462584556</v>
      </c>
      <c r="I166" s="7">
        <v>0.25212154881410359</v>
      </c>
      <c r="J166" s="7">
        <v>0.25212154881410359</v>
      </c>
    </row>
    <row r="167" spans="1:10" ht="15">
      <c r="A167">
        <v>2</v>
      </c>
      <c r="B167" t="s">
        <v>110</v>
      </c>
      <c r="C167" t="s">
        <v>9</v>
      </c>
      <c r="D167" t="s">
        <v>120</v>
      </c>
      <c r="E167" s="79">
        <v>7.0000000000000007E-2</v>
      </c>
      <c r="F167" s="7">
        <v>951.28921191733059</v>
      </c>
      <c r="G167" s="7">
        <v>125.76757770507051</v>
      </c>
      <c r="H167" s="7">
        <v>1077.0567896224011</v>
      </c>
      <c r="I167" s="7">
        <v>0.58144648536539945</v>
      </c>
      <c r="J167" s="7">
        <v>0.58144648536539945</v>
      </c>
    </row>
    <row r="168" spans="1:10" ht="15">
      <c r="A168">
        <v>2</v>
      </c>
      <c r="B168" t="s">
        <v>110</v>
      </c>
      <c r="C168" t="s">
        <v>10</v>
      </c>
      <c r="D168" t="s">
        <v>120</v>
      </c>
      <c r="E168" s="79">
        <v>7.0000000000000007E-2</v>
      </c>
      <c r="F168" s="7">
        <v>973.29161884082441</v>
      </c>
      <c r="G168" s="7">
        <v>501.63362256964734</v>
      </c>
      <c r="H168" s="7">
        <v>1474.9252414104717</v>
      </c>
      <c r="I168" s="7">
        <v>0.73167272756864332</v>
      </c>
      <c r="J168" s="7">
        <v>0.73167272756864332</v>
      </c>
    </row>
    <row r="169" spans="1:10" ht="15">
      <c r="A169">
        <v>2</v>
      </c>
      <c r="B169" t="s">
        <v>110</v>
      </c>
      <c r="C169" t="s">
        <v>11</v>
      </c>
      <c r="D169" t="s">
        <v>120</v>
      </c>
      <c r="E169" s="79">
        <v>7.0000000000000007E-2</v>
      </c>
      <c r="F169" s="7">
        <v>372.45360653655507</v>
      </c>
      <c r="G169" s="7">
        <v>173.95979187134765</v>
      </c>
      <c r="H169" s="7">
        <v>546.41339840790272</v>
      </c>
      <c r="I169" s="7">
        <v>0.26055764807099963</v>
      </c>
      <c r="J169" s="7">
        <v>0.26055764807099963</v>
      </c>
    </row>
    <row r="170" spans="1:10" ht="15">
      <c r="A170">
        <v>2</v>
      </c>
      <c r="B170" t="s">
        <v>110</v>
      </c>
      <c r="C170" t="s">
        <v>12</v>
      </c>
      <c r="D170" t="s">
        <v>120</v>
      </c>
      <c r="E170" s="79">
        <v>7.0000000000000007E-2</v>
      </c>
      <c r="F170" s="7">
        <v>188.57363467642534</v>
      </c>
      <c r="G170" s="7">
        <v>160.81694798714017</v>
      </c>
      <c r="H170" s="7">
        <v>349.39058266356551</v>
      </c>
      <c r="I170" s="7">
        <v>0.20153214563095453</v>
      </c>
      <c r="J170" s="7">
        <v>0.20153214563095453</v>
      </c>
    </row>
    <row r="171" spans="1:10" ht="15">
      <c r="A171">
        <v>2</v>
      </c>
      <c r="B171" t="s">
        <v>110</v>
      </c>
      <c r="C171" t="s">
        <v>13</v>
      </c>
      <c r="D171" t="s">
        <v>120</v>
      </c>
      <c r="E171" s="79">
        <v>7.0000000000000007E-2</v>
      </c>
      <c r="F171" s="7">
        <v>807.40758307108274</v>
      </c>
      <c r="G171" s="7">
        <v>60.969698837958923</v>
      </c>
      <c r="H171" s="7">
        <v>868.3772819090417</v>
      </c>
      <c r="I171" s="7">
        <v>0.53441851648263716</v>
      </c>
      <c r="J171" s="7">
        <v>0.53441851648263716</v>
      </c>
    </row>
    <row r="172" spans="1:10" ht="15">
      <c r="A172">
        <v>2</v>
      </c>
      <c r="B172" t="s">
        <v>110</v>
      </c>
      <c r="C172" t="s">
        <v>14</v>
      </c>
      <c r="D172" t="s">
        <v>120</v>
      </c>
      <c r="E172" s="79">
        <v>7.0000000000000007E-2</v>
      </c>
      <c r="F172" s="7">
        <v>569.52447016213421</v>
      </c>
      <c r="G172" s="7">
        <v>428.12450482560462</v>
      </c>
      <c r="H172" s="7">
        <v>997.64897498773882</v>
      </c>
      <c r="I172" s="7">
        <v>0.61618845045249437</v>
      </c>
      <c r="J172" s="7">
        <v>0.61618845045249437</v>
      </c>
    </row>
    <row r="173" spans="1:10" ht="15">
      <c r="A173">
        <v>2</v>
      </c>
      <c r="B173" t="s">
        <v>112</v>
      </c>
      <c r="C173" t="s">
        <v>125</v>
      </c>
      <c r="D173" t="s">
        <v>39</v>
      </c>
      <c r="E173" s="79">
        <v>0.03</v>
      </c>
      <c r="F173" s="7">
        <v>889.5575795910413</v>
      </c>
      <c r="G173" s="7">
        <v>232.17958388694137</v>
      </c>
      <c r="H173" s="7">
        <v>1121.7371634779827</v>
      </c>
      <c r="I173" s="7">
        <v>0.23054766812756738</v>
      </c>
      <c r="J173" s="7">
        <v>0.23054766812756738</v>
      </c>
    </row>
    <row r="174" spans="1:10" ht="15">
      <c r="A174">
        <v>2</v>
      </c>
      <c r="B174" t="s">
        <v>112</v>
      </c>
      <c r="C174" t="s">
        <v>9</v>
      </c>
      <c r="D174" t="s">
        <v>39</v>
      </c>
      <c r="E174" s="79">
        <v>0.03</v>
      </c>
      <c r="F174" s="7">
        <v>2469.7847193176044</v>
      </c>
      <c r="G174" s="7">
        <v>223.28798244924562</v>
      </c>
      <c r="H174" s="7">
        <v>2693.0727017668501</v>
      </c>
      <c r="I174" s="7">
        <v>0.53169346555709607</v>
      </c>
      <c r="J174" s="7">
        <v>0.53169346555709607</v>
      </c>
    </row>
    <row r="175" spans="1:10" ht="15">
      <c r="A175">
        <v>2</v>
      </c>
      <c r="B175" t="s">
        <v>112</v>
      </c>
      <c r="C175" t="s">
        <v>10</v>
      </c>
      <c r="D175" t="s">
        <v>39</v>
      </c>
      <c r="E175" s="79">
        <v>0.03</v>
      </c>
      <c r="F175" s="7">
        <v>2631.3144344013126</v>
      </c>
      <c r="G175" s="7">
        <v>890.60123090664842</v>
      </c>
      <c r="H175" s="7">
        <v>3521.9156653079608</v>
      </c>
      <c r="I175" s="7">
        <v>0.66906806848427369</v>
      </c>
      <c r="J175" s="7">
        <v>0.66906806848427369</v>
      </c>
    </row>
    <row r="176" spans="1:10" ht="15">
      <c r="A176">
        <v>2</v>
      </c>
      <c r="B176" t="s">
        <v>112</v>
      </c>
      <c r="C176" t="s">
        <v>11</v>
      </c>
      <c r="D176" t="s">
        <v>39</v>
      </c>
      <c r="E176" s="79">
        <v>0.03</v>
      </c>
      <c r="F176" s="7">
        <v>970.57367073245575</v>
      </c>
      <c r="G176" s="7">
        <v>308.84852569341763</v>
      </c>
      <c r="H176" s="7">
        <v>1279.4221964258734</v>
      </c>
      <c r="I176" s="7">
        <v>0.2382638988666837</v>
      </c>
      <c r="J176" s="7">
        <v>0.2382638988666837</v>
      </c>
    </row>
    <row r="177" spans="1:10" ht="15">
      <c r="A177">
        <v>2</v>
      </c>
      <c r="B177" t="s">
        <v>112</v>
      </c>
      <c r="C177" t="s">
        <v>12</v>
      </c>
      <c r="D177" t="s">
        <v>39</v>
      </c>
      <c r="E177" s="79">
        <v>0.03</v>
      </c>
      <c r="F177" s="7">
        <v>616.37716171215402</v>
      </c>
      <c r="G177" s="7">
        <v>285.51469714953527</v>
      </c>
      <c r="H177" s="7">
        <v>901.89185886168923</v>
      </c>
      <c r="I177" s="7">
        <v>0.18428707833462393</v>
      </c>
      <c r="J177" s="7">
        <v>0.18428707833462393</v>
      </c>
    </row>
    <row r="178" spans="1:10" ht="15">
      <c r="A178">
        <v>2</v>
      </c>
      <c r="B178" t="s">
        <v>112</v>
      </c>
      <c r="C178" t="s">
        <v>13</v>
      </c>
      <c r="D178" t="s">
        <v>39</v>
      </c>
      <c r="E178" s="79">
        <v>0.03</v>
      </c>
      <c r="F178" s="7">
        <v>2216.552428992657</v>
      </c>
      <c r="G178" s="7">
        <v>108.24571238853673</v>
      </c>
      <c r="H178" s="7">
        <v>2324.798141381194</v>
      </c>
      <c r="I178" s="7">
        <v>0.48868789339035373</v>
      </c>
      <c r="J178" s="7">
        <v>0.48868789339035373</v>
      </c>
    </row>
    <row r="179" spans="1:10" ht="15">
      <c r="A179">
        <v>2</v>
      </c>
      <c r="B179" t="s">
        <v>112</v>
      </c>
      <c r="C179" t="s">
        <v>14</v>
      </c>
      <c r="D179" t="s">
        <v>39</v>
      </c>
      <c r="E179" s="79">
        <v>0.03</v>
      </c>
      <c r="F179" s="7">
        <v>1898.1603835844226</v>
      </c>
      <c r="G179" s="7">
        <v>760.09301175987957</v>
      </c>
      <c r="H179" s="7">
        <v>2658.2533953443021</v>
      </c>
      <c r="I179" s="7">
        <v>0.56346040191374502</v>
      </c>
      <c r="J179" s="7">
        <v>0.56346040191374502</v>
      </c>
    </row>
    <row r="180" spans="1:10" ht="15">
      <c r="A180">
        <v>2</v>
      </c>
      <c r="B180" t="s">
        <v>112</v>
      </c>
      <c r="C180" t="s">
        <v>125</v>
      </c>
      <c r="D180" t="s">
        <v>39</v>
      </c>
      <c r="E180" s="79">
        <v>7.0000000000000007E-2</v>
      </c>
      <c r="F180" s="7">
        <v>252.71386219554097</v>
      </c>
      <c r="G180" s="7">
        <v>119.28720138749269</v>
      </c>
      <c r="H180" s="7">
        <v>372.00106358303367</v>
      </c>
      <c r="I180" s="7">
        <v>0.23054766812756738</v>
      </c>
      <c r="J180" s="7">
        <v>0.23054766812756738</v>
      </c>
    </row>
    <row r="181" spans="1:10" ht="15">
      <c r="A181">
        <v>2</v>
      </c>
      <c r="B181" t="s">
        <v>112</v>
      </c>
      <c r="C181" t="s">
        <v>9</v>
      </c>
      <c r="D181" t="s">
        <v>39</v>
      </c>
      <c r="E181" s="79">
        <v>7.0000000000000007E-2</v>
      </c>
      <c r="F181" s="7">
        <v>818.52167899926542</v>
      </c>
      <c r="G181" s="7">
        <v>114.71895195918718</v>
      </c>
      <c r="H181" s="7">
        <v>933.24063095845258</v>
      </c>
      <c r="I181" s="7">
        <v>0.53169346555709607</v>
      </c>
      <c r="J181" s="7">
        <v>0.53169346555709607</v>
      </c>
    </row>
    <row r="182" spans="1:10" ht="15">
      <c r="A182">
        <v>2</v>
      </c>
      <c r="B182" t="s">
        <v>112</v>
      </c>
      <c r="C182" t="s">
        <v>10</v>
      </c>
      <c r="D182" t="s">
        <v>39</v>
      </c>
      <c r="E182" s="79">
        <v>7.0000000000000007E-2</v>
      </c>
      <c r="F182" s="7">
        <v>823.06656510402581</v>
      </c>
      <c r="G182" s="7">
        <v>457.56533200973422</v>
      </c>
      <c r="H182" s="7">
        <v>1280.63189711376</v>
      </c>
      <c r="I182" s="7">
        <v>0.66906806848427369</v>
      </c>
      <c r="J182" s="7">
        <v>0.66906806848427369</v>
      </c>
    </row>
    <row r="183" spans="1:10" ht="15">
      <c r="A183">
        <v>2</v>
      </c>
      <c r="B183" t="s">
        <v>112</v>
      </c>
      <c r="C183" t="s">
        <v>11</v>
      </c>
      <c r="D183" t="s">
        <v>39</v>
      </c>
      <c r="E183" s="79">
        <v>7.0000000000000007E-2</v>
      </c>
      <c r="F183" s="7">
        <v>316.16569208483918</v>
      </c>
      <c r="G183" s="7">
        <v>158.67750155224999</v>
      </c>
      <c r="H183" s="7">
        <v>474.8431936370892</v>
      </c>
      <c r="I183" s="7">
        <v>0.2382638988666837</v>
      </c>
      <c r="J183" s="7">
        <v>0.2382638988666837</v>
      </c>
    </row>
    <row r="184" spans="1:10" ht="15">
      <c r="A184">
        <v>2</v>
      </c>
      <c r="B184" t="s">
        <v>112</v>
      </c>
      <c r="C184" t="s">
        <v>12</v>
      </c>
      <c r="D184" t="s">
        <v>39</v>
      </c>
      <c r="E184" s="79">
        <v>7.0000000000000007E-2</v>
      </c>
      <c r="F184" s="7">
        <v>155.63823270048172</v>
      </c>
      <c r="G184" s="7">
        <v>146.68925065586333</v>
      </c>
      <c r="H184" s="7">
        <v>302.32748335634506</v>
      </c>
      <c r="I184" s="7">
        <v>0.18428707833462393</v>
      </c>
      <c r="J184" s="7">
        <v>0.18428707833462393</v>
      </c>
    </row>
    <row r="185" spans="1:10" ht="15">
      <c r="A185">
        <v>2</v>
      </c>
      <c r="B185" t="s">
        <v>112</v>
      </c>
      <c r="C185" t="s">
        <v>13</v>
      </c>
      <c r="D185" t="s">
        <v>39</v>
      </c>
      <c r="E185" s="79">
        <v>7.0000000000000007E-2</v>
      </c>
      <c r="F185" s="7">
        <v>694.77131661910471</v>
      </c>
      <c r="G185" s="7">
        <v>55.613537921196269</v>
      </c>
      <c r="H185" s="7">
        <v>750.38485454030103</v>
      </c>
      <c r="I185" s="7">
        <v>0.48868789339035373</v>
      </c>
      <c r="J185" s="7">
        <v>0.48868789339035373</v>
      </c>
    </row>
    <row r="186" spans="1:10" ht="15">
      <c r="A186">
        <v>2</v>
      </c>
      <c r="B186" t="s">
        <v>112</v>
      </c>
      <c r="C186" t="s">
        <v>14</v>
      </c>
      <c r="D186" t="s">
        <v>39</v>
      </c>
      <c r="E186" s="79">
        <v>7.0000000000000007E-2</v>
      </c>
      <c r="F186" s="7">
        <v>471.73611622372056</v>
      </c>
      <c r="G186" s="7">
        <v>390.51395755441405</v>
      </c>
      <c r="H186" s="7">
        <v>862.25007377813461</v>
      </c>
      <c r="I186" s="7">
        <v>0.56346040191374502</v>
      </c>
      <c r="J186" s="7">
        <v>0.56346040191374502</v>
      </c>
    </row>
    <row r="187" spans="1:10" ht="15">
      <c r="A187">
        <v>2</v>
      </c>
      <c r="B187" t="s">
        <v>112</v>
      </c>
      <c r="C187" t="s">
        <v>125</v>
      </c>
      <c r="D187" t="s">
        <v>119</v>
      </c>
      <c r="E187" s="79">
        <v>0.03</v>
      </c>
      <c r="F187" s="7">
        <v>753.51815661517367</v>
      </c>
      <c r="G187" s="7">
        <v>214.34915741511116</v>
      </c>
      <c r="H187" s="7">
        <v>967.86731403028489</v>
      </c>
      <c r="I187" s="7">
        <v>0.21190097795132057</v>
      </c>
      <c r="J187" s="7">
        <v>0.21190097795132057</v>
      </c>
    </row>
    <row r="188" spans="1:10" ht="15">
      <c r="A188">
        <v>2</v>
      </c>
      <c r="B188" t="s">
        <v>112</v>
      </c>
      <c r="C188" t="s">
        <v>9</v>
      </c>
      <c r="D188" t="s">
        <v>119</v>
      </c>
      <c r="E188" s="79">
        <v>0.03</v>
      </c>
      <c r="F188" s="7">
        <v>2122.0696668516762</v>
      </c>
      <c r="G188" s="7">
        <v>206.14039399011898</v>
      </c>
      <c r="H188" s="7">
        <v>2328.210060841795</v>
      </c>
      <c r="I188" s="7">
        <v>0.48869344573445073</v>
      </c>
      <c r="J188" s="7">
        <v>0.48869344573445073</v>
      </c>
    </row>
    <row r="189" spans="1:10" ht="15">
      <c r="A189">
        <v>2</v>
      </c>
      <c r="B189" t="s">
        <v>112</v>
      </c>
      <c r="C189" t="s">
        <v>10</v>
      </c>
      <c r="D189" t="s">
        <v>119</v>
      </c>
      <c r="E189" s="79">
        <v>0.03</v>
      </c>
      <c r="F189" s="7">
        <v>2228.2936009933837</v>
      </c>
      <c r="G189" s="7">
        <v>822.20676013726825</v>
      </c>
      <c r="H189" s="7">
        <v>3050.500361130652</v>
      </c>
      <c r="I189" s="7">
        <v>0.6149666003971398</v>
      </c>
      <c r="J189" s="7">
        <v>0.6149666003971398</v>
      </c>
    </row>
    <row r="190" spans="1:10" ht="15">
      <c r="A190">
        <v>2</v>
      </c>
      <c r="B190" t="s">
        <v>112</v>
      </c>
      <c r="C190" t="s">
        <v>11</v>
      </c>
      <c r="D190" t="s">
        <v>119</v>
      </c>
      <c r="E190" s="79">
        <v>0.03</v>
      </c>
      <c r="F190" s="7">
        <v>823.94462079109917</v>
      </c>
      <c r="G190" s="7">
        <v>285.13024333577869</v>
      </c>
      <c r="H190" s="7">
        <v>1109.0748641268779</v>
      </c>
      <c r="I190" s="7">
        <v>0.21899921136912237</v>
      </c>
      <c r="J190" s="7">
        <v>0.21899921136912237</v>
      </c>
    </row>
    <row r="191" spans="1:10" ht="15">
      <c r="A191">
        <v>2</v>
      </c>
      <c r="B191" t="s">
        <v>112</v>
      </c>
      <c r="C191" t="s">
        <v>12</v>
      </c>
      <c r="D191" t="s">
        <v>119</v>
      </c>
      <c r="E191" s="79">
        <v>0.03</v>
      </c>
      <c r="F191" s="7">
        <v>515.07256177158024</v>
      </c>
      <c r="G191" s="7">
        <v>263.58835578512566</v>
      </c>
      <c r="H191" s="7">
        <v>778.66091755670584</v>
      </c>
      <c r="I191" s="7">
        <v>0.16938182336979987</v>
      </c>
      <c r="J191" s="7">
        <v>0.16938182336979987</v>
      </c>
    </row>
    <row r="192" spans="1:10" ht="15">
      <c r="A192">
        <v>2</v>
      </c>
      <c r="B192" t="s">
        <v>112</v>
      </c>
      <c r="C192" t="s">
        <v>13</v>
      </c>
      <c r="D192" t="s">
        <v>119</v>
      </c>
      <c r="E192" s="79">
        <v>0.03</v>
      </c>
      <c r="F192" s="7">
        <v>1903.8135279514181</v>
      </c>
      <c r="G192" s="7">
        <v>99.932891841082807</v>
      </c>
      <c r="H192" s="7">
        <v>2003.746419792501</v>
      </c>
      <c r="I192" s="7">
        <v>0.44916044071208566</v>
      </c>
      <c r="J192" s="7">
        <v>0.44916044071208566</v>
      </c>
    </row>
    <row r="193" spans="1:10" ht="15">
      <c r="A193">
        <v>2</v>
      </c>
      <c r="B193" t="s">
        <v>112</v>
      </c>
      <c r="C193" t="s">
        <v>14</v>
      </c>
      <c r="D193" t="s">
        <v>119</v>
      </c>
      <c r="E193" s="79">
        <v>0.03</v>
      </c>
      <c r="F193" s="7">
        <v>1589.9117467627202</v>
      </c>
      <c r="G193" s="7">
        <v>701.72102947337532</v>
      </c>
      <c r="H193" s="7">
        <v>2291.6327762360957</v>
      </c>
      <c r="I193" s="7">
        <v>0.51788444600830175</v>
      </c>
      <c r="J193" s="7">
        <v>0.51788444600830175</v>
      </c>
    </row>
    <row r="194" spans="1:10" ht="15">
      <c r="A194">
        <v>2</v>
      </c>
      <c r="B194" t="s">
        <v>112</v>
      </c>
      <c r="C194" t="s">
        <v>125</v>
      </c>
      <c r="D194" t="s">
        <v>119</v>
      </c>
      <c r="E194" s="79">
        <v>7.0000000000000007E-2</v>
      </c>
      <c r="F194" s="7">
        <v>214.40466418356198</v>
      </c>
      <c r="G194" s="7">
        <v>110.68785435282227</v>
      </c>
      <c r="H194" s="7">
        <v>325.09251853638426</v>
      </c>
      <c r="I194" s="7">
        <v>0.21190097795132057</v>
      </c>
      <c r="J194" s="7">
        <v>0.21190097795132057</v>
      </c>
    </row>
    <row r="195" spans="1:10" ht="15">
      <c r="A195">
        <v>2</v>
      </c>
      <c r="B195" t="s">
        <v>112</v>
      </c>
      <c r="C195" t="s">
        <v>9</v>
      </c>
      <c r="D195" t="s">
        <v>119</v>
      </c>
      <c r="E195" s="79">
        <v>7.0000000000000007E-2</v>
      </c>
      <c r="F195" s="7">
        <v>709.83651546038209</v>
      </c>
      <c r="G195" s="7">
        <v>106.44892744795612</v>
      </c>
      <c r="H195" s="7">
        <v>816.28544290833815</v>
      </c>
      <c r="I195" s="7">
        <v>0.48869344573445073</v>
      </c>
      <c r="J195" s="7">
        <v>0.48869344573445073</v>
      </c>
    </row>
    <row r="196" spans="1:10" ht="15">
      <c r="A196">
        <v>2</v>
      </c>
      <c r="B196" t="s">
        <v>112</v>
      </c>
      <c r="C196" t="s">
        <v>10</v>
      </c>
      <c r="D196" t="s">
        <v>119</v>
      </c>
      <c r="E196" s="79">
        <v>7.0000000000000007E-2</v>
      </c>
      <c r="F196" s="7">
        <v>696.87861445998055</v>
      </c>
      <c r="G196" s="7">
        <v>424.5797054276822</v>
      </c>
      <c r="H196" s="7">
        <v>1121.4583198876628</v>
      </c>
      <c r="I196" s="7">
        <v>0.6149666003971398</v>
      </c>
      <c r="J196" s="7">
        <v>0.6149666003971398</v>
      </c>
    </row>
    <row r="197" spans="1:10" ht="15">
      <c r="A197">
        <v>2</v>
      </c>
      <c r="B197" t="s">
        <v>112</v>
      </c>
      <c r="C197" t="s">
        <v>11</v>
      </c>
      <c r="D197" t="s">
        <v>119</v>
      </c>
      <c r="E197" s="79">
        <v>7.0000000000000007E-2</v>
      </c>
      <c r="F197" s="7">
        <v>268.78825525619322</v>
      </c>
      <c r="G197" s="7">
        <v>147.23853000651215</v>
      </c>
      <c r="H197" s="7">
        <v>416.02678526270535</v>
      </c>
      <c r="I197" s="7">
        <v>0.21899921136912237</v>
      </c>
      <c r="J197" s="7">
        <v>0.21899921136912237</v>
      </c>
    </row>
    <row r="198" spans="1:10" ht="15">
      <c r="A198">
        <v>2</v>
      </c>
      <c r="B198" t="s">
        <v>112</v>
      </c>
      <c r="C198" t="s">
        <v>12</v>
      </c>
      <c r="D198" t="s">
        <v>119</v>
      </c>
      <c r="E198" s="79">
        <v>7.0000000000000007E-2</v>
      </c>
      <c r="F198" s="7">
        <v>128.12268059207568</v>
      </c>
      <c r="G198" s="7">
        <v>136.11450535231742</v>
      </c>
      <c r="H198" s="7">
        <v>264.2371859443931</v>
      </c>
      <c r="I198" s="7">
        <v>0.16938182336979987</v>
      </c>
      <c r="J198" s="7">
        <v>0.16938182336979987</v>
      </c>
    </row>
    <row r="199" spans="1:10" ht="15">
      <c r="A199">
        <v>2</v>
      </c>
      <c r="B199" t="s">
        <v>112</v>
      </c>
      <c r="C199" t="s">
        <v>13</v>
      </c>
      <c r="D199" t="s">
        <v>119</v>
      </c>
      <c r="E199" s="79">
        <v>7.0000000000000007E-2</v>
      </c>
      <c r="F199" s="7">
        <v>603.74079901309278</v>
      </c>
      <c r="G199" s="7">
        <v>51.60438935498378</v>
      </c>
      <c r="H199" s="7">
        <v>655.34518836807661</v>
      </c>
      <c r="I199" s="7">
        <v>0.44916044071208566</v>
      </c>
      <c r="J199" s="7">
        <v>0.44916044071208566</v>
      </c>
    </row>
    <row r="200" spans="1:10" ht="15">
      <c r="A200">
        <v>2</v>
      </c>
      <c r="B200" t="s">
        <v>112</v>
      </c>
      <c r="C200" t="s">
        <v>14</v>
      </c>
      <c r="D200" t="s">
        <v>119</v>
      </c>
      <c r="E200" s="79">
        <v>7.0000000000000007E-2</v>
      </c>
      <c r="F200" s="7">
        <v>390.75760882379706</v>
      </c>
      <c r="G200" s="7">
        <v>362.36202671998814</v>
      </c>
      <c r="H200" s="7">
        <v>753.11963554378519</v>
      </c>
      <c r="I200" s="7">
        <v>0.51788444600830175</v>
      </c>
      <c r="J200" s="7">
        <v>0.51788444600830175</v>
      </c>
    </row>
    <row r="201" spans="1:10" ht="15">
      <c r="A201">
        <v>2</v>
      </c>
      <c r="B201" t="s">
        <v>112</v>
      </c>
      <c r="C201" t="s">
        <v>125</v>
      </c>
      <c r="D201" t="s">
        <v>120</v>
      </c>
      <c r="E201" s="79">
        <v>0.03</v>
      </c>
      <c r="F201" s="7">
        <v>1065.1219867598177</v>
      </c>
      <c r="G201" s="7">
        <v>253.15929617267099</v>
      </c>
      <c r="H201" s="7">
        <v>1318.2812829324887</v>
      </c>
      <c r="I201" s="7">
        <v>0.25212154881410359</v>
      </c>
      <c r="J201" s="7">
        <v>0.25212154881410359</v>
      </c>
    </row>
    <row r="202" spans="1:10" ht="15">
      <c r="A202">
        <v>2</v>
      </c>
      <c r="B202" t="s">
        <v>112</v>
      </c>
      <c r="C202" t="s">
        <v>9</v>
      </c>
      <c r="D202" t="s">
        <v>120</v>
      </c>
      <c r="E202" s="79">
        <v>0.03</v>
      </c>
      <c r="F202" s="7">
        <v>2910.4659390503066</v>
      </c>
      <c r="G202" s="7">
        <v>243.46425096615093</v>
      </c>
      <c r="H202" s="7">
        <v>3153.9301900164573</v>
      </c>
      <c r="I202" s="7">
        <v>0.58144648536539945</v>
      </c>
      <c r="J202" s="7">
        <v>0.58144648536539945</v>
      </c>
    </row>
    <row r="203" spans="1:10" ht="15">
      <c r="A203">
        <v>2</v>
      </c>
      <c r="B203" t="s">
        <v>112</v>
      </c>
      <c r="C203" t="s">
        <v>10</v>
      </c>
      <c r="D203" t="s">
        <v>120</v>
      </c>
      <c r="E203" s="79">
        <v>0.03</v>
      </c>
      <c r="F203" s="7">
        <v>3139.8581028147401</v>
      </c>
      <c r="G203" s="7">
        <v>971.07582420610311</v>
      </c>
      <c r="H203" s="7">
        <v>4110.9339270208429</v>
      </c>
      <c r="I203" s="7">
        <v>0.73167272756864332</v>
      </c>
      <c r="J203" s="7">
        <v>0.73167272756864332</v>
      </c>
    </row>
    <row r="204" spans="1:10" ht="15">
      <c r="A204">
        <v>2</v>
      </c>
      <c r="B204" t="s">
        <v>112</v>
      </c>
      <c r="C204" t="s">
        <v>11</v>
      </c>
      <c r="D204" t="s">
        <v>120</v>
      </c>
      <c r="E204" s="79">
        <v>0.03</v>
      </c>
      <c r="F204" s="7">
        <v>1154.4869089477866</v>
      </c>
      <c r="G204" s="7">
        <v>336.75603203159307</v>
      </c>
      <c r="H204" s="7">
        <v>1491.2429409793797</v>
      </c>
      <c r="I204" s="7">
        <v>0.26055764807099963</v>
      </c>
      <c r="J204" s="7">
        <v>0.26055764807099963</v>
      </c>
    </row>
    <row r="205" spans="1:10" ht="15">
      <c r="A205">
        <v>2</v>
      </c>
      <c r="B205" t="s">
        <v>112</v>
      </c>
      <c r="C205" t="s">
        <v>12</v>
      </c>
      <c r="D205" t="s">
        <v>120</v>
      </c>
      <c r="E205" s="79">
        <v>0.03</v>
      </c>
      <c r="F205" s="7">
        <v>747.4076309090824</v>
      </c>
      <c r="G205" s="7">
        <v>311.31376224933865</v>
      </c>
      <c r="H205" s="7">
        <v>1058.7213931584211</v>
      </c>
      <c r="I205" s="7">
        <v>0.20153214563095453</v>
      </c>
      <c r="J205" s="7">
        <v>0.20153214563095453</v>
      </c>
    </row>
    <row r="206" spans="1:10" ht="15">
      <c r="A206">
        <v>2</v>
      </c>
      <c r="B206" t="s">
        <v>112</v>
      </c>
      <c r="C206" t="s">
        <v>13</v>
      </c>
      <c r="D206" t="s">
        <v>120</v>
      </c>
      <c r="E206" s="79">
        <v>0.03</v>
      </c>
      <c r="F206" s="7">
        <v>2619.2932285422548</v>
      </c>
      <c r="G206" s="7">
        <v>118.02677868238095</v>
      </c>
      <c r="H206" s="7">
        <v>2737.3200072246359</v>
      </c>
      <c r="I206" s="7">
        <v>0.53441851648263716</v>
      </c>
      <c r="J206" s="7">
        <v>0.53441851648263716</v>
      </c>
    </row>
    <row r="207" spans="1:10" ht="15">
      <c r="A207">
        <v>2</v>
      </c>
      <c r="B207" t="s">
        <v>112</v>
      </c>
      <c r="C207" t="s">
        <v>14</v>
      </c>
      <c r="D207" t="s">
        <v>120</v>
      </c>
      <c r="E207" s="79">
        <v>0.03</v>
      </c>
      <c r="F207" s="7">
        <v>2300.0075542062959</v>
      </c>
      <c r="G207" s="7">
        <v>828.7749020025675</v>
      </c>
      <c r="H207" s="7">
        <v>3128.7824562088636</v>
      </c>
      <c r="I207" s="7">
        <v>0.61618845045249437</v>
      </c>
      <c r="J207" s="7">
        <v>0.61618845045249437</v>
      </c>
    </row>
    <row r="208" spans="1:10" ht="15">
      <c r="A208">
        <v>2</v>
      </c>
      <c r="B208" t="s">
        <v>112</v>
      </c>
      <c r="C208" t="s">
        <v>125</v>
      </c>
      <c r="D208" t="s">
        <v>120</v>
      </c>
      <c r="E208" s="79">
        <v>7.0000000000000007E-2</v>
      </c>
      <c r="F208" s="7">
        <v>300.35412035986417</v>
      </c>
      <c r="G208" s="7">
        <v>129.65649426598139</v>
      </c>
      <c r="H208" s="7">
        <v>430.01061462584556</v>
      </c>
      <c r="I208" s="7">
        <v>0.25212154881410359</v>
      </c>
      <c r="J208" s="7">
        <v>0.25212154881410359</v>
      </c>
    </row>
    <row r="209" spans="1:10" ht="15">
      <c r="A209">
        <v>2</v>
      </c>
      <c r="B209" t="s">
        <v>112</v>
      </c>
      <c r="C209" t="s">
        <v>9</v>
      </c>
      <c r="D209" t="s">
        <v>120</v>
      </c>
      <c r="E209" s="79">
        <v>7.0000000000000007E-2</v>
      </c>
      <c r="F209" s="7">
        <v>952.3656495513145</v>
      </c>
      <c r="G209" s="7">
        <v>124.69114007108655</v>
      </c>
      <c r="H209" s="7">
        <v>1077.0567896224011</v>
      </c>
      <c r="I209" s="7">
        <v>0.58144648536539945</v>
      </c>
      <c r="J209" s="7">
        <v>0.58144648536539945</v>
      </c>
    </row>
    <row r="210" spans="1:10" ht="15">
      <c r="A210">
        <v>2</v>
      </c>
      <c r="B210" t="s">
        <v>112</v>
      </c>
      <c r="C210" t="s">
        <v>10</v>
      </c>
      <c r="D210" t="s">
        <v>120</v>
      </c>
      <c r="E210" s="79">
        <v>7.0000000000000007E-2</v>
      </c>
      <c r="F210" s="7">
        <v>977.58507284271127</v>
      </c>
      <c r="G210" s="7">
        <v>497.34016856776043</v>
      </c>
      <c r="H210" s="7">
        <v>1474.9252414104717</v>
      </c>
      <c r="I210" s="7">
        <v>0.73167272756864332</v>
      </c>
      <c r="J210" s="7">
        <v>0.73167272756864332</v>
      </c>
    </row>
    <row r="211" spans="1:10" ht="15">
      <c r="A211">
        <v>2</v>
      </c>
      <c r="B211" t="s">
        <v>112</v>
      </c>
      <c r="C211" t="s">
        <v>11</v>
      </c>
      <c r="D211" t="s">
        <v>120</v>
      </c>
      <c r="E211" s="79">
        <v>7.0000000000000007E-2</v>
      </c>
      <c r="F211" s="7">
        <v>373.94251862492933</v>
      </c>
      <c r="G211" s="7">
        <v>172.47087978297341</v>
      </c>
      <c r="H211" s="7">
        <v>546.41339840790272</v>
      </c>
      <c r="I211" s="7">
        <v>0.26055764807099963</v>
      </c>
      <c r="J211" s="7">
        <v>0.26055764807099963</v>
      </c>
    </row>
    <row r="212" spans="1:10" ht="15">
      <c r="A212">
        <v>2</v>
      </c>
      <c r="B212" t="s">
        <v>112</v>
      </c>
      <c r="C212" t="s">
        <v>12</v>
      </c>
      <c r="D212" t="s">
        <v>120</v>
      </c>
      <c r="E212" s="79">
        <v>7.0000000000000007E-2</v>
      </c>
      <c r="F212" s="7">
        <v>189.95005790214526</v>
      </c>
      <c r="G212" s="7">
        <v>159.44052476142025</v>
      </c>
      <c r="H212" s="7">
        <v>349.39058266356551</v>
      </c>
      <c r="I212" s="7">
        <v>0.20153214563095453</v>
      </c>
      <c r="J212" s="7">
        <v>0.20153214563095453</v>
      </c>
    </row>
    <row r="213" spans="1:10" ht="15">
      <c r="A213">
        <v>2</v>
      </c>
      <c r="B213" t="s">
        <v>112</v>
      </c>
      <c r="C213" t="s">
        <v>13</v>
      </c>
      <c r="D213" t="s">
        <v>120</v>
      </c>
      <c r="E213" s="79">
        <v>7.0000000000000007E-2</v>
      </c>
      <c r="F213" s="7">
        <v>807.92941929914252</v>
      </c>
      <c r="G213" s="7">
        <v>60.447862609899161</v>
      </c>
      <c r="H213" s="7">
        <v>868.3772819090417</v>
      </c>
      <c r="I213" s="7">
        <v>0.53441851648263716</v>
      </c>
      <c r="J213" s="7">
        <v>0.53441851648263716</v>
      </c>
    </row>
    <row r="214" spans="1:10" ht="15">
      <c r="A214">
        <v>2</v>
      </c>
      <c r="B214" t="s">
        <v>112</v>
      </c>
      <c r="C214" t="s">
        <v>14</v>
      </c>
      <c r="D214" t="s">
        <v>120</v>
      </c>
      <c r="E214" s="79">
        <v>7.0000000000000007E-2</v>
      </c>
      <c r="F214" s="7">
        <v>573.18876375380773</v>
      </c>
      <c r="G214" s="7">
        <v>424.46021123393103</v>
      </c>
      <c r="H214" s="7">
        <v>997.64897498773882</v>
      </c>
      <c r="I214" s="7">
        <v>0.61618845045249437</v>
      </c>
      <c r="J214" s="7">
        <v>0.61618845045249437</v>
      </c>
    </row>
    <row r="215" spans="1:10" ht="15">
      <c r="A215">
        <v>2</v>
      </c>
      <c r="B215" t="s">
        <v>111</v>
      </c>
      <c r="C215" t="s">
        <v>125</v>
      </c>
      <c r="D215" t="s">
        <v>39</v>
      </c>
      <c r="E215" s="79">
        <v>0.03</v>
      </c>
      <c r="F215" s="7">
        <v>771.07810941800881</v>
      </c>
      <c r="G215" s="7">
        <v>350.65905405997381</v>
      </c>
      <c r="H215" s="7">
        <v>1121.7371634779827</v>
      </c>
      <c r="I215" s="7">
        <v>0.23054766812756738</v>
      </c>
      <c r="J215" s="7">
        <v>0.23054766812756738</v>
      </c>
    </row>
    <row r="216" spans="1:10" ht="15">
      <c r="A216">
        <v>2</v>
      </c>
      <c r="B216" t="s">
        <v>111</v>
      </c>
      <c r="C216" t="s">
        <v>9</v>
      </c>
      <c r="D216" t="s">
        <v>39</v>
      </c>
      <c r="E216" s="79">
        <v>0.03</v>
      </c>
      <c r="F216" s="7">
        <v>2355.8425655170613</v>
      </c>
      <c r="G216" s="7">
        <v>337.23013624978864</v>
      </c>
      <c r="H216" s="7">
        <v>2693.0727017668501</v>
      </c>
      <c r="I216" s="7">
        <v>0.53169346555709607</v>
      </c>
      <c r="J216" s="7">
        <v>0.53169346555709607</v>
      </c>
    </row>
    <row r="217" spans="1:10" ht="15">
      <c r="A217">
        <v>2</v>
      </c>
      <c r="B217" t="s">
        <v>111</v>
      </c>
      <c r="C217" t="s">
        <v>10</v>
      </c>
      <c r="D217" t="s">
        <v>39</v>
      </c>
      <c r="E217" s="79">
        <v>0.03</v>
      </c>
      <c r="F217" s="7">
        <v>2176.8474213815471</v>
      </c>
      <c r="G217" s="7">
        <v>1345.0682439264137</v>
      </c>
      <c r="H217" s="7">
        <v>3521.9156653079608</v>
      </c>
      <c r="I217" s="7">
        <v>0.66906806848427369</v>
      </c>
      <c r="J217" s="7">
        <v>0.66906806848427369</v>
      </c>
    </row>
    <row r="218" spans="1:10" ht="15">
      <c r="A218">
        <v>2</v>
      </c>
      <c r="B218" t="s">
        <v>111</v>
      </c>
      <c r="C218" t="s">
        <v>11</v>
      </c>
      <c r="D218" t="s">
        <v>39</v>
      </c>
      <c r="E218" s="79">
        <v>0.03</v>
      </c>
      <c r="F218" s="7">
        <v>812.97062452449563</v>
      </c>
      <c r="G218" s="7">
        <v>466.45157190137775</v>
      </c>
      <c r="H218" s="7">
        <v>1279.4221964258734</v>
      </c>
      <c r="I218" s="7">
        <v>0.2382638988666837</v>
      </c>
      <c r="J218" s="7">
        <v>0.2382638988666837</v>
      </c>
    </row>
    <row r="219" spans="1:10" ht="15">
      <c r="A219">
        <v>2</v>
      </c>
      <c r="B219" t="s">
        <v>111</v>
      </c>
      <c r="C219" t="s">
        <v>12</v>
      </c>
      <c r="D219" t="s">
        <v>39</v>
      </c>
      <c r="E219" s="79">
        <v>0.03</v>
      </c>
      <c r="F219" s="7">
        <v>470.68119017762456</v>
      </c>
      <c r="G219" s="7">
        <v>431.21066868406467</v>
      </c>
      <c r="H219" s="7">
        <v>901.89185886168923</v>
      </c>
      <c r="I219" s="7">
        <v>0.18428707833462393</v>
      </c>
      <c r="J219" s="7">
        <v>0.18428707833462393</v>
      </c>
    </row>
    <row r="220" spans="1:10" ht="15">
      <c r="A220">
        <v>2</v>
      </c>
      <c r="B220" t="s">
        <v>111</v>
      </c>
      <c r="C220" t="s">
        <v>13</v>
      </c>
      <c r="D220" t="s">
        <v>39</v>
      </c>
      <c r="E220" s="79">
        <v>0.03</v>
      </c>
      <c r="F220" s="7">
        <v>2161.3154678542423</v>
      </c>
      <c r="G220" s="7">
        <v>163.48267352695143</v>
      </c>
      <c r="H220" s="7">
        <v>2324.798141381194</v>
      </c>
      <c r="I220" s="7">
        <v>0.48868789339035373</v>
      </c>
      <c r="J220" s="7">
        <v>0.48868789339035373</v>
      </c>
    </row>
    <row r="221" spans="1:10" ht="15">
      <c r="A221">
        <v>2</v>
      </c>
      <c r="B221" t="s">
        <v>111</v>
      </c>
      <c r="C221" t="s">
        <v>14</v>
      </c>
      <c r="D221" t="s">
        <v>39</v>
      </c>
      <c r="E221" s="79">
        <v>0.03</v>
      </c>
      <c r="F221" s="7">
        <v>1510.2907190432584</v>
      </c>
      <c r="G221" s="7">
        <v>1147.9626763010438</v>
      </c>
      <c r="H221" s="7">
        <v>2658.2533953443021</v>
      </c>
      <c r="I221" s="7">
        <v>0.56346040191374502</v>
      </c>
      <c r="J221" s="7">
        <v>0.56346040191374502</v>
      </c>
    </row>
    <row r="222" spans="1:10" ht="15">
      <c r="A222">
        <v>2</v>
      </c>
      <c r="B222" t="s">
        <v>111</v>
      </c>
      <c r="C222" t="s">
        <v>125</v>
      </c>
      <c r="D222" t="s">
        <v>39</v>
      </c>
      <c r="E222" s="79">
        <v>7.0000000000000007E-2</v>
      </c>
      <c r="F222" s="7">
        <v>200.73443110290651</v>
      </c>
      <c r="G222" s="7">
        <v>171.26663248012716</v>
      </c>
      <c r="H222" s="7">
        <v>372.00106358303367</v>
      </c>
      <c r="I222" s="7">
        <v>0.23054766812756738</v>
      </c>
      <c r="J222" s="7">
        <v>0.23054766812756738</v>
      </c>
    </row>
    <row r="223" spans="1:10" ht="15">
      <c r="A223">
        <v>2</v>
      </c>
      <c r="B223" t="s">
        <v>111</v>
      </c>
      <c r="C223" t="s">
        <v>9</v>
      </c>
      <c r="D223" t="s">
        <v>39</v>
      </c>
      <c r="E223" s="79">
        <v>7.0000000000000007E-2</v>
      </c>
      <c r="F223" s="7">
        <v>768.53286386216178</v>
      </c>
      <c r="G223" s="7">
        <v>164.70776709629075</v>
      </c>
      <c r="H223" s="7">
        <v>933.24063095845258</v>
      </c>
      <c r="I223" s="7">
        <v>0.53169346555709607</v>
      </c>
      <c r="J223" s="7">
        <v>0.53169346555709607</v>
      </c>
    </row>
    <row r="224" spans="1:10" ht="15">
      <c r="A224">
        <v>2</v>
      </c>
      <c r="B224" t="s">
        <v>111</v>
      </c>
      <c r="C224" t="s">
        <v>10</v>
      </c>
      <c r="D224" t="s">
        <v>39</v>
      </c>
      <c r="E224" s="79">
        <v>7.0000000000000007E-2</v>
      </c>
      <c r="F224" s="7">
        <v>623.68234476073451</v>
      </c>
      <c r="G224" s="7">
        <v>656.94955235302552</v>
      </c>
      <c r="H224" s="7">
        <v>1280.63189711376</v>
      </c>
      <c r="I224" s="7">
        <v>0.66906806848427369</v>
      </c>
      <c r="J224" s="7">
        <v>0.66906806848427369</v>
      </c>
    </row>
    <row r="225" spans="1:10" ht="15">
      <c r="A225">
        <v>2</v>
      </c>
      <c r="B225" t="s">
        <v>111</v>
      </c>
      <c r="C225" t="s">
        <v>11</v>
      </c>
      <c r="D225" t="s">
        <v>39</v>
      </c>
      <c r="E225" s="79">
        <v>7.0000000000000007E-2</v>
      </c>
      <c r="F225" s="7">
        <v>247.02192676927964</v>
      </c>
      <c r="G225" s="7">
        <v>227.82126686780956</v>
      </c>
      <c r="H225" s="7">
        <v>474.8431936370892</v>
      </c>
      <c r="I225" s="7">
        <v>0.2382638988666837</v>
      </c>
      <c r="J225" s="7">
        <v>0.2382638988666837</v>
      </c>
    </row>
    <row r="226" spans="1:10" ht="15">
      <c r="A226">
        <v>2</v>
      </c>
      <c r="B226" t="s">
        <v>111</v>
      </c>
      <c r="C226" t="s">
        <v>12</v>
      </c>
      <c r="D226" t="s">
        <v>39</v>
      </c>
      <c r="E226" s="79">
        <v>7.0000000000000007E-2</v>
      </c>
      <c r="F226" s="7">
        <v>91.718351038339733</v>
      </c>
      <c r="G226" s="7">
        <v>210.60913231800532</v>
      </c>
      <c r="H226" s="7">
        <v>302.32748335634506</v>
      </c>
      <c r="I226" s="7">
        <v>0.18428707833462393</v>
      </c>
      <c r="J226" s="7">
        <v>0.18428707833462393</v>
      </c>
    </row>
    <row r="227" spans="1:10" ht="15">
      <c r="A227">
        <v>2</v>
      </c>
      <c r="B227" t="s">
        <v>111</v>
      </c>
      <c r="C227" t="s">
        <v>13</v>
      </c>
      <c r="D227" t="s">
        <v>39</v>
      </c>
      <c r="E227" s="79">
        <v>7.0000000000000007E-2</v>
      </c>
      <c r="F227" s="7">
        <v>670.53770204379009</v>
      </c>
      <c r="G227" s="7">
        <v>79.847152496510944</v>
      </c>
      <c r="H227" s="7">
        <v>750.38485454030103</v>
      </c>
      <c r="I227" s="7">
        <v>0.48868789339035373</v>
      </c>
      <c r="J227" s="7">
        <v>0.48868789339035373</v>
      </c>
    </row>
    <row r="228" spans="1:10" ht="15">
      <c r="A228">
        <v>2</v>
      </c>
      <c r="B228" t="s">
        <v>111</v>
      </c>
      <c r="C228" t="s">
        <v>14</v>
      </c>
      <c r="D228" t="s">
        <v>39</v>
      </c>
      <c r="E228" s="79">
        <v>7.0000000000000007E-2</v>
      </c>
      <c r="F228" s="7">
        <v>301.56955089812925</v>
      </c>
      <c r="G228" s="7">
        <v>560.68052288000536</v>
      </c>
      <c r="H228" s="7">
        <v>862.25007377813461</v>
      </c>
      <c r="I228" s="7">
        <v>0.56346040191374502</v>
      </c>
      <c r="J228" s="7">
        <v>0.56346040191374502</v>
      </c>
    </row>
    <row r="229" spans="1:10" ht="15">
      <c r="A229">
        <v>2</v>
      </c>
      <c r="B229" t="s">
        <v>111</v>
      </c>
      <c r="C229" t="s">
        <v>125</v>
      </c>
      <c r="D229" t="s">
        <v>119</v>
      </c>
      <c r="E229" s="79">
        <v>0.03</v>
      </c>
      <c r="F229" s="7">
        <v>645.04793102127201</v>
      </c>
      <c r="G229" s="7">
        <v>322.81938300901288</v>
      </c>
      <c r="H229" s="7">
        <v>967.86731403028489</v>
      </c>
      <c r="I229" s="7">
        <v>0.21190097795132057</v>
      </c>
      <c r="J229" s="7">
        <v>0.21190097795132057</v>
      </c>
    </row>
    <row r="230" spans="1:10" ht="15">
      <c r="A230">
        <v>2</v>
      </c>
      <c r="B230" t="s">
        <v>111</v>
      </c>
      <c r="C230" t="s">
        <v>9</v>
      </c>
      <c r="D230" t="s">
        <v>119</v>
      </c>
      <c r="E230" s="79">
        <v>0.03</v>
      </c>
      <c r="F230" s="7">
        <v>2017.7534413541289</v>
      </c>
      <c r="G230" s="7">
        <v>310.45661948766605</v>
      </c>
      <c r="H230" s="7">
        <v>2328.210060841795</v>
      </c>
      <c r="I230" s="7">
        <v>0.48869344573445073</v>
      </c>
      <c r="J230" s="7">
        <v>0.48869344573445073</v>
      </c>
    </row>
    <row r="231" spans="1:10" ht="15">
      <c r="A231">
        <v>2</v>
      </c>
      <c r="B231" t="s">
        <v>111</v>
      </c>
      <c r="C231" t="s">
        <v>10</v>
      </c>
      <c r="D231" t="s">
        <v>119</v>
      </c>
      <c r="E231" s="79">
        <v>0.03</v>
      </c>
      <c r="F231" s="7">
        <v>1812.2203407463007</v>
      </c>
      <c r="G231" s="7">
        <v>1238.2800203843512</v>
      </c>
      <c r="H231" s="7">
        <v>3050.500361130652</v>
      </c>
      <c r="I231" s="7">
        <v>0.6149666003971398</v>
      </c>
      <c r="J231" s="7">
        <v>0.6149666003971398</v>
      </c>
    </row>
    <row r="232" spans="1:10" ht="15">
      <c r="A232">
        <v>2</v>
      </c>
      <c r="B232" t="s">
        <v>111</v>
      </c>
      <c r="C232" t="s">
        <v>11</v>
      </c>
      <c r="D232" t="s">
        <v>119</v>
      </c>
      <c r="E232" s="79">
        <v>0.03</v>
      </c>
      <c r="F232" s="7">
        <v>679.65601153671025</v>
      </c>
      <c r="G232" s="7">
        <v>429.4188525901676</v>
      </c>
      <c r="H232" s="7">
        <v>1109.0748641268779</v>
      </c>
      <c r="I232" s="7">
        <v>0.21899921136912237</v>
      </c>
      <c r="J232" s="7">
        <v>0.21899921136912237</v>
      </c>
    </row>
    <row r="233" spans="1:10" ht="15">
      <c r="A233">
        <v>2</v>
      </c>
      <c r="B233" t="s">
        <v>111</v>
      </c>
      <c r="C233" t="s">
        <v>12</v>
      </c>
      <c r="D233" t="s">
        <v>119</v>
      </c>
      <c r="E233" s="79">
        <v>0.03</v>
      </c>
      <c r="F233" s="7">
        <v>381.6851075789445</v>
      </c>
      <c r="G233" s="7">
        <v>396.97580997776134</v>
      </c>
      <c r="H233" s="7">
        <v>778.66091755670584</v>
      </c>
      <c r="I233" s="7">
        <v>0.16938182336979987</v>
      </c>
      <c r="J233" s="7">
        <v>0.16938182336979987</v>
      </c>
    </row>
    <row r="234" spans="1:10" ht="15">
      <c r="A234">
        <v>2</v>
      </c>
      <c r="B234" t="s">
        <v>111</v>
      </c>
      <c r="C234" t="s">
        <v>13</v>
      </c>
      <c r="D234" t="s">
        <v>119</v>
      </c>
      <c r="E234" s="79">
        <v>0.03</v>
      </c>
      <c r="F234" s="7">
        <v>1853.243031416828</v>
      </c>
      <c r="G234" s="7">
        <v>150.5033883756731</v>
      </c>
      <c r="H234" s="7">
        <v>2003.746419792501</v>
      </c>
      <c r="I234" s="7">
        <v>0.44916044071208566</v>
      </c>
      <c r="J234" s="7">
        <v>0.44916044071208566</v>
      </c>
    </row>
    <row r="235" spans="1:10" ht="15">
      <c r="A235">
        <v>2</v>
      </c>
      <c r="B235" t="s">
        <v>111</v>
      </c>
      <c r="C235" t="s">
        <v>14</v>
      </c>
      <c r="D235" t="s">
        <v>119</v>
      </c>
      <c r="E235" s="79">
        <v>0.03</v>
      </c>
      <c r="F235" s="7">
        <v>1234.8096353811716</v>
      </c>
      <c r="G235" s="7">
        <v>1056.8231408549241</v>
      </c>
      <c r="H235" s="7">
        <v>2291.6327762360957</v>
      </c>
      <c r="I235" s="7">
        <v>0.51788444600830175</v>
      </c>
      <c r="J235" s="7">
        <v>0.51788444600830175</v>
      </c>
    </row>
    <row r="236" spans="1:10" ht="15">
      <c r="A236">
        <v>2</v>
      </c>
      <c r="B236" t="s">
        <v>111</v>
      </c>
      <c r="C236" t="s">
        <v>125</v>
      </c>
      <c r="D236" t="s">
        <v>119</v>
      </c>
      <c r="E236" s="79">
        <v>7.0000000000000007E-2</v>
      </c>
      <c r="F236" s="7">
        <v>166.54704155921343</v>
      </c>
      <c r="G236" s="7">
        <v>158.54547697717084</v>
      </c>
      <c r="H236" s="7">
        <v>325.09251853638426</v>
      </c>
      <c r="I236" s="7">
        <v>0.21190097795132057</v>
      </c>
      <c r="J236" s="7">
        <v>0.21190097795132057</v>
      </c>
    </row>
    <row r="237" spans="1:10" ht="15">
      <c r="A237">
        <v>2</v>
      </c>
      <c r="B237" t="s">
        <v>111</v>
      </c>
      <c r="C237" t="s">
        <v>9</v>
      </c>
      <c r="D237" t="s">
        <v>119</v>
      </c>
      <c r="E237" s="79">
        <v>7.0000000000000007E-2</v>
      </c>
      <c r="F237" s="7">
        <v>663.81165908967</v>
      </c>
      <c r="G237" s="7">
        <v>152.47378381866812</v>
      </c>
      <c r="H237" s="7">
        <v>816.28544290833815</v>
      </c>
      <c r="I237" s="7">
        <v>0.48869344573445073</v>
      </c>
      <c r="J237" s="7">
        <v>0.48869344573445073</v>
      </c>
    </row>
    <row r="238" spans="1:10" ht="15">
      <c r="A238">
        <v>2</v>
      </c>
      <c r="B238" t="s">
        <v>111</v>
      </c>
      <c r="C238" t="s">
        <v>10</v>
      </c>
      <c r="D238" t="s">
        <v>119</v>
      </c>
      <c r="E238" s="79">
        <v>7.0000000000000007E-2</v>
      </c>
      <c r="F238" s="7">
        <v>513.30494745631631</v>
      </c>
      <c r="G238" s="7">
        <v>608.1533724313465</v>
      </c>
      <c r="H238" s="7">
        <v>1121.4583198876628</v>
      </c>
      <c r="I238" s="7">
        <v>0.6149666003971398</v>
      </c>
      <c r="J238" s="7">
        <v>0.6149666003971398</v>
      </c>
    </row>
    <row r="239" spans="1:10" ht="15">
      <c r="A239">
        <v>2</v>
      </c>
      <c r="B239" t="s">
        <v>111</v>
      </c>
      <c r="C239" t="s">
        <v>11</v>
      </c>
      <c r="D239" t="s">
        <v>119</v>
      </c>
      <c r="E239" s="79">
        <v>7.0000000000000007E-2</v>
      </c>
      <c r="F239" s="7">
        <v>205.1273771407439</v>
      </c>
      <c r="G239" s="7">
        <v>210.89940812196144</v>
      </c>
      <c r="H239" s="7">
        <v>416.02678526270535</v>
      </c>
      <c r="I239" s="7">
        <v>0.21899921136912237</v>
      </c>
      <c r="J239" s="7">
        <v>0.21899921136912237</v>
      </c>
    </row>
    <row r="240" spans="1:10" ht="15">
      <c r="A240">
        <v>2</v>
      </c>
      <c r="B240" t="s">
        <v>111</v>
      </c>
      <c r="C240" t="s">
        <v>12</v>
      </c>
      <c r="D240" t="s">
        <v>119</v>
      </c>
      <c r="E240" s="79">
        <v>7.0000000000000007E-2</v>
      </c>
      <c r="F240" s="7">
        <v>69.271448278121284</v>
      </c>
      <c r="G240" s="7">
        <v>194.96573766627182</v>
      </c>
      <c r="H240" s="7">
        <v>264.2371859443931</v>
      </c>
      <c r="I240" s="7">
        <v>0.16938182336979987</v>
      </c>
      <c r="J240" s="7">
        <v>0.16938182336979987</v>
      </c>
    </row>
    <row r="241" spans="1:10" ht="15">
      <c r="A241">
        <v>2</v>
      </c>
      <c r="B241" t="s">
        <v>111</v>
      </c>
      <c r="C241" t="s">
        <v>13</v>
      </c>
      <c r="D241" t="s">
        <v>119</v>
      </c>
      <c r="E241" s="79">
        <v>7.0000000000000007E-2</v>
      </c>
      <c r="F241" s="7">
        <v>581.42883528454672</v>
      </c>
      <c r="G241" s="7">
        <v>73.916353083529913</v>
      </c>
      <c r="H241" s="7">
        <v>655.34518836807661</v>
      </c>
      <c r="I241" s="7">
        <v>0.44916044071208566</v>
      </c>
      <c r="J241" s="7">
        <v>0.44916044071208566</v>
      </c>
    </row>
    <row r="242" spans="1:10" ht="15">
      <c r="A242">
        <v>2</v>
      </c>
      <c r="B242" t="s">
        <v>111</v>
      </c>
      <c r="C242" t="s">
        <v>14</v>
      </c>
      <c r="D242" t="s">
        <v>119</v>
      </c>
      <c r="E242" s="79">
        <v>7.0000000000000007E-2</v>
      </c>
      <c r="F242" s="7">
        <v>234.08472696557942</v>
      </c>
      <c r="G242" s="7">
        <v>519.03490857820577</v>
      </c>
      <c r="H242" s="7">
        <v>753.11963554378519</v>
      </c>
      <c r="I242" s="7">
        <v>0.51788444600830175</v>
      </c>
      <c r="J242" s="7">
        <v>0.51788444600830175</v>
      </c>
    </row>
    <row r="243" spans="1:10" ht="15">
      <c r="A243">
        <v>2</v>
      </c>
      <c r="B243" t="s">
        <v>111</v>
      </c>
      <c r="C243" t="s">
        <v>125</v>
      </c>
      <c r="D243" t="s">
        <v>120</v>
      </c>
      <c r="E243" s="79">
        <v>0.03</v>
      </c>
      <c r="F243" s="7">
        <v>935.22974903332943</v>
      </c>
      <c r="G243" s="7">
        <v>383.05153389915927</v>
      </c>
      <c r="H243" s="7">
        <v>1318.2812829324887</v>
      </c>
      <c r="I243" s="7">
        <v>0.25212154881410359</v>
      </c>
      <c r="J243" s="7">
        <v>0.25212154881410359</v>
      </c>
    </row>
    <row r="244" spans="1:10" ht="15">
      <c r="A244">
        <v>2</v>
      </c>
      <c r="B244" t="s">
        <v>111</v>
      </c>
      <c r="C244" t="s">
        <v>9</v>
      </c>
      <c r="D244" t="s">
        <v>120</v>
      </c>
      <c r="E244" s="79">
        <v>0.03</v>
      </c>
      <c r="F244" s="7">
        <v>2785.5480836031702</v>
      </c>
      <c r="G244" s="7">
        <v>368.38210641328737</v>
      </c>
      <c r="H244" s="7">
        <v>3153.9301900164573</v>
      </c>
      <c r="I244" s="7">
        <v>0.58144648536539945</v>
      </c>
      <c r="J244" s="7">
        <v>0.58144648536539945</v>
      </c>
    </row>
    <row r="245" spans="1:10" ht="15">
      <c r="A245">
        <v>2</v>
      </c>
      <c r="B245" t="s">
        <v>111</v>
      </c>
      <c r="C245" t="s">
        <v>10</v>
      </c>
      <c r="D245" t="s">
        <v>120</v>
      </c>
      <c r="E245" s="79">
        <v>0.03</v>
      </c>
      <c r="F245" s="7">
        <v>2641.6136625940176</v>
      </c>
      <c r="G245" s="7">
        <v>1469.3202644268254</v>
      </c>
      <c r="H245" s="7">
        <v>4110.9339270208429</v>
      </c>
      <c r="I245" s="7">
        <v>0.73167272756864332</v>
      </c>
      <c r="J245" s="7">
        <v>0.73167272756864332</v>
      </c>
    </row>
    <row r="246" spans="1:10" ht="15">
      <c r="A246">
        <v>2</v>
      </c>
      <c r="B246" t="s">
        <v>111</v>
      </c>
      <c r="C246" t="s">
        <v>11</v>
      </c>
      <c r="D246" t="s">
        <v>120</v>
      </c>
      <c r="E246" s="79">
        <v>0.03</v>
      </c>
      <c r="F246" s="7">
        <v>981.70243992065912</v>
      </c>
      <c r="G246" s="7">
        <v>509.54050105872051</v>
      </c>
      <c r="H246" s="7">
        <v>1491.2429409793797</v>
      </c>
      <c r="I246" s="7">
        <v>0.26055764807099963</v>
      </c>
      <c r="J246" s="7">
        <v>0.26055764807099963</v>
      </c>
    </row>
    <row r="247" spans="1:10" ht="15">
      <c r="A247">
        <v>2</v>
      </c>
      <c r="B247" t="s">
        <v>111</v>
      </c>
      <c r="C247" t="s">
        <v>12</v>
      </c>
      <c r="D247" t="s">
        <v>120</v>
      </c>
      <c r="E247" s="79">
        <v>0.03</v>
      </c>
      <c r="F247" s="7">
        <v>587.67720889827979</v>
      </c>
      <c r="G247" s="7">
        <v>471.04418426014126</v>
      </c>
      <c r="H247" s="7">
        <v>1058.7213931584211</v>
      </c>
      <c r="I247" s="7">
        <v>0.20153214563095453</v>
      </c>
      <c r="J247" s="7">
        <v>0.20153214563095453</v>
      </c>
    </row>
    <row r="248" spans="1:10" ht="15">
      <c r="A248">
        <v>2</v>
      </c>
      <c r="B248" t="s">
        <v>111</v>
      </c>
      <c r="C248" t="s">
        <v>13</v>
      </c>
      <c r="D248" t="s">
        <v>120</v>
      </c>
      <c r="E248" s="79">
        <v>0.03</v>
      </c>
      <c r="F248" s="7">
        <v>2558.7354586855758</v>
      </c>
      <c r="G248" s="7">
        <v>178.58454853905988</v>
      </c>
      <c r="H248" s="7">
        <v>2737.3200072246359</v>
      </c>
      <c r="I248" s="7">
        <v>0.53441851648263716</v>
      </c>
      <c r="J248" s="7">
        <v>0.53441851648263716</v>
      </c>
    </row>
    <row r="249" spans="1:10" ht="15">
      <c r="A249">
        <v>2</v>
      </c>
      <c r="B249" t="s">
        <v>111</v>
      </c>
      <c r="C249" t="s">
        <v>14</v>
      </c>
      <c r="D249" t="s">
        <v>120</v>
      </c>
      <c r="E249" s="79">
        <v>0.03</v>
      </c>
      <c r="F249" s="7">
        <v>1874.7755827947483</v>
      </c>
      <c r="G249" s="7">
        <v>1254.0068734141153</v>
      </c>
      <c r="H249" s="7">
        <v>3128.7824562088636</v>
      </c>
      <c r="I249" s="7">
        <v>0.61618845045249437</v>
      </c>
      <c r="J249" s="7">
        <v>0.61618845045249437</v>
      </c>
    </row>
    <row r="250" spans="1:10" ht="15">
      <c r="A250">
        <v>2</v>
      </c>
      <c r="B250" t="s">
        <v>111</v>
      </c>
      <c r="C250" t="s">
        <v>125</v>
      </c>
      <c r="D250" t="s">
        <v>120</v>
      </c>
      <c r="E250" s="79">
        <v>7.0000000000000007E-2</v>
      </c>
      <c r="F250" s="7">
        <v>243.58969769124619</v>
      </c>
      <c r="G250" s="7">
        <v>186.42091693459938</v>
      </c>
      <c r="H250" s="7">
        <v>430.01061462584556</v>
      </c>
      <c r="I250" s="7">
        <v>0.25212154881410359</v>
      </c>
      <c r="J250" s="7">
        <v>0.25212154881410359</v>
      </c>
    </row>
    <row r="251" spans="1:10" ht="15">
      <c r="A251">
        <v>2</v>
      </c>
      <c r="B251" t="s">
        <v>111</v>
      </c>
      <c r="C251" t="s">
        <v>9</v>
      </c>
      <c r="D251" t="s">
        <v>120</v>
      </c>
      <c r="E251" s="79">
        <v>7.0000000000000007E-2</v>
      </c>
      <c r="F251" s="7">
        <v>897.77508994921004</v>
      </c>
      <c r="G251" s="7">
        <v>179.28169967319101</v>
      </c>
      <c r="H251" s="7">
        <v>1077.0567896224011</v>
      </c>
      <c r="I251" s="7">
        <v>0.58144648536539945</v>
      </c>
      <c r="J251" s="7">
        <v>0.58144648536539945</v>
      </c>
    </row>
    <row r="252" spans="1:10" ht="15">
      <c r="A252">
        <v>2</v>
      </c>
      <c r="B252" t="s">
        <v>111</v>
      </c>
      <c r="C252" t="s">
        <v>10</v>
      </c>
      <c r="D252" t="s">
        <v>120</v>
      </c>
      <c r="E252" s="79">
        <v>7.0000000000000007E-2</v>
      </c>
      <c r="F252" s="7">
        <v>759.84644202065931</v>
      </c>
      <c r="G252" s="7">
        <v>715.07879938981239</v>
      </c>
      <c r="H252" s="7">
        <v>1474.9252414104717</v>
      </c>
      <c r="I252" s="7">
        <v>0.73167272756864332</v>
      </c>
      <c r="J252" s="7">
        <v>0.73167272756864332</v>
      </c>
    </row>
    <row r="253" spans="1:10" ht="15">
      <c r="A253">
        <v>2</v>
      </c>
      <c r="B253" t="s">
        <v>111</v>
      </c>
      <c r="C253" t="s">
        <v>11</v>
      </c>
      <c r="D253" t="s">
        <v>120</v>
      </c>
      <c r="E253" s="79">
        <v>7.0000000000000007E-2</v>
      </c>
      <c r="F253" s="7">
        <v>298.43369067570904</v>
      </c>
      <c r="G253" s="7">
        <v>247.97970773219367</v>
      </c>
      <c r="H253" s="7">
        <v>546.41339840790272</v>
      </c>
      <c r="I253" s="7">
        <v>0.26055764807099963</v>
      </c>
      <c r="J253" s="7">
        <v>0.26055764807099963</v>
      </c>
    </row>
    <row r="254" spans="1:10" ht="15">
      <c r="A254">
        <v>2</v>
      </c>
      <c r="B254" t="s">
        <v>111</v>
      </c>
      <c r="C254" t="s">
        <v>12</v>
      </c>
      <c r="D254" t="s">
        <v>120</v>
      </c>
      <c r="E254" s="79">
        <v>7.0000000000000007E-2</v>
      </c>
      <c r="F254" s="7">
        <v>120.14600073323152</v>
      </c>
      <c r="G254" s="7">
        <v>229.24458193033399</v>
      </c>
      <c r="H254" s="7">
        <v>349.39058266356551</v>
      </c>
      <c r="I254" s="7">
        <v>0.20153214563095453</v>
      </c>
      <c r="J254" s="7">
        <v>0.20153214563095453</v>
      </c>
    </row>
    <row r="255" spans="1:10" ht="15">
      <c r="A255">
        <v>2</v>
      </c>
      <c r="B255" t="s">
        <v>111</v>
      </c>
      <c r="C255" t="s">
        <v>13</v>
      </c>
      <c r="D255" t="s">
        <v>120</v>
      </c>
      <c r="E255" s="79">
        <v>7.0000000000000007E-2</v>
      </c>
      <c r="F255" s="7">
        <v>781.46496765691472</v>
      </c>
      <c r="G255" s="7">
        <v>86.912314252127032</v>
      </c>
      <c r="H255" s="7">
        <v>868.3772819090417</v>
      </c>
      <c r="I255" s="7">
        <v>0.53441851648263716</v>
      </c>
      <c r="J255" s="7">
        <v>0.53441851648263716</v>
      </c>
    </row>
    <row r="256" spans="1:10" ht="15">
      <c r="A256">
        <v>2</v>
      </c>
      <c r="B256" t="s">
        <v>111</v>
      </c>
      <c r="C256" t="s">
        <v>14</v>
      </c>
      <c r="D256" t="s">
        <v>120</v>
      </c>
      <c r="E256" s="79">
        <v>7.0000000000000007E-2</v>
      </c>
      <c r="F256" s="7">
        <v>387.35743326089766</v>
      </c>
      <c r="G256" s="7">
        <v>610.29154172684116</v>
      </c>
      <c r="H256" s="7">
        <v>997.64897498773882</v>
      </c>
      <c r="I256" s="7">
        <v>0.61618845045249437</v>
      </c>
      <c r="J256" s="7">
        <v>0.61618845045249437</v>
      </c>
    </row>
    <row r="257" spans="1:10" ht="15">
      <c r="A257">
        <v>3</v>
      </c>
      <c r="B257" t="s">
        <v>110</v>
      </c>
      <c r="C257" t="s">
        <v>125</v>
      </c>
      <c r="D257" t="s">
        <v>39</v>
      </c>
      <c r="E257" s="79">
        <v>0.03</v>
      </c>
      <c r="F257" s="7">
        <v>1195.997892751479</v>
      </c>
      <c r="G257" s="7">
        <v>293.31491204786948</v>
      </c>
      <c r="H257" s="7">
        <v>1489.3128047993484</v>
      </c>
      <c r="I257" s="7">
        <v>0.30609451611144473</v>
      </c>
      <c r="J257" s="7">
        <v>0.30609451611144473</v>
      </c>
    </row>
    <row r="258" spans="1:10" ht="15">
      <c r="A258">
        <v>3</v>
      </c>
      <c r="B258" t="s">
        <v>110</v>
      </c>
      <c r="C258" t="s">
        <v>9</v>
      </c>
      <c r="D258" t="s">
        <v>39</v>
      </c>
      <c r="E258" s="79">
        <v>0.03</v>
      </c>
      <c r="F258" s="7">
        <v>3294.6543550282831</v>
      </c>
      <c r="G258" s="7">
        <v>327.28413406939285</v>
      </c>
      <c r="H258" s="7">
        <v>3621.9384890976758</v>
      </c>
      <c r="I258" s="7">
        <v>0.71507948004505717</v>
      </c>
      <c r="J258" s="7">
        <v>0.71507948004505717</v>
      </c>
    </row>
    <row r="259" spans="1:10" ht="15">
      <c r="A259">
        <v>3</v>
      </c>
      <c r="B259" t="s">
        <v>110</v>
      </c>
      <c r="C259" t="s">
        <v>10</v>
      </c>
      <c r="D259" t="s">
        <v>39</v>
      </c>
      <c r="E259" s="79">
        <v>0.03</v>
      </c>
      <c r="F259" s="7">
        <v>4160.624117882031</v>
      </c>
      <c r="G259" s="7">
        <v>1069.2955307709744</v>
      </c>
      <c r="H259" s="7">
        <v>5229.9196486530054</v>
      </c>
      <c r="I259" s="7">
        <v>0.99354231338365995</v>
      </c>
      <c r="J259" s="7">
        <v>0.99354231338365995</v>
      </c>
    </row>
    <row r="260" spans="1:10" ht="15">
      <c r="A260">
        <v>3</v>
      </c>
      <c r="B260" t="s">
        <v>110</v>
      </c>
      <c r="C260" t="s">
        <v>11</v>
      </c>
      <c r="D260" t="s">
        <v>39</v>
      </c>
      <c r="E260" s="79">
        <v>0.03</v>
      </c>
      <c r="F260" s="7">
        <v>1461.7684896073217</v>
      </c>
      <c r="G260" s="7">
        <v>393.66060996339161</v>
      </c>
      <c r="H260" s="7">
        <v>1855.4290995707133</v>
      </c>
      <c r="I260" s="7">
        <v>0.34553236028685302</v>
      </c>
      <c r="J260" s="7">
        <v>0.34553236028685302</v>
      </c>
    </row>
    <row r="261" spans="1:10" ht="15">
      <c r="A261">
        <v>3</v>
      </c>
      <c r="B261" t="s">
        <v>110</v>
      </c>
      <c r="C261" t="s">
        <v>12</v>
      </c>
      <c r="D261" t="s">
        <v>39</v>
      </c>
      <c r="E261" s="79">
        <v>0.03</v>
      </c>
      <c r="F261" s="7">
        <v>905.12309932931635</v>
      </c>
      <c r="G261" s="7">
        <v>361.32730707586893</v>
      </c>
      <c r="H261" s="7">
        <v>1266.4504064051853</v>
      </c>
      <c r="I261" s="7">
        <v>0.25877874709577608</v>
      </c>
      <c r="J261" s="7">
        <v>0.25877874709577608</v>
      </c>
    </row>
    <row r="262" spans="1:10" ht="15">
      <c r="A262">
        <v>3</v>
      </c>
      <c r="B262" t="s">
        <v>110</v>
      </c>
      <c r="C262" t="s">
        <v>13</v>
      </c>
      <c r="D262" t="s">
        <v>39</v>
      </c>
      <c r="E262" s="79">
        <v>0.03</v>
      </c>
      <c r="F262" s="7">
        <v>3144.6816718081432</v>
      </c>
      <c r="G262" s="7">
        <v>173.91848683528997</v>
      </c>
      <c r="H262" s="7">
        <v>3318.6001586434331</v>
      </c>
      <c r="I262" s="7">
        <v>0.69759162813543685</v>
      </c>
      <c r="J262" s="7">
        <v>0.69759162813543685</v>
      </c>
    </row>
    <row r="263" spans="1:10" ht="15">
      <c r="A263">
        <v>3</v>
      </c>
      <c r="B263" t="s">
        <v>110</v>
      </c>
      <c r="C263" t="s">
        <v>14</v>
      </c>
      <c r="D263" t="s">
        <v>39</v>
      </c>
      <c r="E263" s="79">
        <v>0.03</v>
      </c>
      <c r="F263" s="7">
        <v>2346.1926326886828</v>
      </c>
      <c r="G263" s="7">
        <v>936.5522996930066</v>
      </c>
      <c r="H263" s="7">
        <v>3282.7449323816895</v>
      </c>
      <c r="I263" s="7">
        <v>0.69583162471255633</v>
      </c>
      <c r="J263" s="7">
        <v>0.69583162471255633</v>
      </c>
    </row>
    <row r="264" spans="1:10" ht="15">
      <c r="A264">
        <v>3</v>
      </c>
      <c r="B264" t="s">
        <v>110</v>
      </c>
      <c r="C264" t="s">
        <v>125</v>
      </c>
      <c r="D264" t="s">
        <v>39</v>
      </c>
      <c r="E264" s="79">
        <v>7.0000000000000007E-2</v>
      </c>
      <c r="F264" s="7">
        <v>343.13108766746006</v>
      </c>
      <c r="G264" s="7">
        <v>150.76887876978779</v>
      </c>
      <c r="H264" s="7">
        <v>493.89996643724783</v>
      </c>
      <c r="I264" s="7">
        <v>0.30609451611144473</v>
      </c>
      <c r="J264" s="7">
        <v>0.30609451611144473</v>
      </c>
    </row>
    <row r="265" spans="1:10" ht="15">
      <c r="A265">
        <v>3</v>
      </c>
      <c r="B265" t="s">
        <v>110</v>
      </c>
      <c r="C265" t="s">
        <v>9</v>
      </c>
      <c r="D265" t="s">
        <v>39</v>
      </c>
      <c r="E265" s="79">
        <v>7.0000000000000007E-2</v>
      </c>
      <c r="F265" s="7">
        <v>1086.8943526841663</v>
      </c>
      <c r="G265" s="7">
        <v>168.22963956476295</v>
      </c>
      <c r="H265" s="7">
        <v>1255.1239922489292</v>
      </c>
      <c r="I265" s="7">
        <v>0.71507948004505717</v>
      </c>
      <c r="J265" s="7">
        <v>0.71507948004505717</v>
      </c>
    </row>
    <row r="266" spans="1:10" ht="15">
      <c r="A266">
        <v>3</v>
      </c>
      <c r="B266" t="s">
        <v>110</v>
      </c>
      <c r="C266" t="s">
        <v>10</v>
      </c>
      <c r="D266" t="s">
        <v>39</v>
      </c>
      <c r="E266" s="79">
        <v>7.0000000000000007E-2</v>
      </c>
      <c r="F266" s="7">
        <v>1352.0566918489883</v>
      </c>
      <c r="G266" s="7">
        <v>549.63618154393089</v>
      </c>
      <c r="H266" s="7">
        <v>1901.6928733929192</v>
      </c>
      <c r="I266" s="7">
        <v>0.99354231338365995</v>
      </c>
      <c r="J266" s="7">
        <v>0.99354231338365995</v>
      </c>
    </row>
    <row r="267" spans="1:10" ht="15">
      <c r="A267">
        <v>3</v>
      </c>
      <c r="B267" t="s">
        <v>110</v>
      </c>
      <c r="C267" t="s">
        <v>11</v>
      </c>
      <c r="D267" t="s">
        <v>39</v>
      </c>
      <c r="E267" s="79">
        <v>7.0000000000000007E-2</v>
      </c>
      <c r="F267" s="7">
        <v>486.27341036422342</v>
      </c>
      <c r="G267" s="7">
        <v>202.34828282554204</v>
      </c>
      <c r="H267" s="7">
        <v>688.62169318976544</v>
      </c>
      <c r="I267" s="7">
        <v>0.34553236028685302</v>
      </c>
      <c r="J267" s="7">
        <v>0.34553236028685302</v>
      </c>
    </row>
    <row r="268" spans="1:10" ht="15">
      <c r="A268">
        <v>3</v>
      </c>
      <c r="B268" t="s">
        <v>110</v>
      </c>
      <c r="C268" t="s">
        <v>12</v>
      </c>
      <c r="D268" t="s">
        <v>39</v>
      </c>
      <c r="E268" s="79">
        <v>7.0000000000000007E-2</v>
      </c>
      <c r="F268" s="7">
        <v>238.80448516952774</v>
      </c>
      <c r="G268" s="7">
        <v>185.72841243013531</v>
      </c>
      <c r="H268" s="7">
        <v>424.53289759966304</v>
      </c>
      <c r="I268" s="7">
        <v>0.25877874709577608</v>
      </c>
      <c r="J268" s="7">
        <v>0.25877874709577608</v>
      </c>
    </row>
    <row r="269" spans="1:10" ht="15">
      <c r="A269">
        <v>3</v>
      </c>
      <c r="B269" t="s">
        <v>110</v>
      </c>
      <c r="C269" t="s">
        <v>13</v>
      </c>
      <c r="D269" t="s">
        <v>39</v>
      </c>
      <c r="E269" s="79">
        <v>7.0000000000000007E-2</v>
      </c>
      <c r="F269" s="7">
        <v>981.76142795469195</v>
      </c>
      <c r="G269" s="7">
        <v>89.397075226831205</v>
      </c>
      <c r="H269" s="7">
        <v>1071.1585031815232</v>
      </c>
      <c r="I269" s="7">
        <v>0.69759162813543685</v>
      </c>
      <c r="J269" s="7">
        <v>0.69759162813543685</v>
      </c>
    </row>
    <row r="270" spans="1:10" ht="15">
      <c r="A270">
        <v>3</v>
      </c>
      <c r="B270" t="s">
        <v>110</v>
      </c>
      <c r="C270" t="s">
        <v>14</v>
      </c>
      <c r="D270" t="s">
        <v>39</v>
      </c>
      <c r="E270" s="79">
        <v>7.0000000000000007E-2</v>
      </c>
      <c r="F270" s="7">
        <v>583.41072126171071</v>
      </c>
      <c r="G270" s="7">
        <v>481.40389163349528</v>
      </c>
      <c r="H270" s="7">
        <v>1064.814612895206</v>
      </c>
      <c r="I270" s="7">
        <v>0.69583162471255633</v>
      </c>
      <c r="J270" s="7">
        <v>0.69583162471255633</v>
      </c>
    </row>
    <row r="271" spans="1:10" ht="15">
      <c r="A271">
        <v>3</v>
      </c>
      <c r="B271" t="s">
        <v>110</v>
      </c>
      <c r="C271" t="s">
        <v>125</v>
      </c>
      <c r="D271" t="s">
        <v>119</v>
      </c>
      <c r="E271" s="79">
        <v>0.03</v>
      </c>
      <c r="F271" s="7">
        <v>1014.2286326260121</v>
      </c>
      <c r="G271" s="7">
        <v>270.79359099611355</v>
      </c>
      <c r="H271" s="7">
        <v>1285.0222236221257</v>
      </c>
      <c r="I271" s="7">
        <v>0.28133759858140028</v>
      </c>
      <c r="J271" s="7">
        <v>0.28133759858140028</v>
      </c>
    </row>
    <row r="272" spans="1:10" ht="15">
      <c r="A272">
        <v>3</v>
      </c>
      <c r="B272" t="s">
        <v>110</v>
      </c>
      <c r="C272" t="s">
        <v>9</v>
      </c>
      <c r="D272" t="s">
        <v>119</v>
      </c>
      <c r="E272" s="79">
        <v>0.03</v>
      </c>
      <c r="F272" s="7">
        <v>2829.076748157172</v>
      </c>
      <c r="G272" s="7">
        <v>302.15458642021031</v>
      </c>
      <c r="H272" s="7">
        <v>3131.2313345773823</v>
      </c>
      <c r="I272" s="7">
        <v>0.65724835401365655</v>
      </c>
      <c r="J272" s="7">
        <v>0.65724835401365655</v>
      </c>
    </row>
    <row r="273" spans="1:10" ht="15">
      <c r="A273">
        <v>3</v>
      </c>
      <c r="B273" t="s">
        <v>110</v>
      </c>
      <c r="C273" t="s">
        <v>10</v>
      </c>
      <c r="D273" t="s">
        <v>119</v>
      </c>
      <c r="E273" s="79">
        <v>0.03</v>
      </c>
      <c r="F273" s="7">
        <v>3542.6918438347911</v>
      </c>
      <c r="G273" s="7">
        <v>987.19282491273691</v>
      </c>
      <c r="H273" s="7">
        <v>4529.8846687475279</v>
      </c>
      <c r="I273" s="7">
        <v>0.9132035552024268</v>
      </c>
      <c r="J273" s="7">
        <v>0.9132035552024268</v>
      </c>
    </row>
    <row r="274" spans="1:10" ht="15">
      <c r="A274">
        <v>3</v>
      </c>
      <c r="B274" t="s">
        <v>110</v>
      </c>
      <c r="C274" t="s">
        <v>11</v>
      </c>
      <c r="D274" t="s">
        <v>119</v>
      </c>
      <c r="E274" s="79">
        <v>0.03</v>
      </c>
      <c r="F274" s="7">
        <v>1244.9553894108999</v>
      </c>
      <c r="G274" s="7">
        <v>363.43454024018331</v>
      </c>
      <c r="H274" s="7">
        <v>1608.3899296510831</v>
      </c>
      <c r="I274" s="7">
        <v>0.31759454439076523</v>
      </c>
      <c r="J274" s="7">
        <v>0.31759454439076523</v>
      </c>
    </row>
    <row r="275" spans="1:10" ht="15">
      <c r="A275">
        <v>3</v>
      </c>
      <c r="B275" t="s">
        <v>110</v>
      </c>
      <c r="C275" t="s">
        <v>12</v>
      </c>
      <c r="D275" t="s">
        <v>119</v>
      </c>
      <c r="E275" s="79">
        <v>0.03</v>
      </c>
      <c r="F275" s="7">
        <v>759.82377037533035</v>
      </c>
      <c r="G275" s="7">
        <v>333.58385472083171</v>
      </c>
      <c r="H275" s="7">
        <v>1093.4076250961621</v>
      </c>
      <c r="I275" s="7">
        <v>0.23784855904462843</v>
      </c>
      <c r="J275" s="7">
        <v>0.23784855904462843</v>
      </c>
    </row>
    <row r="276" spans="1:10" ht="15">
      <c r="A276">
        <v>3</v>
      </c>
      <c r="B276" t="s">
        <v>110</v>
      </c>
      <c r="C276" t="s">
        <v>13</v>
      </c>
      <c r="D276" t="s">
        <v>119</v>
      </c>
      <c r="E276" s="79">
        <v>0.03</v>
      </c>
      <c r="F276" s="7">
        <v>2699.7409504981824</v>
      </c>
      <c r="G276" s="7">
        <v>160.56466840339962</v>
      </c>
      <c r="H276" s="7">
        <v>2860.305618901582</v>
      </c>
      <c r="I276" s="7">
        <v>0.64116702576073803</v>
      </c>
      <c r="J276" s="7">
        <v>0.64116702576073803</v>
      </c>
    </row>
    <row r="277" spans="1:10" ht="15">
      <c r="A277">
        <v>3</v>
      </c>
      <c r="B277" t="s">
        <v>110</v>
      </c>
      <c r="C277" t="s">
        <v>14</v>
      </c>
      <c r="D277" t="s">
        <v>119</v>
      </c>
      <c r="E277" s="79">
        <v>0.03</v>
      </c>
      <c r="F277" s="7">
        <v>1965.3538854115091</v>
      </c>
      <c r="G277" s="7">
        <v>864.64189160675062</v>
      </c>
      <c r="H277" s="7">
        <v>2829.9957770182596</v>
      </c>
      <c r="I277" s="7">
        <v>0.63954871408067993</v>
      </c>
      <c r="J277" s="7">
        <v>0.63954871408067993</v>
      </c>
    </row>
    <row r="278" spans="1:10" ht="15">
      <c r="A278">
        <v>3</v>
      </c>
      <c r="B278" t="s">
        <v>110</v>
      </c>
      <c r="C278" t="s">
        <v>125</v>
      </c>
      <c r="D278" t="s">
        <v>119</v>
      </c>
      <c r="E278" s="79">
        <v>7.0000000000000007E-2</v>
      </c>
      <c r="F278" s="7">
        <v>291.71766378967897</v>
      </c>
      <c r="G278" s="7">
        <v>139.90256451722638</v>
      </c>
      <c r="H278" s="7">
        <v>431.62022830690535</v>
      </c>
      <c r="I278" s="7">
        <v>0.28133759858140028</v>
      </c>
      <c r="J278" s="7">
        <v>0.28133759858140028</v>
      </c>
    </row>
    <row r="279" spans="1:10" ht="15">
      <c r="A279">
        <v>3</v>
      </c>
      <c r="B279" t="s">
        <v>110</v>
      </c>
      <c r="C279" t="s">
        <v>9</v>
      </c>
      <c r="D279" t="s">
        <v>119</v>
      </c>
      <c r="E279" s="79">
        <v>7.0000000000000007E-2</v>
      </c>
      <c r="F279" s="7">
        <v>941.72499177105396</v>
      </c>
      <c r="G279" s="7">
        <v>156.10488182283467</v>
      </c>
      <c r="H279" s="7">
        <v>1097.8298735938886</v>
      </c>
      <c r="I279" s="7">
        <v>0.65724835401365655</v>
      </c>
      <c r="J279" s="7">
        <v>0.65724835401365655</v>
      </c>
    </row>
    <row r="280" spans="1:10" ht="15">
      <c r="A280">
        <v>3</v>
      </c>
      <c r="B280" t="s">
        <v>110</v>
      </c>
      <c r="C280" t="s">
        <v>10</v>
      </c>
      <c r="D280" t="s">
        <v>119</v>
      </c>
      <c r="E280" s="79">
        <v>7.0000000000000007E-2</v>
      </c>
      <c r="F280" s="7">
        <v>1155.3033262848039</v>
      </c>
      <c r="G280" s="7">
        <v>510.02243949074608</v>
      </c>
      <c r="H280" s="7">
        <v>1665.3257657755501</v>
      </c>
      <c r="I280" s="7">
        <v>0.9132035552024268</v>
      </c>
      <c r="J280" s="7">
        <v>0.9132035552024268</v>
      </c>
    </row>
    <row r="281" spans="1:10" ht="15">
      <c r="A281">
        <v>3</v>
      </c>
      <c r="B281" t="s">
        <v>110</v>
      </c>
      <c r="C281" t="s">
        <v>11</v>
      </c>
      <c r="D281" t="s">
        <v>119</v>
      </c>
      <c r="E281" s="79">
        <v>7.0000000000000007E-2</v>
      </c>
      <c r="F281" s="7">
        <v>415.5611270075625</v>
      </c>
      <c r="G281" s="7">
        <v>187.76450368232861</v>
      </c>
      <c r="H281" s="7">
        <v>603.32563068989111</v>
      </c>
      <c r="I281" s="7">
        <v>0.31759454439076523</v>
      </c>
      <c r="J281" s="7">
        <v>0.31759454439076523</v>
      </c>
    </row>
    <row r="282" spans="1:10" ht="15">
      <c r="A282">
        <v>3</v>
      </c>
      <c r="B282" t="s">
        <v>110</v>
      </c>
      <c r="C282" t="s">
        <v>12</v>
      </c>
      <c r="D282" t="s">
        <v>119</v>
      </c>
      <c r="E282" s="79">
        <v>7.0000000000000007E-2</v>
      </c>
      <c r="F282" s="7">
        <v>198.70344512227553</v>
      </c>
      <c r="G282" s="7">
        <v>172.34247156778548</v>
      </c>
      <c r="H282" s="7">
        <v>371.04591669006101</v>
      </c>
      <c r="I282" s="7">
        <v>0.23784855904462843</v>
      </c>
      <c r="J282" s="7">
        <v>0.23784855904462843</v>
      </c>
    </row>
    <row r="283" spans="1:10" ht="15">
      <c r="A283">
        <v>3</v>
      </c>
      <c r="B283" t="s">
        <v>110</v>
      </c>
      <c r="C283" t="s">
        <v>13</v>
      </c>
      <c r="D283" t="s">
        <v>119</v>
      </c>
      <c r="E283" s="79">
        <v>7.0000000000000007E-2</v>
      </c>
      <c r="F283" s="7">
        <v>852.53740042280663</v>
      </c>
      <c r="G283" s="7">
        <v>82.953990151177806</v>
      </c>
      <c r="H283" s="7">
        <v>935.4913905739844</v>
      </c>
      <c r="I283" s="7">
        <v>0.64116702576073803</v>
      </c>
      <c r="J283" s="7">
        <v>0.64116702576073803</v>
      </c>
    </row>
    <row r="284" spans="1:10" ht="15">
      <c r="A284">
        <v>3</v>
      </c>
      <c r="B284" t="s">
        <v>110</v>
      </c>
      <c r="C284" t="s">
        <v>14</v>
      </c>
      <c r="D284" t="s">
        <v>119</v>
      </c>
      <c r="E284" s="79">
        <v>7.0000000000000007E-2</v>
      </c>
      <c r="F284" s="7">
        <v>483.33881843867317</v>
      </c>
      <c r="G284" s="7">
        <v>446.70783226382258</v>
      </c>
      <c r="H284" s="7">
        <v>930.04665070249575</v>
      </c>
      <c r="I284" s="7">
        <v>0.63954871408067993</v>
      </c>
      <c r="J284" s="7">
        <v>0.63954871408067993</v>
      </c>
    </row>
    <row r="285" spans="1:10" ht="15">
      <c r="A285">
        <v>3</v>
      </c>
      <c r="B285" t="s">
        <v>110</v>
      </c>
      <c r="C285" t="s">
        <v>125</v>
      </c>
      <c r="D285" t="s">
        <v>120</v>
      </c>
      <c r="E285" s="79">
        <v>0.03</v>
      </c>
      <c r="F285" s="7">
        <v>1430.4442634382485</v>
      </c>
      <c r="G285" s="7">
        <v>319.81708023631711</v>
      </c>
      <c r="H285" s="7">
        <v>1750.2613436745655</v>
      </c>
      <c r="I285" s="7">
        <v>0.33473781848367856</v>
      </c>
      <c r="J285" s="7">
        <v>0.33473781848367856</v>
      </c>
    </row>
    <row r="286" spans="1:10" ht="15">
      <c r="A286">
        <v>3</v>
      </c>
      <c r="B286" t="s">
        <v>110</v>
      </c>
      <c r="C286" t="s">
        <v>9</v>
      </c>
      <c r="D286" t="s">
        <v>120</v>
      </c>
      <c r="E286" s="79">
        <v>0.03</v>
      </c>
      <c r="F286" s="7">
        <v>3884.8944488672319</v>
      </c>
      <c r="G286" s="7">
        <v>356.85555649029578</v>
      </c>
      <c r="H286" s="7">
        <v>4241.7500053575277</v>
      </c>
      <c r="I286" s="7">
        <v>0.78199277847710724</v>
      </c>
      <c r="J286" s="7">
        <v>0.78199277847710724</v>
      </c>
    </row>
    <row r="287" spans="1:10" ht="15">
      <c r="A287">
        <v>3</v>
      </c>
      <c r="B287" t="s">
        <v>110</v>
      </c>
      <c r="C287" t="s">
        <v>10</v>
      </c>
      <c r="D287" t="s">
        <v>120</v>
      </c>
      <c r="E287" s="79">
        <v>0.03</v>
      </c>
      <c r="F287" s="7">
        <v>4938.6802104380267</v>
      </c>
      <c r="G287" s="7">
        <v>1165.9106322732903</v>
      </c>
      <c r="H287" s="7">
        <v>6104.5908427113172</v>
      </c>
      <c r="I287" s="7">
        <v>1.0865080081240939</v>
      </c>
      <c r="J287" s="7">
        <v>1.0865080081240939</v>
      </c>
    </row>
    <row r="288" spans="1:10" ht="15">
      <c r="A288">
        <v>3</v>
      </c>
      <c r="B288" t="s">
        <v>110</v>
      </c>
      <c r="C288" t="s">
        <v>11</v>
      </c>
      <c r="D288" t="s">
        <v>120</v>
      </c>
      <c r="E288" s="79">
        <v>0.03</v>
      </c>
      <c r="F288" s="7">
        <v>1733.3839586792494</v>
      </c>
      <c r="G288" s="7">
        <v>429.22941081833716</v>
      </c>
      <c r="H288" s="7">
        <v>2162.6133694975865</v>
      </c>
      <c r="I288" s="7">
        <v>0.37786294758459577</v>
      </c>
      <c r="J288" s="7">
        <v>0.37786294758459577</v>
      </c>
    </row>
    <row r="289" spans="1:10" ht="15">
      <c r="A289">
        <v>3</v>
      </c>
      <c r="B289" t="s">
        <v>110</v>
      </c>
      <c r="C289" t="s">
        <v>12</v>
      </c>
      <c r="D289" t="s">
        <v>120</v>
      </c>
      <c r="E289" s="79">
        <v>0.03</v>
      </c>
      <c r="F289" s="7">
        <v>1092.6981827641521</v>
      </c>
      <c r="G289" s="7">
        <v>393.97466549466191</v>
      </c>
      <c r="H289" s="7">
        <v>1486.6728482588139</v>
      </c>
      <c r="I289" s="7">
        <v>0.28299453557565851</v>
      </c>
      <c r="J289" s="7">
        <v>0.28299453557565851</v>
      </c>
    </row>
    <row r="290" spans="1:10" ht="15">
      <c r="A290">
        <v>3</v>
      </c>
      <c r="B290" t="s">
        <v>110</v>
      </c>
      <c r="C290" t="s">
        <v>13</v>
      </c>
      <c r="D290" t="s">
        <v>120</v>
      </c>
      <c r="E290" s="79">
        <v>0.03</v>
      </c>
      <c r="F290" s="7">
        <v>3717.8336805576828</v>
      </c>
      <c r="G290" s="7">
        <v>189.63271342202742</v>
      </c>
      <c r="H290" s="7">
        <v>3907.4663939797101</v>
      </c>
      <c r="I290" s="7">
        <v>0.76287112502919741</v>
      </c>
      <c r="J290" s="7">
        <v>0.76287112502919741</v>
      </c>
    </row>
    <row r="291" spans="1:10" ht="15">
      <c r="A291">
        <v>3</v>
      </c>
      <c r="B291" t="s">
        <v>110</v>
      </c>
      <c r="C291" t="s">
        <v>14</v>
      </c>
      <c r="D291" t="s">
        <v>120</v>
      </c>
      <c r="E291" s="79">
        <v>0.03</v>
      </c>
      <c r="F291" s="7">
        <v>2842.6397506372323</v>
      </c>
      <c r="G291" s="7">
        <v>1021.1735226320253</v>
      </c>
      <c r="H291" s="7">
        <v>3863.8132732692575</v>
      </c>
      <c r="I291" s="7">
        <v>0.76094683699371513</v>
      </c>
      <c r="J291" s="7">
        <v>0.76094683699371513</v>
      </c>
    </row>
    <row r="292" spans="1:10" ht="15">
      <c r="A292">
        <v>3</v>
      </c>
      <c r="B292" t="s">
        <v>110</v>
      </c>
      <c r="C292" t="s">
        <v>125</v>
      </c>
      <c r="D292" t="s">
        <v>120</v>
      </c>
      <c r="E292" s="79">
        <v>7.0000000000000007E-2</v>
      </c>
      <c r="F292" s="7">
        <v>407.04418372324631</v>
      </c>
      <c r="G292" s="7">
        <v>163.87415206253334</v>
      </c>
      <c r="H292" s="7">
        <v>570.91833578577962</v>
      </c>
      <c r="I292" s="7">
        <v>0.33473781848367856</v>
      </c>
      <c r="J292" s="7">
        <v>0.33473781848367856</v>
      </c>
    </row>
    <row r="293" spans="1:10" ht="15">
      <c r="A293">
        <v>3</v>
      </c>
      <c r="B293" t="s">
        <v>110</v>
      </c>
      <c r="C293" t="s">
        <v>9</v>
      </c>
      <c r="D293" t="s">
        <v>120</v>
      </c>
      <c r="E293" s="79">
        <v>7.0000000000000007E-2</v>
      </c>
      <c r="F293" s="7">
        <v>1265.6910263445457</v>
      </c>
      <c r="G293" s="7">
        <v>182.8526534150067</v>
      </c>
      <c r="H293" s="7">
        <v>1448.5436797595523</v>
      </c>
      <c r="I293" s="7">
        <v>0.78199277847710724</v>
      </c>
      <c r="J293" s="7">
        <v>0.78199277847710724</v>
      </c>
    </row>
    <row r="294" spans="1:10" ht="15">
      <c r="A294">
        <v>3</v>
      </c>
      <c r="B294" t="s">
        <v>110</v>
      </c>
      <c r="C294" t="s">
        <v>10</v>
      </c>
      <c r="D294" t="s">
        <v>120</v>
      </c>
      <c r="E294" s="79">
        <v>7.0000000000000007E-2</v>
      </c>
      <c r="F294" s="7">
        <v>1592.7994164425359</v>
      </c>
      <c r="G294" s="7">
        <v>597.41217105508815</v>
      </c>
      <c r="H294" s="7">
        <v>2190.2115874976239</v>
      </c>
      <c r="I294" s="7">
        <v>1.0865080081240939</v>
      </c>
      <c r="J294" s="7">
        <v>1.0865080081240939</v>
      </c>
    </row>
    <row r="295" spans="1:10" ht="15">
      <c r="A295">
        <v>3</v>
      </c>
      <c r="B295" t="s">
        <v>110</v>
      </c>
      <c r="C295" t="s">
        <v>11</v>
      </c>
      <c r="D295" t="s">
        <v>120</v>
      </c>
      <c r="E295" s="79">
        <v>7.0000000000000007E-2</v>
      </c>
      <c r="F295" s="7">
        <v>572.47643192756334</v>
      </c>
      <c r="G295" s="7">
        <v>219.93698925079573</v>
      </c>
      <c r="H295" s="7">
        <v>792.41342117835904</v>
      </c>
      <c r="I295" s="7">
        <v>0.37786294758459577</v>
      </c>
      <c r="J295" s="7">
        <v>0.37786294758459577</v>
      </c>
    </row>
    <row r="296" spans="1:10" ht="15">
      <c r="A296">
        <v>3</v>
      </c>
      <c r="B296" t="s">
        <v>110</v>
      </c>
      <c r="C296" t="s">
        <v>12</v>
      </c>
      <c r="D296" t="s">
        <v>120</v>
      </c>
      <c r="E296" s="79">
        <v>7.0000000000000007E-2</v>
      </c>
      <c r="F296" s="7">
        <v>288.74715384534124</v>
      </c>
      <c r="G296" s="7">
        <v>201.87247095856176</v>
      </c>
      <c r="H296" s="7">
        <v>490.61962480390304</v>
      </c>
      <c r="I296" s="7">
        <v>0.28299453557565851</v>
      </c>
      <c r="J296" s="7">
        <v>0.28299453557565851</v>
      </c>
    </row>
    <row r="297" spans="1:10" ht="15">
      <c r="A297">
        <v>3</v>
      </c>
      <c r="B297" t="s">
        <v>110</v>
      </c>
      <c r="C297" t="s">
        <v>13</v>
      </c>
      <c r="D297" t="s">
        <v>120</v>
      </c>
      <c r="E297" s="79">
        <v>7.0000000000000007E-2</v>
      </c>
      <c r="F297" s="7">
        <v>1142.4224654684713</v>
      </c>
      <c r="G297" s="7">
        <v>97.167731293118351</v>
      </c>
      <c r="H297" s="7">
        <v>1239.5901967615896</v>
      </c>
      <c r="I297" s="7">
        <v>0.76287112502919741</v>
      </c>
      <c r="J297" s="7">
        <v>0.76287112502919741</v>
      </c>
    </row>
    <row r="298" spans="1:10" ht="15">
      <c r="A298">
        <v>3</v>
      </c>
      <c r="B298" t="s">
        <v>110</v>
      </c>
      <c r="C298" t="s">
        <v>14</v>
      </c>
      <c r="D298" t="s">
        <v>120</v>
      </c>
      <c r="E298" s="79">
        <v>7.0000000000000007E-2</v>
      </c>
      <c r="F298" s="7">
        <v>708.77323983379961</v>
      </c>
      <c r="G298" s="7">
        <v>523.24893031473061</v>
      </c>
      <c r="H298" s="7">
        <v>1232.0221701485302</v>
      </c>
      <c r="I298" s="7">
        <v>0.76094683699371513</v>
      </c>
      <c r="J298" s="7">
        <v>0.76094683699371513</v>
      </c>
    </row>
    <row r="299" spans="1:10" ht="15">
      <c r="A299">
        <v>3</v>
      </c>
      <c r="B299" t="s">
        <v>112</v>
      </c>
      <c r="C299" t="s">
        <v>125</v>
      </c>
      <c r="D299" t="s">
        <v>39</v>
      </c>
      <c r="E299" s="79">
        <v>0.03</v>
      </c>
      <c r="F299" s="7">
        <v>1198.3703420651805</v>
      </c>
      <c r="G299" s="7">
        <v>290.94246273416792</v>
      </c>
      <c r="H299" s="7">
        <v>1489.3128047993484</v>
      </c>
      <c r="I299" s="7">
        <v>0.30609451611144473</v>
      </c>
      <c r="J299" s="7">
        <v>0.30609451611144473</v>
      </c>
    </row>
    <row r="300" spans="1:10" ht="15">
      <c r="A300">
        <v>3</v>
      </c>
      <c r="B300" t="s">
        <v>112</v>
      </c>
      <c r="C300" t="s">
        <v>9</v>
      </c>
      <c r="D300" t="s">
        <v>39</v>
      </c>
      <c r="E300" s="79">
        <v>0.03</v>
      </c>
      <c r="F300" s="7">
        <v>3297.3015611107739</v>
      </c>
      <c r="G300" s="7">
        <v>324.63692798690187</v>
      </c>
      <c r="H300" s="7">
        <v>3621.9384890976758</v>
      </c>
      <c r="I300" s="7">
        <v>0.71507948004505717</v>
      </c>
      <c r="J300" s="7">
        <v>0.71507948004505717</v>
      </c>
    </row>
    <row r="301" spans="1:10" ht="15">
      <c r="A301">
        <v>3</v>
      </c>
      <c r="B301" t="s">
        <v>112</v>
      </c>
      <c r="C301" t="s">
        <v>10</v>
      </c>
      <c r="D301" t="s">
        <v>39</v>
      </c>
      <c r="E301" s="79">
        <v>0.03</v>
      </c>
      <c r="F301" s="7">
        <v>4169.2730114224587</v>
      </c>
      <c r="G301" s="7">
        <v>1060.6466372305467</v>
      </c>
      <c r="H301" s="7">
        <v>5229.9196486530054</v>
      </c>
      <c r="I301" s="7">
        <v>0.99354231338365995</v>
      </c>
      <c r="J301" s="7">
        <v>0.99354231338365995</v>
      </c>
    </row>
    <row r="302" spans="1:10" ht="15">
      <c r="A302">
        <v>3</v>
      </c>
      <c r="B302" t="s">
        <v>112</v>
      </c>
      <c r="C302" t="s">
        <v>11</v>
      </c>
      <c r="D302" t="s">
        <v>39</v>
      </c>
      <c r="E302" s="79">
        <v>0.03</v>
      </c>
      <c r="F302" s="7">
        <v>1464.9525753990058</v>
      </c>
      <c r="G302" s="7">
        <v>390.47652417170747</v>
      </c>
      <c r="H302" s="7">
        <v>1855.4290995707133</v>
      </c>
      <c r="I302" s="7">
        <v>0.34553236028685302</v>
      </c>
      <c r="J302" s="7">
        <v>0.34553236028685302</v>
      </c>
    </row>
    <row r="303" spans="1:10" ht="15">
      <c r="A303">
        <v>3</v>
      </c>
      <c r="B303" t="s">
        <v>112</v>
      </c>
      <c r="C303" t="s">
        <v>12</v>
      </c>
      <c r="D303" t="s">
        <v>39</v>
      </c>
      <c r="E303" s="79">
        <v>0.03</v>
      </c>
      <c r="F303" s="7">
        <v>908.04566032599018</v>
      </c>
      <c r="G303" s="7">
        <v>358.40474607919504</v>
      </c>
      <c r="H303" s="7">
        <v>1266.4504064051853</v>
      </c>
      <c r="I303" s="7">
        <v>0.25877874709577608</v>
      </c>
      <c r="J303" s="7">
        <v>0.25877874709577608</v>
      </c>
    </row>
    <row r="304" spans="1:10" ht="15">
      <c r="A304">
        <v>3</v>
      </c>
      <c r="B304" t="s">
        <v>112</v>
      </c>
      <c r="C304" t="s">
        <v>13</v>
      </c>
      <c r="D304" t="s">
        <v>39</v>
      </c>
      <c r="E304" s="79">
        <v>0.03</v>
      </c>
      <c r="F304" s="7">
        <v>3146.0883946776066</v>
      </c>
      <c r="G304" s="7">
        <v>172.51176396582645</v>
      </c>
      <c r="H304" s="7">
        <v>3318.6001586434331</v>
      </c>
      <c r="I304" s="7">
        <v>0.69759162813543685</v>
      </c>
      <c r="J304" s="7">
        <v>0.69759162813543685</v>
      </c>
    </row>
    <row r="305" spans="1:10" ht="15">
      <c r="A305">
        <v>3</v>
      </c>
      <c r="B305" t="s">
        <v>112</v>
      </c>
      <c r="C305" t="s">
        <v>14</v>
      </c>
      <c r="D305" t="s">
        <v>39</v>
      </c>
      <c r="E305" s="79">
        <v>0.03</v>
      </c>
      <c r="F305" s="7">
        <v>2353.7678454357601</v>
      </c>
      <c r="G305" s="7">
        <v>928.97708694592939</v>
      </c>
      <c r="H305" s="7">
        <v>3282.7449323816895</v>
      </c>
      <c r="I305" s="7">
        <v>0.69583162471255633</v>
      </c>
      <c r="J305" s="7">
        <v>0.69583162471255633</v>
      </c>
    </row>
    <row r="306" spans="1:10" ht="15">
      <c r="A306">
        <v>3</v>
      </c>
      <c r="B306" t="s">
        <v>112</v>
      </c>
      <c r="C306" t="s">
        <v>125</v>
      </c>
      <c r="D306" t="s">
        <v>39</v>
      </c>
      <c r="E306" s="79">
        <v>7.0000000000000007E-2</v>
      </c>
      <c r="F306" s="7">
        <v>344.42208572382765</v>
      </c>
      <c r="G306" s="7">
        <v>149.47788071342015</v>
      </c>
      <c r="H306" s="7">
        <v>493.89996643724783</v>
      </c>
      <c r="I306" s="7">
        <v>0.30609451611144473</v>
      </c>
      <c r="J306" s="7">
        <v>0.30609451611144473</v>
      </c>
    </row>
    <row r="307" spans="1:10" ht="15">
      <c r="A307">
        <v>3</v>
      </c>
      <c r="B307" t="s">
        <v>112</v>
      </c>
      <c r="C307" t="s">
        <v>9</v>
      </c>
      <c r="D307" t="s">
        <v>39</v>
      </c>
      <c r="E307" s="79">
        <v>7.0000000000000007E-2</v>
      </c>
      <c r="F307" s="7">
        <v>1088.3348630830872</v>
      </c>
      <c r="G307" s="7">
        <v>166.78912916584198</v>
      </c>
      <c r="H307" s="7">
        <v>1255.1239922489292</v>
      </c>
      <c r="I307" s="7">
        <v>0.71507948004505717</v>
      </c>
      <c r="J307" s="7">
        <v>0.71507948004505717</v>
      </c>
    </row>
    <row r="308" spans="1:10" ht="15">
      <c r="A308">
        <v>3</v>
      </c>
      <c r="B308" t="s">
        <v>112</v>
      </c>
      <c r="C308" t="s">
        <v>10</v>
      </c>
      <c r="D308" t="s">
        <v>39</v>
      </c>
      <c r="E308" s="79">
        <v>7.0000000000000007E-2</v>
      </c>
      <c r="F308" s="7">
        <v>1356.7630957691636</v>
      </c>
      <c r="G308" s="7">
        <v>544.92977762375574</v>
      </c>
      <c r="H308" s="7">
        <v>1901.6928733929192</v>
      </c>
      <c r="I308" s="7">
        <v>0.99354231338365995</v>
      </c>
      <c r="J308" s="7">
        <v>0.99354231338365995</v>
      </c>
    </row>
    <row r="309" spans="1:10" ht="15">
      <c r="A309">
        <v>3</v>
      </c>
      <c r="B309" t="s">
        <v>112</v>
      </c>
      <c r="C309" t="s">
        <v>11</v>
      </c>
      <c r="D309" t="s">
        <v>39</v>
      </c>
      <c r="E309" s="79">
        <v>7.0000000000000007E-2</v>
      </c>
      <c r="F309" s="7">
        <v>488.00607059204413</v>
      </c>
      <c r="G309" s="7">
        <v>200.61562259772131</v>
      </c>
      <c r="H309" s="7">
        <v>688.62169318976544</v>
      </c>
      <c r="I309" s="7">
        <v>0.34553236028685302</v>
      </c>
      <c r="J309" s="7">
        <v>0.34553236028685302</v>
      </c>
    </row>
    <row r="310" spans="1:10" ht="15">
      <c r="A310">
        <v>3</v>
      </c>
      <c r="B310" t="s">
        <v>112</v>
      </c>
      <c r="C310" t="s">
        <v>12</v>
      </c>
      <c r="D310" t="s">
        <v>39</v>
      </c>
      <c r="E310" s="79">
        <v>7.0000000000000007E-2</v>
      </c>
      <c r="F310" s="7">
        <v>240.3948333993219</v>
      </c>
      <c r="G310" s="7">
        <v>184.13806420034115</v>
      </c>
      <c r="H310" s="7">
        <v>424.53289759966304</v>
      </c>
      <c r="I310" s="7">
        <v>0.25877874709577608</v>
      </c>
      <c r="J310" s="7">
        <v>0.25877874709577608</v>
      </c>
    </row>
    <row r="311" spans="1:10" ht="15">
      <c r="A311">
        <v>3</v>
      </c>
      <c r="B311" t="s">
        <v>112</v>
      </c>
      <c r="C311" t="s">
        <v>13</v>
      </c>
      <c r="D311" t="s">
        <v>39</v>
      </c>
      <c r="E311" s="79">
        <v>7.0000000000000007E-2</v>
      </c>
      <c r="F311" s="7">
        <v>982.5269138514135</v>
      </c>
      <c r="G311" s="7">
        <v>88.631589330109662</v>
      </c>
      <c r="H311" s="7">
        <v>1071.1585031815232</v>
      </c>
      <c r="I311" s="7">
        <v>0.69759162813543685</v>
      </c>
      <c r="J311" s="7">
        <v>0.69759162813543685</v>
      </c>
    </row>
    <row r="312" spans="1:10" ht="15">
      <c r="A312">
        <v>3</v>
      </c>
      <c r="B312" t="s">
        <v>112</v>
      </c>
      <c r="C312" t="s">
        <v>14</v>
      </c>
      <c r="D312" t="s">
        <v>39</v>
      </c>
      <c r="E312" s="79">
        <v>7.0000000000000007E-2</v>
      </c>
      <c r="F312" s="7">
        <v>587.53286830888521</v>
      </c>
      <c r="G312" s="7">
        <v>477.28174458632077</v>
      </c>
      <c r="H312" s="7">
        <v>1064.814612895206</v>
      </c>
      <c r="I312" s="7">
        <v>0.69583162471255633</v>
      </c>
      <c r="J312" s="7">
        <v>0.69583162471255633</v>
      </c>
    </row>
    <row r="313" spans="1:10" ht="15">
      <c r="A313">
        <v>3</v>
      </c>
      <c r="B313" t="s">
        <v>112</v>
      </c>
      <c r="C313" t="s">
        <v>125</v>
      </c>
      <c r="D313" t="s">
        <v>119</v>
      </c>
      <c r="E313" s="79">
        <v>0.03</v>
      </c>
      <c r="F313" s="7">
        <v>1016.4229320766908</v>
      </c>
      <c r="G313" s="7">
        <v>268.59929154543482</v>
      </c>
      <c r="H313" s="7">
        <v>1285.0222236221257</v>
      </c>
      <c r="I313" s="7">
        <v>0.28133759858140028</v>
      </c>
      <c r="J313" s="7">
        <v>0.28133759858140028</v>
      </c>
    </row>
    <row r="314" spans="1:10" ht="15">
      <c r="A314">
        <v>3</v>
      </c>
      <c r="B314" t="s">
        <v>112</v>
      </c>
      <c r="C314" t="s">
        <v>9</v>
      </c>
      <c r="D314" t="s">
        <v>119</v>
      </c>
      <c r="E314" s="79">
        <v>0.03</v>
      </c>
      <c r="F314" s="7">
        <v>2831.5251725846597</v>
      </c>
      <c r="G314" s="7">
        <v>299.70616199272251</v>
      </c>
      <c r="H314" s="7">
        <v>3131.2313345773823</v>
      </c>
      <c r="I314" s="7">
        <v>0.65724835401365655</v>
      </c>
      <c r="J314" s="7">
        <v>0.65724835401365655</v>
      </c>
    </row>
    <row r="315" spans="1:10" ht="15">
      <c r="A315">
        <v>3</v>
      </c>
      <c r="B315" t="s">
        <v>112</v>
      </c>
      <c r="C315" t="s">
        <v>10</v>
      </c>
      <c r="D315" t="s">
        <v>119</v>
      </c>
      <c r="E315" s="79">
        <v>0.03</v>
      </c>
      <c r="F315" s="7">
        <v>3550.6912823202133</v>
      </c>
      <c r="G315" s="7">
        <v>979.19338642731464</v>
      </c>
      <c r="H315" s="7">
        <v>4529.8846687475279</v>
      </c>
      <c r="I315" s="7">
        <v>0.9132035552024268</v>
      </c>
      <c r="J315" s="7">
        <v>0.9132035552024268</v>
      </c>
    </row>
    <row r="316" spans="1:10" ht="15">
      <c r="A316">
        <v>3</v>
      </c>
      <c r="B316" t="s">
        <v>112</v>
      </c>
      <c r="C316" t="s">
        <v>11</v>
      </c>
      <c r="D316" t="s">
        <v>119</v>
      </c>
      <c r="E316" s="79">
        <v>0.03</v>
      </c>
      <c r="F316" s="7">
        <v>1247.9003786518736</v>
      </c>
      <c r="G316" s="7">
        <v>360.48955099920948</v>
      </c>
      <c r="H316" s="7">
        <v>1608.3899296510831</v>
      </c>
      <c r="I316" s="7">
        <v>0.31759454439076523</v>
      </c>
      <c r="J316" s="7">
        <v>0.31759454439076523</v>
      </c>
    </row>
    <row r="317" spans="1:10" ht="15">
      <c r="A317">
        <v>3</v>
      </c>
      <c r="B317" t="s">
        <v>112</v>
      </c>
      <c r="C317" t="s">
        <v>12</v>
      </c>
      <c r="D317" t="s">
        <v>119</v>
      </c>
      <c r="E317" s="79">
        <v>0.03</v>
      </c>
      <c r="F317" s="7">
        <v>762.52687300961657</v>
      </c>
      <c r="G317" s="7">
        <v>330.88075208654556</v>
      </c>
      <c r="H317" s="7">
        <v>1093.4076250961621</v>
      </c>
      <c r="I317" s="7">
        <v>0.23784855904462843</v>
      </c>
      <c r="J317" s="7">
        <v>0.23784855904462843</v>
      </c>
    </row>
    <row r="318" spans="1:10" ht="15">
      <c r="A318">
        <v>3</v>
      </c>
      <c r="B318" t="s">
        <v>112</v>
      </c>
      <c r="C318" t="s">
        <v>13</v>
      </c>
      <c r="D318" t="s">
        <v>119</v>
      </c>
      <c r="E318" s="79">
        <v>0.03</v>
      </c>
      <c r="F318" s="7">
        <v>2701.0420409796075</v>
      </c>
      <c r="G318" s="7">
        <v>159.2635779219743</v>
      </c>
      <c r="H318" s="7">
        <v>2860.305618901582</v>
      </c>
      <c r="I318" s="7">
        <v>0.64116702576073803</v>
      </c>
      <c r="J318" s="7">
        <v>0.64116702576073803</v>
      </c>
    </row>
    <row r="319" spans="1:10" ht="15">
      <c r="A319">
        <v>3</v>
      </c>
      <c r="B319" t="s">
        <v>112</v>
      </c>
      <c r="C319" t="s">
        <v>14</v>
      </c>
      <c r="D319" t="s">
        <v>119</v>
      </c>
      <c r="E319" s="79">
        <v>0.03</v>
      </c>
      <c r="F319" s="7">
        <v>1972.3602669909542</v>
      </c>
      <c r="G319" s="7">
        <v>857.63551002730549</v>
      </c>
      <c r="H319" s="7">
        <v>2829.9957770182596</v>
      </c>
      <c r="I319" s="7">
        <v>0.63954871408067993</v>
      </c>
      <c r="J319" s="7">
        <v>0.63954871408067993</v>
      </c>
    </row>
    <row r="320" spans="1:10" ht="15">
      <c r="A320">
        <v>3</v>
      </c>
      <c r="B320" t="s">
        <v>112</v>
      </c>
      <c r="C320" t="s">
        <v>125</v>
      </c>
      <c r="D320" t="s">
        <v>119</v>
      </c>
      <c r="E320" s="79">
        <v>7.0000000000000007E-2</v>
      </c>
      <c r="F320" s="7">
        <v>292.91812366426598</v>
      </c>
      <c r="G320" s="7">
        <v>138.70210464263937</v>
      </c>
      <c r="H320" s="7">
        <v>431.62022830690535</v>
      </c>
      <c r="I320" s="7">
        <v>0.28133759858140028</v>
      </c>
      <c r="J320" s="7">
        <v>0.28133759858140028</v>
      </c>
    </row>
    <row r="321" spans="1:10" ht="15">
      <c r="A321">
        <v>3</v>
      </c>
      <c r="B321" t="s">
        <v>112</v>
      </c>
      <c r="C321" t="s">
        <v>9</v>
      </c>
      <c r="D321" t="s">
        <v>119</v>
      </c>
      <c r="E321" s="79">
        <v>7.0000000000000007E-2</v>
      </c>
      <c r="F321" s="7">
        <v>943.06447863108497</v>
      </c>
      <c r="G321" s="7">
        <v>154.76539496280355</v>
      </c>
      <c r="H321" s="7">
        <v>1097.8298735938886</v>
      </c>
      <c r="I321" s="7">
        <v>0.65724835401365655</v>
      </c>
      <c r="J321" s="7">
        <v>0.65724835401365655</v>
      </c>
    </row>
    <row r="322" spans="1:10" ht="15">
      <c r="A322">
        <v>3</v>
      </c>
      <c r="B322" t="s">
        <v>112</v>
      </c>
      <c r="C322" t="s">
        <v>10</v>
      </c>
      <c r="D322" t="s">
        <v>119</v>
      </c>
      <c r="E322" s="79">
        <v>7.0000000000000007E-2</v>
      </c>
      <c r="F322" s="7">
        <v>1159.6796683187074</v>
      </c>
      <c r="G322" s="7">
        <v>505.6460974568426</v>
      </c>
      <c r="H322" s="7">
        <v>1665.3257657755501</v>
      </c>
      <c r="I322" s="7">
        <v>0.9132035552024268</v>
      </c>
      <c r="J322" s="7">
        <v>0.9132035552024268</v>
      </c>
    </row>
    <row r="323" spans="1:10" ht="15">
      <c r="A323">
        <v>3</v>
      </c>
      <c r="B323" t="s">
        <v>112</v>
      </c>
      <c r="C323" t="s">
        <v>11</v>
      </c>
      <c r="D323" t="s">
        <v>119</v>
      </c>
      <c r="E323" s="79">
        <v>7.0000000000000007E-2</v>
      </c>
      <c r="F323" s="7">
        <v>417.17227511853957</v>
      </c>
      <c r="G323" s="7">
        <v>186.15335557135154</v>
      </c>
      <c r="H323" s="7">
        <v>603.32563068989111</v>
      </c>
      <c r="I323" s="7">
        <v>0.31759454439076523</v>
      </c>
      <c r="J323" s="7">
        <v>0.31759454439076523</v>
      </c>
    </row>
    <row r="324" spans="1:10" ht="15">
      <c r="A324">
        <v>3</v>
      </c>
      <c r="B324" t="s">
        <v>112</v>
      </c>
      <c r="C324" t="s">
        <v>12</v>
      </c>
      <c r="D324" t="s">
        <v>119</v>
      </c>
      <c r="E324" s="79">
        <v>7.0000000000000007E-2</v>
      </c>
      <c r="F324" s="7">
        <v>200.18226162945155</v>
      </c>
      <c r="G324" s="7">
        <v>170.86365506060946</v>
      </c>
      <c r="H324" s="7">
        <v>371.04591669006101</v>
      </c>
      <c r="I324" s="7">
        <v>0.23784855904462843</v>
      </c>
      <c r="J324" s="7">
        <v>0.23784855904462843</v>
      </c>
    </row>
    <row r="325" spans="1:10" ht="15">
      <c r="A325">
        <v>3</v>
      </c>
      <c r="B325" t="s">
        <v>112</v>
      </c>
      <c r="C325" t="s">
        <v>13</v>
      </c>
      <c r="D325" t="s">
        <v>119</v>
      </c>
      <c r="E325" s="79">
        <v>7.0000000000000007E-2</v>
      </c>
      <c r="F325" s="7">
        <v>853.24920250418393</v>
      </c>
      <c r="G325" s="7">
        <v>82.242188069800491</v>
      </c>
      <c r="H325" s="7">
        <v>935.4913905739844</v>
      </c>
      <c r="I325" s="7">
        <v>0.64116702576073803</v>
      </c>
      <c r="J325" s="7">
        <v>0.64116702576073803</v>
      </c>
    </row>
    <row r="326" spans="1:10" ht="15">
      <c r="A326">
        <v>3</v>
      </c>
      <c r="B326" t="s">
        <v>112</v>
      </c>
      <c r="C326" t="s">
        <v>14</v>
      </c>
      <c r="D326" t="s">
        <v>119</v>
      </c>
      <c r="E326" s="79">
        <v>7.0000000000000007E-2</v>
      </c>
      <c r="F326" s="7">
        <v>487.17187775497001</v>
      </c>
      <c r="G326" s="7">
        <v>442.87477294752574</v>
      </c>
      <c r="H326" s="7">
        <v>930.04665070249575</v>
      </c>
      <c r="I326" s="7">
        <v>0.63954871408067993</v>
      </c>
      <c r="J326" s="7">
        <v>0.63954871408067993</v>
      </c>
    </row>
    <row r="327" spans="1:10" ht="15">
      <c r="A327">
        <v>3</v>
      </c>
      <c r="B327" t="s">
        <v>112</v>
      </c>
      <c r="C327" t="s">
        <v>125</v>
      </c>
      <c r="D327" t="s">
        <v>120</v>
      </c>
      <c r="E327" s="79">
        <v>0.03</v>
      </c>
      <c r="F327" s="7">
        <v>1433.0293637585739</v>
      </c>
      <c r="G327" s="7">
        <v>317.23197991599159</v>
      </c>
      <c r="H327" s="7">
        <v>1750.2613436745655</v>
      </c>
      <c r="I327" s="7">
        <v>0.33473781848367856</v>
      </c>
      <c r="J327" s="7">
        <v>0.33473781848367856</v>
      </c>
    </row>
    <row r="328" spans="1:10" ht="15">
      <c r="A328">
        <v>3</v>
      </c>
      <c r="B328" t="s">
        <v>112</v>
      </c>
      <c r="C328" t="s">
        <v>9</v>
      </c>
      <c r="D328" t="s">
        <v>120</v>
      </c>
      <c r="E328" s="79">
        <v>0.03</v>
      </c>
      <c r="F328" s="7">
        <v>3887.7789333754126</v>
      </c>
      <c r="G328" s="7">
        <v>353.97107198211529</v>
      </c>
      <c r="H328" s="7">
        <v>4241.7500053575277</v>
      </c>
      <c r="I328" s="7">
        <v>0.78199277847710724</v>
      </c>
      <c r="J328" s="7">
        <v>0.78199277847710724</v>
      </c>
    </row>
    <row r="329" spans="1:10" ht="15">
      <c r="A329">
        <v>3</v>
      </c>
      <c r="B329" t="s">
        <v>112</v>
      </c>
      <c r="C329" t="s">
        <v>10</v>
      </c>
      <c r="D329" t="s">
        <v>120</v>
      </c>
      <c r="E329" s="79">
        <v>0.03</v>
      </c>
      <c r="F329" s="7">
        <v>4948.1043348366793</v>
      </c>
      <c r="G329" s="7">
        <v>1156.4865078746382</v>
      </c>
      <c r="H329" s="7">
        <v>6104.5908427113172</v>
      </c>
      <c r="I329" s="7">
        <v>1.0865080081240939</v>
      </c>
      <c r="J329" s="7">
        <v>1.0865080081240939</v>
      </c>
    </row>
    <row r="330" spans="1:10" ht="15">
      <c r="A330">
        <v>3</v>
      </c>
      <c r="B330" t="s">
        <v>112</v>
      </c>
      <c r="C330" t="s">
        <v>11</v>
      </c>
      <c r="D330" t="s">
        <v>120</v>
      </c>
      <c r="E330" s="79">
        <v>0.03</v>
      </c>
      <c r="F330" s="7">
        <v>1736.8534453201185</v>
      </c>
      <c r="G330" s="7">
        <v>425.75992417746812</v>
      </c>
      <c r="H330" s="7">
        <v>2162.6133694975865</v>
      </c>
      <c r="I330" s="7">
        <v>0.37786294758459577</v>
      </c>
      <c r="J330" s="7">
        <v>0.37786294758459577</v>
      </c>
    </row>
    <row r="331" spans="1:10" ht="15">
      <c r="A331">
        <v>3</v>
      </c>
      <c r="B331" t="s">
        <v>112</v>
      </c>
      <c r="C331" t="s">
        <v>12</v>
      </c>
      <c r="D331" t="s">
        <v>120</v>
      </c>
      <c r="E331" s="79">
        <v>0.03</v>
      </c>
      <c r="F331" s="7">
        <v>1095.8827032194633</v>
      </c>
      <c r="G331" s="7">
        <v>390.79014503935053</v>
      </c>
      <c r="H331" s="7">
        <v>1486.6728482588139</v>
      </c>
      <c r="I331" s="7">
        <v>0.28299453557565851</v>
      </c>
      <c r="J331" s="7">
        <v>0.28299453557565851</v>
      </c>
    </row>
    <row r="332" spans="1:10" ht="15">
      <c r="A332">
        <v>3</v>
      </c>
      <c r="B332" t="s">
        <v>112</v>
      </c>
      <c r="C332" t="s">
        <v>13</v>
      </c>
      <c r="D332" t="s">
        <v>120</v>
      </c>
      <c r="E332" s="79">
        <v>0.03</v>
      </c>
      <c r="F332" s="7">
        <v>3719.3664929636034</v>
      </c>
      <c r="G332" s="7">
        <v>188.09990101610688</v>
      </c>
      <c r="H332" s="7">
        <v>3907.4663939797101</v>
      </c>
      <c r="I332" s="7">
        <v>0.76287112502919741</v>
      </c>
      <c r="J332" s="7">
        <v>0.76287112502919741</v>
      </c>
    </row>
    <row r="333" spans="1:10" ht="15">
      <c r="A333">
        <v>3</v>
      </c>
      <c r="B333" t="s">
        <v>112</v>
      </c>
      <c r="C333" t="s">
        <v>14</v>
      </c>
      <c r="D333" t="s">
        <v>120</v>
      </c>
      <c r="E333" s="79">
        <v>0.03</v>
      </c>
      <c r="F333" s="7">
        <v>2850.8939564429816</v>
      </c>
      <c r="G333" s="7">
        <v>1012.9193168262759</v>
      </c>
      <c r="H333" s="7">
        <v>3863.8132732692575</v>
      </c>
      <c r="I333" s="7">
        <v>0.76094683699371513</v>
      </c>
      <c r="J333" s="7">
        <v>0.76094683699371513</v>
      </c>
    </row>
    <row r="334" spans="1:10" ht="15">
      <c r="A334">
        <v>3</v>
      </c>
      <c r="B334" t="s">
        <v>112</v>
      </c>
      <c r="C334" t="s">
        <v>125</v>
      </c>
      <c r="D334" t="s">
        <v>120</v>
      </c>
      <c r="E334" s="79">
        <v>7.0000000000000007E-2</v>
      </c>
      <c r="F334" s="7">
        <v>408.44677338694294</v>
      </c>
      <c r="G334" s="7">
        <v>162.47156239883671</v>
      </c>
      <c r="H334" s="7">
        <v>570.91833578577962</v>
      </c>
      <c r="I334" s="7">
        <v>0.33473781848367856</v>
      </c>
      <c r="J334" s="7">
        <v>0.33473781848367856</v>
      </c>
    </row>
    <row r="335" spans="1:10" ht="15">
      <c r="A335">
        <v>3</v>
      </c>
      <c r="B335" t="s">
        <v>112</v>
      </c>
      <c r="C335" t="s">
        <v>9</v>
      </c>
      <c r="D335" t="s">
        <v>120</v>
      </c>
      <c r="E335" s="79">
        <v>7.0000000000000007E-2</v>
      </c>
      <c r="F335" s="7">
        <v>1267.2560519354122</v>
      </c>
      <c r="G335" s="7">
        <v>181.28762782414015</v>
      </c>
      <c r="H335" s="7">
        <v>1448.5436797595523</v>
      </c>
      <c r="I335" s="7">
        <v>0.78199277847710724</v>
      </c>
      <c r="J335" s="7">
        <v>0.78199277847710724</v>
      </c>
    </row>
    <row r="336" spans="1:10" ht="15">
      <c r="A336">
        <v>3</v>
      </c>
      <c r="B336" t="s">
        <v>112</v>
      </c>
      <c r="C336" t="s">
        <v>10</v>
      </c>
      <c r="D336" t="s">
        <v>120</v>
      </c>
      <c r="E336" s="79">
        <v>7.0000000000000007E-2</v>
      </c>
      <c r="F336" s="7">
        <v>1597.9126336616164</v>
      </c>
      <c r="G336" s="7">
        <v>592.2989538360074</v>
      </c>
      <c r="H336" s="7">
        <v>2190.2115874976239</v>
      </c>
      <c r="I336" s="7">
        <v>1.0865080081240939</v>
      </c>
      <c r="J336" s="7">
        <v>1.0865080081240939</v>
      </c>
    </row>
    <row r="337" spans="1:10" ht="15">
      <c r="A337">
        <v>3</v>
      </c>
      <c r="B337" t="s">
        <v>112</v>
      </c>
      <c r="C337" t="s">
        <v>11</v>
      </c>
      <c r="D337" t="s">
        <v>120</v>
      </c>
      <c r="E337" s="79">
        <v>7.0000000000000007E-2</v>
      </c>
      <c r="F337" s="7">
        <v>574.35886026605169</v>
      </c>
      <c r="G337" s="7">
        <v>218.05456091230732</v>
      </c>
      <c r="H337" s="7">
        <v>792.41342117835904</v>
      </c>
      <c r="I337" s="7">
        <v>0.37786294758459577</v>
      </c>
      <c r="J337" s="7">
        <v>0.37786294758459577</v>
      </c>
    </row>
    <row r="338" spans="1:10" ht="15">
      <c r="A338">
        <v>3</v>
      </c>
      <c r="B338" t="s">
        <v>112</v>
      </c>
      <c r="C338" t="s">
        <v>12</v>
      </c>
      <c r="D338" t="s">
        <v>120</v>
      </c>
      <c r="E338" s="79">
        <v>7.0000000000000007E-2</v>
      </c>
      <c r="F338" s="7">
        <v>290.47496898633665</v>
      </c>
      <c r="G338" s="7">
        <v>200.14465581756642</v>
      </c>
      <c r="H338" s="7">
        <v>490.61962480390304</v>
      </c>
      <c r="I338" s="7">
        <v>0.28299453557565851</v>
      </c>
      <c r="J338" s="7">
        <v>0.28299453557565851</v>
      </c>
    </row>
    <row r="339" spans="1:10" ht="15">
      <c r="A339">
        <v>3</v>
      </c>
      <c r="B339" t="s">
        <v>112</v>
      </c>
      <c r="C339" t="s">
        <v>13</v>
      </c>
      <c r="D339" t="s">
        <v>120</v>
      </c>
      <c r="E339" s="79">
        <v>7.0000000000000007E-2</v>
      </c>
      <c r="F339" s="7">
        <v>1143.2541186232934</v>
      </c>
      <c r="G339" s="7">
        <v>96.336078138296287</v>
      </c>
      <c r="H339" s="7">
        <v>1239.5901967615896</v>
      </c>
      <c r="I339" s="7">
        <v>0.76287112502919741</v>
      </c>
      <c r="J339" s="7">
        <v>0.76287112502919741</v>
      </c>
    </row>
    <row r="340" spans="1:10" ht="15">
      <c r="A340">
        <v>3</v>
      </c>
      <c r="B340" t="s">
        <v>112</v>
      </c>
      <c r="C340" t="s">
        <v>14</v>
      </c>
      <c r="D340" t="s">
        <v>120</v>
      </c>
      <c r="E340" s="79">
        <v>7.0000000000000007E-2</v>
      </c>
      <c r="F340" s="7">
        <v>713.251698040679</v>
      </c>
      <c r="G340" s="7">
        <v>518.77047210785122</v>
      </c>
      <c r="H340" s="7">
        <v>1232.0221701485302</v>
      </c>
      <c r="I340" s="7">
        <v>0.76094683699371513</v>
      </c>
      <c r="J340" s="7">
        <v>0.76094683699371513</v>
      </c>
    </row>
    <row r="341" spans="1:10" ht="15">
      <c r="A341">
        <v>3</v>
      </c>
      <c r="B341" t="s">
        <v>111</v>
      </c>
      <c r="C341" t="s">
        <v>125</v>
      </c>
      <c r="D341" t="s">
        <v>39</v>
      </c>
      <c r="E341" s="79">
        <v>0.03</v>
      </c>
      <c r="F341" s="7">
        <v>1049.9046231655946</v>
      </c>
      <c r="G341" s="7">
        <v>439.40818163375388</v>
      </c>
      <c r="H341" s="7">
        <v>1489.3128047993484</v>
      </c>
      <c r="I341" s="7">
        <v>0.30609451611144473</v>
      </c>
      <c r="J341" s="7">
        <v>0.30609451611144473</v>
      </c>
    </row>
    <row r="342" spans="1:10" ht="15">
      <c r="A342">
        <v>3</v>
      </c>
      <c r="B342" t="s">
        <v>111</v>
      </c>
      <c r="C342" t="s">
        <v>9</v>
      </c>
      <c r="D342" t="s">
        <v>39</v>
      </c>
      <c r="E342" s="79">
        <v>0.03</v>
      </c>
      <c r="F342" s="7">
        <v>3131.641813674848</v>
      </c>
      <c r="G342" s="7">
        <v>490.2966754228276</v>
      </c>
      <c r="H342" s="7">
        <v>3621.9384890976758</v>
      </c>
      <c r="I342" s="7">
        <v>0.71507948004505717</v>
      </c>
      <c r="J342" s="7">
        <v>0.71507948004505717</v>
      </c>
    </row>
    <row r="343" spans="1:10" ht="15">
      <c r="A343">
        <v>3</v>
      </c>
      <c r="B343" t="s">
        <v>111</v>
      </c>
      <c r="C343" t="s">
        <v>10</v>
      </c>
      <c r="D343" t="s">
        <v>39</v>
      </c>
      <c r="E343" s="79">
        <v>0.03</v>
      </c>
      <c r="F343" s="7">
        <v>3628.0331249685505</v>
      </c>
      <c r="G343" s="7">
        <v>1601.8865236844551</v>
      </c>
      <c r="H343" s="7">
        <v>5229.9196486530054</v>
      </c>
      <c r="I343" s="7">
        <v>0.99354231338365995</v>
      </c>
      <c r="J343" s="7">
        <v>0.99354231338365995</v>
      </c>
    </row>
    <row r="344" spans="1:10" ht="15">
      <c r="A344">
        <v>3</v>
      </c>
      <c r="B344" t="s">
        <v>111</v>
      </c>
      <c r="C344" t="s">
        <v>11</v>
      </c>
      <c r="D344" t="s">
        <v>39</v>
      </c>
      <c r="E344" s="79">
        <v>0.03</v>
      </c>
      <c r="F344" s="7">
        <v>1265.6953843731187</v>
      </c>
      <c r="G344" s="7">
        <v>589.73371519759462</v>
      </c>
      <c r="H344" s="7">
        <v>1855.4290995707133</v>
      </c>
      <c r="I344" s="7">
        <v>0.34553236028685302</v>
      </c>
      <c r="J344" s="7">
        <v>0.34553236028685302</v>
      </c>
    </row>
    <row r="345" spans="1:10" ht="15">
      <c r="A345">
        <v>3</v>
      </c>
      <c r="B345" t="s">
        <v>111</v>
      </c>
      <c r="C345" t="s">
        <v>12</v>
      </c>
      <c r="D345" t="s">
        <v>39</v>
      </c>
      <c r="E345" s="79">
        <v>0.03</v>
      </c>
      <c r="F345" s="7">
        <v>725.15445295936547</v>
      </c>
      <c r="G345" s="7">
        <v>541.2959534458198</v>
      </c>
      <c r="H345" s="7">
        <v>1266.4504064051853</v>
      </c>
      <c r="I345" s="7">
        <v>0.25877874709577608</v>
      </c>
      <c r="J345" s="7">
        <v>0.25877874709577608</v>
      </c>
    </row>
    <row r="346" spans="1:10" ht="15">
      <c r="A346">
        <v>3</v>
      </c>
      <c r="B346" t="s">
        <v>111</v>
      </c>
      <c r="C346" t="s">
        <v>13</v>
      </c>
      <c r="D346" t="s">
        <v>39</v>
      </c>
      <c r="E346" s="79">
        <v>0.03</v>
      </c>
      <c r="F346" s="7">
        <v>3058.0569577566107</v>
      </c>
      <c r="G346" s="7">
        <v>260.54320088682226</v>
      </c>
      <c r="H346" s="7">
        <v>3318.6001586434331</v>
      </c>
      <c r="I346" s="7">
        <v>0.69759162813543685</v>
      </c>
      <c r="J346" s="7">
        <v>0.69759162813543685</v>
      </c>
    </row>
    <row r="347" spans="1:10" ht="15">
      <c r="A347">
        <v>3</v>
      </c>
      <c r="B347" t="s">
        <v>111</v>
      </c>
      <c r="C347" t="s">
        <v>14</v>
      </c>
      <c r="D347" t="s">
        <v>39</v>
      </c>
      <c r="E347" s="79">
        <v>0.03</v>
      </c>
      <c r="F347" s="7">
        <v>1879.7179258793697</v>
      </c>
      <c r="G347" s="7">
        <v>1403.0270065023199</v>
      </c>
      <c r="H347" s="7">
        <v>3282.7449323816895</v>
      </c>
      <c r="I347" s="7">
        <v>0.69583162471255633</v>
      </c>
      <c r="J347" s="7">
        <v>0.69583162471255633</v>
      </c>
    </row>
    <row r="348" spans="1:10" ht="15">
      <c r="A348">
        <v>3</v>
      </c>
      <c r="B348" t="s">
        <v>111</v>
      </c>
      <c r="C348" t="s">
        <v>125</v>
      </c>
      <c r="D348" t="s">
        <v>39</v>
      </c>
      <c r="E348" s="79">
        <v>7.0000000000000007E-2</v>
      </c>
      <c r="F348" s="7">
        <v>279.28705774059131</v>
      </c>
      <c r="G348" s="7">
        <v>214.61290869665652</v>
      </c>
      <c r="H348" s="7">
        <v>493.89996643724783</v>
      </c>
      <c r="I348" s="7">
        <v>0.30609451611144473</v>
      </c>
      <c r="J348" s="7">
        <v>0.30609451611144473</v>
      </c>
    </row>
    <row r="349" spans="1:10" ht="15">
      <c r="A349">
        <v>3</v>
      </c>
      <c r="B349" t="s">
        <v>111</v>
      </c>
      <c r="C349" t="s">
        <v>9</v>
      </c>
      <c r="D349" t="s">
        <v>39</v>
      </c>
      <c r="E349" s="79">
        <v>7.0000000000000007E-2</v>
      </c>
      <c r="F349" s="7">
        <v>1015.6564537848921</v>
      </c>
      <c r="G349" s="7">
        <v>239.46753846403712</v>
      </c>
      <c r="H349" s="7">
        <v>1255.1239922489292</v>
      </c>
      <c r="I349" s="7">
        <v>0.71507948004505717</v>
      </c>
      <c r="J349" s="7">
        <v>0.71507948004505717</v>
      </c>
    </row>
    <row r="350" spans="1:10" ht="15">
      <c r="A350">
        <v>3</v>
      </c>
      <c r="B350" t="s">
        <v>111</v>
      </c>
      <c r="C350" t="s">
        <v>10</v>
      </c>
      <c r="D350" t="s">
        <v>39</v>
      </c>
      <c r="E350" s="79">
        <v>7.0000000000000007E-2</v>
      </c>
      <c r="F350" s="7">
        <v>1119.3097940163016</v>
      </c>
      <c r="G350" s="7">
        <v>782.38307937661773</v>
      </c>
      <c r="H350" s="7">
        <v>1901.6928733929192</v>
      </c>
      <c r="I350" s="7">
        <v>0.99354231338365995</v>
      </c>
      <c r="J350" s="7">
        <v>0.99354231338365995</v>
      </c>
    </row>
    <row r="351" spans="1:10" ht="15">
      <c r="A351">
        <v>3</v>
      </c>
      <c r="B351" t="s">
        <v>111</v>
      </c>
      <c r="C351" t="s">
        <v>11</v>
      </c>
      <c r="D351" t="s">
        <v>39</v>
      </c>
      <c r="E351" s="79">
        <v>7.0000000000000007E-2</v>
      </c>
      <c r="F351" s="7">
        <v>400.58775739807197</v>
      </c>
      <c r="G351" s="7">
        <v>288.03393579169347</v>
      </c>
      <c r="H351" s="7">
        <v>688.62169318976544</v>
      </c>
      <c r="I351" s="7">
        <v>0.34553236028685302</v>
      </c>
      <c r="J351" s="7">
        <v>0.34553236028685302</v>
      </c>
    </row>
    <row r="352" spans="1:10" ht="15">
      <c r="A352">
        <v>3</v>
      </c>
      <c r="B352" t="s">
        <v>111</v>
      </c>
      <c r="C352" t="s">
        <v>12</v>
      </c>
      <c r="D352" t="s">
        <v>39</v>
      </c>
      <c r="E352" s="79">
        <v>7.0000000000000007E-2</v>
      </c>
      <c r="F352" s="7">
        <v>160.15662084757423</v>
      </c>
      <c r="G352" s="7">
        <v>264.37627675208881</v>
      </c>
      <c r="H352" s="7">
        <v>424.53289759966304</v>
      </c>
      <c r="I352" s="7">
        <v>0.25877874709577608</v>
      </c>
      <c r="J352" s="7">
        <v>0.25877874709577608</v>
      </c>
    </row>
    <row r="353" spans="1:10" ht="15">
      <c r="A353">
        <v>3</v>
      </c>
      <c r="B353" t="s">
        <v>111</v>
      </c>
      <c r="C353" t="s">
        <v>13</v>
      </c>
      <c r="D353" t="s">
        <v>39</v>
      </c>
      <c r="E353" s="79">
        <v>7.0000000000000007E-2</v>
      </c>
      <c r="F353" s="7">
        <v>943.90567421607602</v>
      </c>
      <c r="G353" s="7">
        <v>127.25282896544712</v>
      </c>
      <c r="H353" s="7">
        <v>1071.1585031815232</v>
      </c>
      <c r="I353" s="7">
        <v>0.69759162813543685</v>
      </c>
      <c r="J353" s="7">
        <v>0.69759162813543685</v>
      </c>
    </row>
    <row r="354" spans="1:10" ht="15">
      <c r="A354">
        <v>3</v>
      </c>
      <c r="B354" t="s">
        <v>111</v>
      </c>
      <c r="C354" t="s">
        <v>14</v>
      </c>
      <c r="D354" t="s">
        <v>39</v>
      </c>
      <c r="E354" s="79">
        <v>7.0000000000000007E-2</v>
      </c>
      <c r="F354" s="7">
        <v>379.55721571638298</v>
      </c>
      <c r="G354" s="7">
        <v>685.257397178823</v>
      </c>
      <c r="H354" s="7">
        <v>1064.814612895206</v>
      </c>
      <c r="I354" s="7">
        <v>0.69583162471255633</v>
      </c>
      <c r="J354" s="7">
        <v>0.69583162471255633</v>
      </c>
    </row>
    <row r="355" spans="1:10" ht="15">
      <c r="A355">
        <v>3</v>
      </c>
      <c r="B355" t="s">
        <v>111</v>
      </c>
      <c r="C355" t="s">
        <v>125</v>
      </c>
      <c r="D355" t="s">
        <v>119</v>
      </c>
      <c r="E355" s="79">
        <v>0.03</v>
      </c>
      <c r="F355" s="7">
        <v>880.49972108933798</v>
      </c>
      <c r="G355" s="7">
        <v>404.52250253278777</v>
      </c>
      <c r="H355" s="7">
        <v>1285.0222236221257</v>
      </c>
      <c r="I355" s="7">
        <v>0.28133759858140028</v>
      </c>
      <c r="J355" s="7">
        <v>0.28133759858140028</v>
      </c>
    </row>
    <row r="356" spans="1:10" ht="15">
      <c r="A356">
        <v>3</v>
      </c>
      <c r="B356" t="s">
        <v>111</v>
      </c>
      <c r="C356" t="s">
        <v>9</v>
      </c>
      <c r="D356" t="s">
        <v>119</v>
      </c>
      <c r="E356" s="79">
        <v>0.03</v>
      </c>
      <c r="F356" s="7">
        <v>2679.8604989499722</v>
      </c>
      <c r="G356" s="7">
        <v>451.37083562741026</v>
      </c>
      <c r="H356" s="7">
        <v>3131.2313345773823</v>
      </c>
      <c r="I356" s="7">
        <v>0.65724835401365655</v>
      </c>
      <c r="J356" s="7">
        <v>0.65724835401365655</v>
      </c>
    </row>
    <row r="357" spans="1:10" ht="15">
      <c r="A357">
        <v>3</v>
      </c>
      <c r="B357" t="s">
        <v>111</v>
      </c>
      <c r="C357" t="s">
        <v>10</v>
      </c>
      <c r="D357" t="s">
        <v>119</v>
      </c>
      <c r="E357" s="79">
        <v>0.03</v>
      </c>
      <c r="F357" s="7">
        <v>3055.1757934483185</v>
      </c>
      <c r="G357" s="7">
        <v>1474.7088752992095</v>
      </c>
      <c r="H357" s="7">
        <v>4529.8846687475279</v>
      </c>
      <c r="I357" s="7">
        <v>0.9132035552024268</v>
      </c>
      <c r="J357" s="7">
        <v>0.9132035552024268</v>
      </c>
    </row>
    <row r="358" spans="1:10" ht="15">
      <c r="A358">
        <v>3</v>
      </c>
      <c r="B358" t="s">
        <v>111</v>
      </c>
      <c r="C358" t="s">
        <v>11</v>
      </c>
      <c r="D358" t="s">
        <v>119</v>
      </c>
      <c r="E358" s="79">
        <v>0.03</v>
      </c>
      <c r="F358" s="7">
        <v>1065.4766015179941</v>
      </c>
      <c r="G358" s="7">
        <v>542.91332813308895</v>
      </c>
      <c r="H358" s="7">
        <v>1608.3899296510831</v>
      </c>
      <c r="I358" s="7">
        <v>0.31759454439076523</v>
      </c>
      <c r="J358" s="7">
        <v>0.31759454439076523</v>
      </c>
    </row>
    <row r="359" spans="1:10" ht="15">
      <c r="A359">
        <v>3</v>
      </c>
      <c r="B359" t="s">
        <v>111</v>
      </c>
      <c r="C359" t="s">
        <v>12</v>
      </c>
      <c r="D359" t="s">
        <v>119</v>
      </c>
      <c r="E359" s="79">
        <v>0.03</v>
      </c>
      <c r="F359" s="7">
        <v>595.0864675686887</v>
      </c>
      <c r="G359" s="7">
        <v>498.32115752747336</v>
      </c>
      <c r="H359" s="7">
        <v>1093.4076250961621</v>
      </c>
      <c r="I359" s="7">
        <v>0.23784855904462843</v>
      </c>
      <c r="J359" s="7">
        <v>0.23784855904462843</v>
      </c>
    </row>
    <row r="360" spans="1:10" ht="15">
      <c r="A360">
        <v>3</v>
      </c>
      <c r="B360" t="s">
        <v>111</v>
      </c>
      <c r="C360" t="s">
        <v>13</v>
      </c>
      <c r="D360" t="s">
        <v>119</v>
      </c>
      <c r="E360" s="79">
        <v>0.03</v>
      </c>
      <c r="F360" s="7">
        <v>2620.447573362304</v>
      </c>
      <c r="G360" s="7">
        <v>239.85804553927781</v>
      </c>
      <c r="H360" s="7">
        <v>2860.305618901582</v>
      </c>
      <c r="I360" s="7">
        <v>0.64116702576073803</v>
      </c>
      <c r="J360" s="7">
        <v>0.64116702576073803</v>
      </c>
    </row>
    <row r="361" spans="1:10" ht="15">
      <c r="A361">
        <v>3</v>
      </c>
      <c r="B361" t="s">
        <v>111</v>
      </c>
      <c r="C361" t="s">
        <v>14</v>
      </c>
      <c r="D361" t="s">
        <v>119</v>
      </c>
      <c r="E361" s="79">
        <v>0.03</v>
      </c>
      <c r="F361" s="7">
        <v>1538.3584805046009</v>
      </c>
      <c r="G361" s="7">
        <v>1291.6372965136586</v>
      </c>
      <c r="H361" s="7">
        <v>2829.9957770182596</v>
      </c>
      <c r="I361" s="7">
        <v>0.63954871408067993</v>
      </c>
      <c r="J361" s="7">
        <v>0.63954871408067993</v>
      </c>
    </row>
    <row r="362" spans="1:10" ht="15">
      <c r="A362">
        <v>3</v>
      </c>
      <c r="B362" t="s">
        <v>111</v>
      </c>
      <c r="C362" t="s">
        <v>125</v>
      </c>
      <c r="D362" t="s">
        <v>119</v>
      </c>
      <c r="E362" s="79">
        <v>7.0000000000000007E-2</v>
      </c>
      <c r="F362" s="7">
        <v>232.94810238233211</v>
      </c>
      <c r="G362" s="7">
        <v>198.67212592457324</v>
      </c>
      <c r="H362" s="7">
        <v>431.62022830690535</v>
      </c>
      <c r="I362" s="7">
        <v>0.28133759858140028</v>
      </c>
      <c r="J362" s="7">
        <v>0.28133759858140028</v>
      </c>
    </row>
    <row r="363" spans="1:10" ht="15">
      <c r="A363">
        <v>3</v>
      </c>
      <c r="B363" t="s">
        <v>111</v>
      </c>
      <c r="C363" t="s">
        <v>9</v>
      </c>
      <c r="D363" t="s">
        <v>119</v>
      </c>
      <c r="E363" s="79">
        <v>7.0000000000000007E-2</v>
      </c>
      <c r="F363" s="7">
        <v>876.14924289231146</v>
      </c>
      <c r="G363" s="7">
        <v>221.68063070157714</v>
      </c>
      <c r="H363" s="7">
        <v>1097.8298735938886</v>
      </c>
      <c r="I363" s="7">
        <v>0.65724835401365655</v>
      </c>
      <c r="J363" s="7">
        <v>0.65724835401365655</v>
      </c>
    </row>
    <row r="364" spans="1:10" ht="15">
      <c r="A364">
        <v>3</v>
      </c>
      <c r="B364" t="s">
        <v>111</v>
      </c>
      <c r="C364" t="s">
        <v>10</v>
      </c>
      <c r="D364" t="s">
        <v>119</v>
      </c>
      <c r="E364" s="79">
        <v>7.0000000000000007E-2</v>
      </c>
      <c r="F364" s="7">
        <v>941.05568057359471</v>
      </c>
      <c r="G364" s="7">
        <v>724.27008520195534</v>
      </c>
      <c r="H364" s="7">
        <v>1665.3257657755501</v>
      </c>
      <c r="I364" s="7">
        <v>0.9132035552024268</v>
      </c>
      <c r="J364" s="7">
        <v>0.9132035552024268</v>
      </c>
    </row>
    <row r="365" spans="1:10" ht="15">
      <c r="A365">
        <v>3</v>
      </c>
      <c r="B365" t="s">
        <v>111</v>
      </c>
      <c r="C365" t="s">
        <v>11</v>
      </c>
      <c r="D365" t="s">
        <v>119</v>
      </c>
      <c r="E365" s="79">
        <v>7.0000000000000007E-2</v>
      </c>
      <c r="F365" s="7">
        <v>336.68596437307428</v>
      </c>
      <c r="G365" s="7">
        <v>266.63966631681683</v>
      </c>
      <c r="H365" s="7">
        <v>603.32563068989111</v>
      </c>
      <c r="I365" s="7">
        <v>0.31759454439076523</v>
      </c>
      <c r="J365" s="7">
        <v>0.31759454439076523</v>
      </c>
    </row>
    <row r="366" spans="1:10" ht="15">
      <c r="A366">
        <v>3</v>
      </c>
      <c r="B366" t="s">
        <v>111</v>
      </c>
      <c r="C366" t="s">
        <v>12</v>
      </c>
      <c r="D366" t="s">
        <v>119</v>
      </c>
      <c r="E366" s="79">
        <v>7.0000000000000007E-2</v>
      </c>
      <c r="F366" s="7">
        <v>126.30669170429437</v>
      </c>
      <c r="G366" s="7">
        <v>244.73922498576664</v>
      </c>
      <c r="H366" s="7">
        <v>371.04591669006101</v>
      </c>
      <c r="I366" s="7">
        <v>0.23784855904462843</v>
      </c>
      <c r="J366" s="7">
        <v>0.23784855904462843</v>
      </c>
    </row>
    <row r="367" spans="1:10" ht="15">
      <c r="A367">
        <v>3</v>
      </c>
      <c r="B367" t="s">
        <v>111</v>
      </c>
      <c r="C367" t="s">
        <v>13</v>
      </c>
      <c r="D367" t="s">
        <v>119</v>
      </c>
      <c r="E367" s="79">
        <v>7.0000000000000007E-2</v>
      </c>
      <c r="F367" s="7">
        <v>817.69050798021817</v>
      </c>
      <c r="G367" s="7">
        <v>117.80088259376618</v>
      </c>
      <c r="H367" s="7">
        <v>935.4913905739844</v>
      </c>
      <c r="I367" s="7">
        <v>0.64116702576073803</v>
      </c>
      <c r="J367" s="7">
        <v>0.64116702576073803</v>
      </c>
    </row>
    <row r="368" spans="1:10" ht="15">
      <c r="A368">
        <v>3</v>
      </c>
      <c r="B368" t="s">
        <v>111</v>
      </c>
      <c r="C368" t="s">
        <v>14</v>
      </c>
      <c r="D368" t="s">
        <v>119</v>
      </c>
      <c r="E368" s="79">
        <v>7.0000000000000007E-2</v>
      </c>
      <c r="F368" s="7">
        <v>295.68805256483654</v>
      </c>
      <c r="G368" s="7">
        <v>634.35859813765921</v>
      </c>
      <c r="H368" s="7">
        <v>930.04665070249575</v>
      </c>
      <c r="I368" s="7">
        <v>0.63954871408067993</v>
      </c>
      <c r="J368" s="7">
        <v>0.63954871408067993</v>
      </c>
    </row>
    <row r="369" spans="1:10" ht="15">
      <c r="A369">
        <v>3</v>
      </c>
      <c r="B369" t="s">
        <v>111</v>
      </c>
      <c r="C369" t="s">
        <v>125</v>
      </c>
      <c r="D369" t="s">
        <v>120</v>
      </c>
      <c r="E369" s="79">
        <v>0.03</v>
      </c>
      <c r="F369" s="7">
        <v>1270.262393030438</v>
      </c>
      <c r="G369" s="7">
        <v>479.99895064412749</v>
      </c>
      <c r="H369" s="7">
        <v>1750.2613436745655</v>
      </c>
      <c r="I369" s="7">
        <v>0.33473781848367856</v>
      </c>
      <c r="J369" s="7">
        <v>0.33473781848367856</v>
      </c>
    </row>
    <row r="370" spans="1:10" ht="15">
      <c r="A370">
        <v>3</v>
      </c>
      <c r="B370" t="s">
        <v>111</v>
      </c>
      <c r="C370" t="s">
        <v>9</v>
      </c>
      <c r="D370" t="s">
        <v>120</v>
      </c>
      <c r="E370" s="79">
        <v>0.03</v>
      </c>
      <c r="F370" s="7">
        <v>3706.1616855582874</v>
      </c>
      <c r="G370" s="7">
        <v>535.58831979924025</v>
      </c>
      <c r="H370" s="7">
        <v>4241.7500053575277</v>
      </c>
      <c r="I370" s="7">
        <v>0.78199277847710724</v>
      </c>
      <c r="J370" s="7">
        <v>0.78199277847710724</v>
      </c>
    </row>
    <row r="371" spans="1:10" ht="15">
      <c r="A371">
        <v>3</v>
      </c>
      <c r="B371" t="s">
        <v>111</v>
      </c>
      <c r="C371" t="s">
        <v>10</v>
      </c>
      <c r="D371" t="s">
        <v>120</v>
      </c>
      <c r="E371" s="79">
        <v>0.03</v>
      </c>
      <c r="F371" s="7">
        <v>4354.7284538029835</v>
      </c>
      <c r="G371" s="7">
        <v>1749.8623889083342</v>
      </c>
      <c r="H371" s="7">
        <v>6104.5908427113172</v>
      </c>
      <c r="I371" s="7">
        <v>1.0865080081240939</v>
      </c>
      <c r="J371" s="7">
        <v>1.0865080081240939</v>
      </c>
    </row>
    <row r="372" spans="1:10" ht="15">
      <c r="A372">
        <v>3</v>
      </c>
      <c r="B372" t="s">
        <v>111</v>
      </c>
      <c r="C372" t="s">
        <v>11</v>
      </c>
      <c r="D372" t="s">
        <v>120</v>
      </c>
      <c r="E372" s="79">
        <v>0.03</v>
      </c>
      <c r="F372" s="7">
        <v>1518.4024142035237</v>
      </c>
      <c r="G372" s="7">
        <v>644.21095529406273</v>
      </c>
      <c r="H372" s="7">
        <v>2162.6133694975865</v>
      </c>
      <c r="I372" s="7">
        <v>0.37786294758459577</v>
      </c>
      <c r="J372" s="7">
        <v>0.37786294758459577</v>
      </c>
    </row>
    <row r="373" spans="1:10" ht="15">
      <c r="A373">
        <v>3</v>
      </c>
      <c r="B373" t="s">
        <v>111</v>
      </c>
      <c r="C373" t="s">
        <v>12</v>
      </c>
      <c r="D373" t="s">
        <v>120</v>
      </c>
      <c r="E373" s="79">
        <v>0.03</v>
      </c>
      <c r="F373" s="7">
        <v>895.37414126644637</v>
      </c>
      <c r="G373" s="7">
        <v>591.29870699236756</v>
      </c>
      <c r="H373" s="7">
        <v>1486.6728482588139</v>
      </c>
      <c r="I373" s="7">
        <v>0.28299453557565851</v>
      </c>
      <c r="J373" s="7">
        <v>0.28299453557565851</v>
      </c>
    </row>
    <row r="374" spans="1:10" ht="15">
      <c r="A374">
        <v>3</v>
      </c>
      <c r="B374" t="s">
        <v>111</v>
      </c>
      <c r="C374" t="s">
        <v>13</v>
      </c>
      <c r="D374" t="s">
        <v>120</v>
      </c>
      <c r="E374" s="79">
        <v>0.03</v>
      </c>
      <c r="F374" s="7">
        <v>3622.8552550651998</v>
      </c>
      <c r="G374" s="7">
        <v>284.61113891451043</v>
      </c>
      <c r="H374" s="7">
        <v>3907.4663939797101</v>
      </c>
      <c r="I374" s="7">
        <v>0.76287112502919741</v>
      </c>
      <c r="J374" s="7">
        <v>0.76287112502919741</v>
      </c>
    </row>
    <row r="375" spans="1:10" ht="15">
      <c r="A375">
        <v>3</v>
      </c>
      <c r="B375" t="s">
        <v>111</v>
      </c>
      <c r="C375" t="s">
        <v>14</v>
      </c>
      <c r="D375" t="s">
        <v>120</v>
      </c>
      <c r="E375" s="79">
        <v>0.03</v>
      </c>
      <c r="F375" s="7">
        <v>2331.1802477699603</v>
      </c>
      <c r="G375" s="7">
        <v>1532.6330254992972</v>
      </c>
      <c r="H375" s="7">
        <v>3863.8132732692575</v>
      </c>
      <c r="I375" s="7">
        <v>0.76094683699371513</v>
      </c>
      <c r="J375" s="7">
        <v>0.76094683699371513</v>
      </c>
    </row>
    <row r="376" spans="1:10" ht="15">
      <c r="A376">
        <v>3</v>
      </c>
      <c r="B376" t="s">
        <v>111</v>
      </c>
      <c r="C376" t="s">
        <v>125</v>
      </c>
      <c r="D376" t="s">
        <v>120</v>
      </c>
      <c r="E376" s="79">
        <v>7.0000000000000007E-2</v>
      </c>
      <c r="F376" s="7">
        <v>337.31570901681749</v>
      </c>
      <c r="G376" s="7">
        <v>233.60262676896212</v>
      </c>
      <c r="H376" s="7">
        <v>570.91833578577962</v>
      </c>
      <c r="I376" s="7">
        <v>0.33473781848367856</v>
      </c>
      <c r="J376" s="7">
        <v>0.33473781848367856</v>
      </c>
    </row>
    <row r="377" spans="1:10" ht="15">
      <c r="A377">
        <v>3</v>
      </c>
      <c r="B377" t="s">
        <v>111</v>
      </c>
      <c r="C377" t="s">
        <v>9</v>
      </c>
      <c r="D377" t="s">
        <v>120</v>
      </c>
      <c r="E377" s="79">
        <v>7.0000000000000007E-2</v>
      </c>
      <c r="F377" s="7">
        <v>1187.887196648534</v>
      </c>
      <c r="G377" s="7">
        <v>260.65648311101825</v>
      </c>
      <c r="H377" s="7">
        <v>1448.5436797595523</v>
      </c>
      <c r="I377" s="7">
        <v>0.78199277847710724</v>
      </c>
      <c r="J377" s="7">
        <v>0.78199277847710724</v>
      </c>
    </row>
    <row r="378" spans="1:10" ht="15">
      <c r="A378">
        <v>3</v>
      </c>
      <c r="B378" t="s">
        <v>111</v>
      </c>
      <c r="C378" t="s">
        <v>10</v>
      </c>
      <c r="D378" t="s">
        <v>120</v>
      </c>
      <c r="E378" s="79">
        <v>7.0000000000000007E-2</v>
      </c>
      <c r="F378" s="7">
        <v>1338.6004537969106</v>
      </c>
      <c r="G378" s="7">
        <v>851.61113370071325</v>
      </c>
      <c r="H378" s="7">
        <v>2190.2115874976239</v>
      </c>
      <c r="I378" s="7">
        <v>1.0865080081240939</v>
      </c>
      <c r="J378" s="7">
        <v>1.0865080081240939</v>
      </c>
    </row>
    <row r="379" spans="1:10" ht="15">
      <c r="A379">
        <v>3</v>
      </c>
      <c r="B379" t="s">
        <v>111</v>
      </c>
      <c r="C379" t="s">
        <v>11</v>
      </c>
      <c r="D379" t="s">
        <v>120</v>
      </c>
      <c r="E379" s="79">
        <v>7.0000000000000007E-2</v>
      </c>
      <c r="F379" s="7">
        <v>478.89321212771722</v>
      </c>
      <c r="G379" s="7">
        <v>313.52020905064182</v>
      </c>
      <c r="H379" s="7">
        <v>792.41342117835904</v>
      </c>
      <c r="I379" s="7">
        <v>0.37786294758459577</v>
      </c>
      <c r="J379" s="7">
        <v>0.37786294758459577</v>
      </c>
    </row>
    <row r="380" spans="1:10" ht="15">
      <c r="A380">
        <v>3</v>
      </c>
      <c r="B380" t="s">
        <v>111</v>
      </c>
      <c r="C380" t="s">
        <v>12</v>
      </c>
      <c r="D380" t="s">
        <v>120</v>
      </c>
      <c r="E380" s="79">
        <v>7.0000000000000007E-2</v>
      </c>
      <c r="F380" s="7">
        <v>202.85038911464181</v>
      </c>
      <c r="G380" s="7">
        <v>287.76923568926122</v>
      </c>
      <c r="H380" s="7">
        <v>490.61962480390304</v>
      </c>
      <c r="I380" s="7">
        <v>0.28299453557565851</v>
      </c>
      <c r="J380" s="7">
        <v>0.28299453557565851</v>
      </c>
    </row>
    <row r="381" spans="1:10" ht="15">
      <c r="A381">
        <v>3</v>
      </c>
      <c r="B381" t="s">
        <v>111</v>
      </c>
      <c r="C381" t="s">
        <v>13</v>
      </c>
      <c r="D381" t="s">
        <v>120</v>
      </c>
      <c r="E381" s="79">
        <v>7.0000000000000007E-2</v>
      </c>
      <c r="F381" s="7">
        <v>1101.0775821633372</v>
      </c>
      <c r="G381" s="7">
        <v>138.51261459825247</v>
      </c>
      <c r="H381" s="7">
        <v>1239.5901967615896</v>
      </c>
      <c r="I381" s="7">
        <v>0.76287112502919741</v>
      </c>
      <c r="J381" s="7">
        <v>0.76287112502919741</v>
      </c>
    </row>
    <row r="382" spans="1:10" ht="15">
      <c r="A382">
        <v>3</v>
      </c>
      <c r="B382" t="s">
        <v>111</v>
      </c>
      <c r="C382" t="s">
        <v>14</v>
      </c>
      <c r="D382" t="s">
        <v>120</v>
      </c>
      <c r="E382" s="79">
        <v>7.0000000000000007E-2</v>
      </c>
      <c r="F382" s="7">
        <v>486.13074653385661</v>
      </c>
      <c r="G382" s="7">
        <v>745.89142361467361</v>
      </c>
      <c r="H382" s="7">
        <v>1232.0221701485302</v>
      </c>
      <c r="I382" s="7">
        <v>0.76094683699371513</v>
      </c>
      <c r="J382" s="7">
        <v>0.76094683699371513</v>
      </c>
    </row>
    <row r="383" spans="1:10" ht="15">
      <c r="A383">
        <v>4</v>
      </c>
      <c r="B383" t="s">
        <v>110</v>
      </c>
      <c r="C383" t="s">
        <v>125</v>
      </c>
      <c r="D383" t="s">
        <v>39</v>
      </c>
      <c r="E383" s="79">
        <v>0.03</v>
      </c>
      <c r="F383" s="7">
        <v>1607.929666428771</v>
      </c>
      <c r="G383" s="7">
        <v>351.35605891338361</v>
      </c>
      <c r="H383" s="7">
        <v>1959.2857253421546</v>
      </c>
      <c r="I383" s="7">
        <v>0.40268680567979614</v>
      </c>
      <c r="J383" s="7">
        <v>0.40268680567979614</v>
      </c>
    </row>
    <row r="384" spans="1:10" ht="15">
      <c r="A384">
        <v>4</v>
      </c>
      <c r="B384" t="s">
        <v>110</v>
      </c>
      <c r="C384" t="s">
        <v>9</v>
      </c>
      <c r="D384" t="s">
        <v>39</v>
      </c>
      <c r="E384" s="79">
        <v>0.03</v>
      </c>
      <c r="F384" s="7">
        <v>4695.1424697084822</v>
      </c>
      <c r="G384" s="7">
        <v>449.93391007573808</v>
      </c>
      <c r="H384" s="7">
        <v>5145.0763797842201</v>
      </c>
      <c r="I384" s="7">
        <v>1.0157926628303318</v>
      </c>
      <c r="J384" s="7">
        <v>1.0157926628303318</v>
      </c>
    </row>
    <row r="385" spans="1:10" ht="15">
      <c r="A385">
        <v>4</v>
      </c>
      <c r="B385" t="s">
        <v>110</v>
      </c>
      <c r="C385" t="s">
        <v>10</v>
      </c>
      <c r="D385" t="s">
        <v>39</v>
      </c>
      <c r="E385" s="79">
        <v>0.03</v>
      </c>
      <c r="F385" s="7">
        <v>5729.0826192359</v>
      </c>
      <c r="G385" s="7">
        <v>1308.3640569498943</v>
      </c>
      <c r="H385" s="7">
        <v>7037.4466761857939</v>
      </c>
      <c r="I385" s="7">
        <v>1.3369232264921225</v>
      </c>
      <c r="J385" s="7">
        <v>1.3369232264921225</v>
      </c>
    </row>
    <row r="386" spans="1:10" ht="15">
      <c r="A386">
        <v>4</v>
      </c>
      <c r="B386" t="s">
        <v>110</v>
      </c>
      <c r="C386" t="s">
        <v>11</v>
      </c>
      <c r="D386" t="s">
        <v>39</v>
      </c>
      <c r="E386" s="79">
        <v>0.03</v>
      </c>
      <c r="F386" s="7">
        <v>2364.669278122753</v>
      </c>
      <c r="G386" s="7">
        <v>542.95958484368305</v>
      </c>
      <c r="H386" s="7">
        <v>2907.6288629664359</v>
      </c>
      <c r="I386" s="7">
        <v>0.5414811399106676</v>
      </c>
      <c r="J386" s="7">
        <v>0.5414811399106676</v>
      </c>
    </row>
    <row r="387" spans="1:10" ht="15">
      <c r="A387">
        <v>4</v>
      </c>
      <c r="B387" t="s">
        <v>110</v>
      </c>
      <c r="C387" t="s">
        <v>12</v>
      </c>
      <c r="D387" t="s">
        <v>39</v>
      </c>
      <c r="E387" s="79">
        <v>0.03</v>
      </c>
      <c r="F387" s="7">
        <v>1212.5615081311269</v>
      </c>
      <c r="G387" s="7">
        <v>440.55699858220106</v>
      </c>
      <c r="H387" s="7">
        <v>1653.1185067133279</v>
      </c>
      <c r="I387" s="7">
        <v>0.33778814693770925</v>
      </c>
      <c r="J387" s="7">
        <v>0.33778814693770925</v>
      </c>
    </row>
    <row r="388" spans="1:10" ht="15">
      <c r="A388">
        <v>4</v>
      </c>
      <c r="B388" t="s">
        <v>110</v>
      </c>
      <c r="C388" t="s">
        <v>13</v>
      </c>
      <c r="D388" t="s">
        <v>39</v>
      </c>
      <c r="E388" s="79">
        <v>0.03</v>
      </c>
      <c r="F388" s="7">
        <v>4805.5719813916739</v>
      </c>
      <c r="G388" s="7">
        <v>239.15553791068052</v>
      </c>
      <c r="H388" s="7">
        <v>5044.7275193023543</v>
      </c>
      <c r="I388" s="7">
        <v>1.0604349772370085</v>
      </c>
      <c r="J388" s="7">
        <v>1.0604349772370085</v>
      </c>
    </row>
    <row r="389" spans="1:10" ht="15">
      <c r="A389">
        <v>4</v>
      </c>
      <c r="B389" t="s">
        <v>110</v>
      </c>
      <c r="C389" t="s">
        <v>14</v>
      </c>
      <c r="D389" t="s">
        <v>39</v>
      </c>
      <c r="E389" s="79">
        <v>0.03</v>
      </c>
      <c r="F389" s="7">
        <v>2777.842159484635</v>
      </c>
      <c r="G389" s="7">
        <v>1171.592993115424</v>
      </c>
      <c r="H389" s="7">
        <v>3949.4351526000587</v>
      </c>
      <c r="I389" s="7">
        <v>0.83714755046069111</v>
      </c>
      <c r="J389" s="7">
        <v>0.83714755046069111</v>
      </c>
    </row>
    <row r="390" spans="1:10" ht="15">
      <c r="A390">
        <v>4</v>
      </c>
      <c r="B390" t="s">
        <v>110</v>
      </c>
      <c r="C390" t="s">
        <v>125</v>
      </c>
      <c r="D390" t="s">
        <v>39</v>
      </c>
      <c r="E390" s="79">
        <v>7.0000000000000007E-2</v>
      </c>
      <c r="F390" s="7">
        <v>469.15380088886752</v>
      </c>
      <c r="G390" s="7">
        <v>180.60302042433139</v>
      </c>
      <c r="H390" s="7">
        <v>649.75682131319888</v>
      </c>
      <c r="I390" s="7">
        <v>0.40268680567979614</v>
      </c>
      <c r="J390" s="7">
        <v>0.40268680567979614</v>
      </c>
    </row>
    <row r="391" spans="1:10" ht="15">
      <c r="A391">
        <v>4</v>
      </c>
      <c r="B391" t="s">
        <v>110</v>
      </c>
      <c r="C391" t="s">
        <v>9</v>
      </c>
      <c r="D391" t="s">
        <v>39</v>
      </c>
      <c r="E391" s="79">
        <v>7.0000000000000007E-2</v>
      </c>
      <c r="F391" s="7">
        <v>1551.6689837293495</v>
      </c>
      <c r="G391" s="7">
        <v>231.27372102907125</v>
      </c>
      <c r="H391" s="7">
        <v>1782.9427047584209</v>
      </c>
      <c r="I391" s="7">
        <v>1.0157926628303318</v>
      </c>
      <c r="J391" s="7">
        <v>1.0157926628303318</v>
      </c>
    </row>
    <row r="392" spans="1:10" ht="15">
      <c r="A392">
        <v>4</v>
      </c>
      <c r="B392" t="s">
        <v>110</v>
      </c>
      <c r="C392" t="s">
        <v>10</v>
      </c>
      <c r="D392" t="s">
        <v>39</v>
      </c>
      <c r="E392" s="79">
        <v>7.0000000000000007E-2</v>
      </c>
      <c r="F392" s="7">
        <v>1886.4207283335352</v>
      </c>
      <c r="G392" s="7">
        <v>672.52149067972755</v>
      </c>
      <c r="H392" s="7">
        <v>2558.9422190132627</v>
      </c>
      <c r="I392" s="7">
        <v>1.3369232264921225</v>
      </c>
      <c r="J392" s="7">
        <v>1.3369232264921225</v>
      </c>
    </row>
    <row r="393" spans="1:10" ht="15">
      <c r="A393">
        <v>4</v>
      </c>
      <c r="B393" t="s">
        <v>110</v>
      </c>
      <c r="C393" t="s">
        <v>11</v>
      </c>
      <c r="D393" t="s">
        <v>39</v>
      </c>
      <c r="E393" s="79">
        <v>7.0000000000000007E-2</v>
      </c>
      <c r="F393" s="7">
        <v>800.04332208841299</v>
      </c>
      <c r="G393" s="7">
        <v>279.09050805719551</v>
      </c>
      <c r="H393" s="7">
        <v>1079.1338301456085</v>
      </c>
      <c r="I393" s="7">
        <v>0.5414811399106676</v>
      </c>
      <c r="J393" s="7">
        <v>0.5414811399106676</v>
      </c>
    </row>
    <row r="394" spans="1:10" ht="15">
      <c r="A394">
        <v>4</v>
      </c>
      <c r="B394" t="s">
        <v>110</v>
      </c>
      <c r="C394" t="s">
        <v>12</v>
      </c>
      <c r="D394" t="s">
        <v>39</v>
      </c>
      <c r="E394" s="79">
        <v>7.0000000000000007E-2</v>
      </c>
      <c r="F394" s="7">
        <v>327.69593253456554</v>
      </c>
      <c r="G394" s="7">
        <v>226.45382823080337</v>
      </c>
      <c r="H394" s="7">
        <v>554.14976076536891</v>
      </c>
      <c r="I394" s="7">
        <v>0.33778814693770925</v>
      </c>
      <c r="J394" s="7">
        <v>0.33778814693770925</v>
      </c>
    </row>
    <row r="395" spans="1:10" ht="15">
      <c r="A395">
        <v>4</v>
      </c>
      <c r="B395" t="s">
        <v>110</v>
      </c>
      <c r="C395" t="s">
        <v>13</v>
      </c>
      <c r="D395" t="s">
        <v>39</v>
      </c>
      <c r="E395" s="79">
        <v>7.0000000000000007E-2</v>
      </c>
      <c r="F395" s="7">
        <v>1505.3778422267587</v>
      </c>
      <c r="G395" s="7">
        <v>122.93003465331539</v>
      </c>
      <c r="H395" s="7">
        <v>1628.3078768800742</v>
      </c>
      <c r="I395" s="7">
        <v>1.0604349772370085</v>
      </c>
      <c r="J395" s="7">
        <v>1.0604349772370085</v>
      </c>
    </row>
    <row r="396" spans="1:10" ht="15">
      <c r="A396">
        <v>4</v>
      </c>
      <c r="B396" t="s">
        <v>110</v>
      </c>
      <c r="C396" t="s">
        <v>14</v>
      </c>
      <c r="D396" t="s">
        <v>39</v>
      </c>
      <c r="E396" s="79">
        <v>7.0000000000000007E-2</v>
      </c>
      <c r="F396" s="7">
        <v>678.8481926652297</v>
      </c>
      <c r="G396" s="7">
        <v>602.2188258799614</v>
      </c>
      <c r="H396" s="7">
        <v>1281.0670185451911</v>
      </c>
      <c r="I396" s="7">
        <v>0.83714755046069111</v>
      </c>
      <c r="J396" s="7">
        <v>0.83714755046069111</v>
      </c>
    </row>
    <row r="397" spans="1:10" ht="15">
      <c r="A397">
        <v>4</v>
      </c>
      <c r="B397" t="s">
        <v>110</v>
      </c>
      <c r="C397" t="s">
        <v>125</v>
      </c>
      <c r="D397" t="s">
        <v>119</v>
      </c>
      <c r="E397" s="79">
        <v>0.03</v>
      </c>
      <c r="F397" s="7">
        <v>1366.1502520441736</v>
      </c>
      <c r="G397" s="7">
        <v>324.37821946082784</v>
      </c>
      <c r="H397" s="7">
        <v>1690.5284715050013</v>
      </c>
      <c r="I397" s="7">
        <v>0.3701175059572816</v>
      </c>
      <c r="J397" s="7">
        <v>0.3701175059572816</v>
      </c>
    </row>
    <row r="398" spans="1:10" ht="15">
      <c r="A398">
        <v>4</v>
      </c>
      <c r="B398" t="s">
        <v>110</v>
      </c>
      <c r="C398" t="s">
        <v>9</v>
      </c>
      <c r="D398" t="s">
        <v>119</v>
      </c>
      <c r="E398" s="79">
        <v>0.03</v>
      </c>
      <c r="F398" s="7">
        <v>4032.6245295323392</v>
      </c>
      <c r="G398" s="7">
        <v>415.38706085440083</v>
      </c>
      <c r="H398" s="7">
        <v>4448.01159038674</v>
      </c>
      <c r="I398" s="7">
        <v>0.93364174793872945</v>
      </c>
      <c r="J398" s="7">
        <v>0.93364174793872945</v>
      </c>
    </row>
    <row r="399" spans="1:10" ht="15">
      <c r="A399">
        <v>4</v>
      </c>
      <c r="B399" t="s">
        <v>110</v>
      </c>
      <c r="C399" t="s">
        <v>10</v>
      </c>
      <c r="D399" t="s">
        <v>119</v>
      </c>
      <c r="E399" s="79">
        <v>0.03</v>
      </c>
      <c r="F399" s="7">
        <v>4887.5654874197289</v>
      </c>
      <c r="G399" s="7">
        <v>1207.9051789016564</v>
      </c>
      <c r="H399" s="7">
        <v>6095.4706663213856</v>
      </c>
      <c r="I399" s="7">
        <v>1.2288183673903148</v>
      </c>
      <c r="J399" s="7">
        <v>1.2288183673903148</v>
      </c>
    </row>
    <row r="400" spans="1:10" ht="15">
      <c r="A400">
        <v>4</v>
      </c>
      <c r="B400" t="s">
        <v>110</v>
      </c>
      <c r="C400" t="s">
        <v>11</v>
      </c>
      <c r="D400" t="s">
        <v>119</v>
      </c>
      <c r="E400" s="79">
        <v>0.03</v>
      </c>
      <c r="F400" s="7">
        <v>2019.2256209608333</v>
      </c>
      <c r="G400" s="7">
        <v>501.2700333544056</v>
      </c>
      <c r="H400" s="7">
        <v>2520.4956543152389</v>
      </c>
      <c r="I400" s="7">
        <v>0.49770000061167752</v>
      </c>
      <c r="J400" s="7">
        <v>0.49770000061167752</v>
      </c>
    </row>
    <row r="401" spans="1:10" ht="15">
      <c r="A401">
        <v>4</v>
      </c>
      <c r="B401" t="s">
        <v>110</v>
      </c>
      <c r="C401" t="s">
        <v>12</v>
      </c>
      <c r="D401" t="s">
        <v>119</v>
      </c>
      <c r="E401" s="79">
        <v>0.03</v>
      </c>
      <c r="F401" s="7">
        <v>1020.5127955648805</v>
      </c>
      <c r="G401" s="7">
        <v>406.73012787387358</v>
      </c>
      <c r="H401" s="7">
        <v>1427.2429234387541</v>
      </c>
      <c r="I401" s="7">
        <v>0.31046762886503187</v>
      </c>
      <c r="J401" s="7">
        <v>0.31046762886503187</v>
      </c>
    </row>
    <row r="402" spans="1:10" ht="15">
      <c r="A402">
        <v>4</v>
      </c>
      <c r="B402" t="s">
        <v>110</v>
      </c>
      <c r="C402" t="s">
        <v>13</v>
      </c>
      <c r="D402" t="s">
        <v>119</v>
      </c>
      <c r="E402" s="79">
        <v>0.03</v>
      </c>
      <c r="F402" s="7">
        <v>4127.2642607672169</v>
      </c>
      <c r="G402" s="7">
        <v>220.79268478130129</v>
      </c>
      <c r="H402" s="7">
        <v>4348.0569455485183</v>
      </c>
      <c r="I402" s="7">
        <v>0.97466184074632278</v>
      </c>
      <c r="J402" s="7">
        <v>0.97466184074632278</v>
      </c>
    </row>
    <row r="403" spans="1:10" ht="15">
      <c r="A403">
        <v>4</v>
      </c>
      <c r="B403" t="s">
        <v>110</v>
      </c>
      <c r="C403" t="s">
        <v>14</v>
      </c>
      <c r="D403" t="s">
        <v>119</v>
      </c>
      <c r="E403" s="79">
        <v>0.03</v>
      </c>
      <c r="F403" s="7">
        <v>2323.101830804067</v>
      </c>
      <c r="G403" s="7">
        <v>1081.6356781063801</v>
      </c>
      <c r="H403" s="7">
        <v>3404.7375089104471</v>
      </c>
      <c r="I403" s="7">
        <v>0.7694341854814305</v>
      </c>
      <c r="J403" s="7">
        <v>0.7694341854814305</v>
      </c>
    </row>
    <row r="404" spans="1:10" ht="15">
      <c r="A404">
        <v>4</v>
      </c>
      <c r="B404" t="s">
        <v>110</v>
      </c>
      <c r="C404" t="s">
        <v>125</v>
      </c>
      <c r="D404" t="s">
        <v>119</v>
      </c>
      <c r="E404" s="79">
        <v>7.0000000000000007E-2</v>
      </c>
      <c r="F404" s="7">
        <v>400.2373841779617</v>
      </c>
      <c r="G404" s="7">
        <v>167.58648020127185</v>
      </c>
      <c r="H404" s="7">
        <v>567.82386437923356</v>
      </c>
      <c r="I404" s="7">
        <v>0.3701175059572816</v>
      </c>
      <c r="J404" s="7">
        <v>0.3701175059572816</v>
      </c>
    </row>
    <row r="405" spans="1:10" ht="15">
      <c r="A405">
        <v>4</v>
      </c>
      <c r="B405" t="s">
        <v>110</v>
      </c>
      <c r="C405" t="s">
        <v>9</v>
      </c>
      <c r="D405" t="s">
        <v>119</v>
      </c>
      <c r="E405" s="79">
        <v>7.0000000000000007E-2</v>
      </c>
      <c r="F405" s="7">
        <v>1344.8963038316726</v>
      </c>
      <c r="G405" s="7">
        <v>214.605208590915</v>
      </c>
      <c r="H405" s="7">
        <v>1559.5015124225877</v>
      </c>
      <c r="I405" s="7">
        <v>0.93364174793872945</v>
      </c>
      <c r="J405" s="7">
        <v>0.93364174793872945</v>
      </c>
    </row>
    <row r="406" spans="1:10" ht="15">
      <c r="A406">
        <v>4</v>
      </c>
      <c r="B406" t="s">
        <v>110</v>
      </c>
      <c r="C406" t="s">
        <v>10</v>
      </c>
      <c r="D406" t="s">
        <v>119</v>
      </c>
      <c r="E406" s="79">
        <v>7.0000000000000007E-2</v>
      </c>
      <c r="F406" s="7">
        <v>1616.8325426744889</v>
      </c>
      <c r="G406" s="7">
        <v>624.05107742895666</v>
      </c>
      <c r="H406" s="7">
        <v>2240.8836201034455</v>
      </c>
      <c r="I406" s="7">
        <v>1.2288183673903148</v>
      </c>
      <c r="J406" s="7">
        <v>1.2288183673903148</v>
      </c>
    </row>
    <row r="407" spans="1:10" ht="15">
      <c r="A407">
        <v>4</v>
      </c>
      <c r="B407" t="s">
        <v>110</v>
      </c>
      <c r="C407" t="s">
        <v>11</v>
      </c>
      <c r="D407" t="s">
        <v>119</v>
      </c>
      <c r="E407" s="79">
        <v>7.0000000000000007E-2</v>
      </c>
      <c r="F407" s="7">
        <v>686.49130527844</v>
      </c>
      <c r="G407" s="7">
        <v>258.9757125489852</v>
      </c>
      <c r="H407" s="7">
        <v>945.46701782742514</v>
      </c>
      <c r="I407" s="7">
        <v>0.49770000061167752</v>
      </c>
      <c r="J407" s="7">
        <v>0.49770000061167752</v>
      </c>
    </row>
    <row r="408" spans="1:10" ht="15">
      <c r="A408">
        <v>4</v>
      </c>
      <c r="B408" t="s">
        <v>110</v>
      </c>
      <c r="C408" t="s">
        <v>12</v>
      </c>
      <c r="D408" t="s">
        <v>119</v>
      </c>
      <c r="E408" s="79">
        <v>7.0000000000000007E-2</v>
      </c>
      <c r="F408" s="7">
        <v>274.19962820064359</v>
      </c>
      <c r="G408" s="7">
        <v>210.13269829119039</v>
      </c>
      <c r="H408" s="7">
        <v>484.33232649183395</v>
      </c>
      <c r="I408" s="7">
        <v>0.31046762886503187</v>
      </c>
      <c r="J408" s="7">
        <v>0.31046762886503187</v>
      </c>
    </row>
    <row r="409" spans="1:10" ht="15">
      <c r="A409">
        <v>4</v>
      </c>
      <c r="B409" t="s">
        <v>110</v>
      </c>
      <c r="C409" t="s">
        <v>13</v>
      </c>
      <c r="D409" t="s">
        <v>119</v>
      </c>
      <c r="E409" s="79">
        <v>7.0000000000000007E-2</v>
      </c>
      <c r="F409" s="7">
        <v>1308.0051136009322</v>
      </c>
      <c r="G409" s="7">
        <v>114.07013996867803</v>
      </c>
      <c r="H409" s="7">
        <v>1422.0752535696101</v>
      </c>
      <c r="I409" s="7">
        <v>0.97466184074632278</v>
      </c>
      <c r="J409" s="7">
        <v>0.97466184074632278</v>
      </c>
    </row>
    <row r="410" spans="1:10" ht="15">
      <c r="A410">
        <v>4</v>
      </c>
      <c r="B410" t="s">
        <v>110</v>
      </c>
      <c r="C410" t="s">
        <v>14</v>
      </c>
      <c r="D410" t="s">
        <v>119</v>
      </c>
      <c r="E410" s="79">
        <v>7.0000000000000007E-2</v>
      </c>
      <c r="F410" s="7">
        <v>560.11381867389798</v>
      </c>
      <c r="G410" s="7">
        <v>558.81531273974508</v>
      </c>
      <c r="H410" s="7">
        <v>1118.9291314136431</v>
      </c>
      <c r="I410" s="7">
        <v>0.7694341854814305</v>
      </c>
      <c r="J410" s="7">
        <v>0.7694341854814305</v>
      </c>
    </row>
    <row r="411" spans="1:10" ht="15">
      <c r="A411">
        <v>4</v>
      </c>
      <c r="B411" t="s">
        <v>110</v>
      </c>
      <c r="C411" t="s">
        <v>125</v>
      </c>
      <c r="D411" t="s">
        <v>120</v>
      </c>
      <c r="E411" s="79">
        <v>0.03</v>
      </c>
      <c r="F411" s="7">
        <v>1919.4776509438655</v>
      </c>
      <c r="G411" s="7">
        <v>383.10247542640741</v>
      </c>
      <c r="H411" s="7">
        <v>2302.5801263702729</v>
      </c>
      <c r="I411" s="7">
        <v>0.44036889186325451</v>
      </c>
      <c r="J411" s="7">
        <v>0.44036889186325451</v>
      </c>
    </row>
    <row r="412" spans="1:10" ht="15">
      <c r="A412">
        <v>4</v>
      </c>
      <c r="B412" t="s">
        <v>110</v>
      </c>
      <c r="C412" t="s">
        <v>9</v>
      </c>
      <c r="D412" t="s">
        <v>120</v>
      </c>
      <c r="E412" s="79">
        <v>0.03</v>
      </c>
      <c r="F412" s="7">
        <v>5534.9507069582742</v>
      </c>
      <c r="G412" s="7">
        <v>490.5872272741733</v>
      </c>
      <c r="H412" s="7">
        <v>6025.5379342324477</v>
      </c>
      <c r="I412" s="7">
        <v>1.1108450863578114</v>
      </c>
      <c r="J412" s="7">
        <v>1.1108450863578114</v>
      </c>
    </row>
    <row r="413" spans="1:10" ht="15">
      <c r="A413">
        <v>4</v>
      </c>
      <c r="B413" t="s">
        <v>110</v>
      </c>
      <c r="C413" t="s">
        <v>10</v>
      </c>
      <c r="D413" t="s">
        <v>120</v>
      </c>
      <c r="E413" s="79">
        <v>0.03</v>
      </c>
      <c r="F413" s="7">
        <v>6787.8354562263876</v>
      </c>
      <c r="G413" s="7">
        <v>1426.5799500557541</v>
      </c>
      <c r="H413" s="7">
        <v>8214.4154062821417</v>
      </c>
      <c r="I413" s="7">
        <v>1.4620190527002497</v>
      </c>
      <c r="J413" s="7">
        <v>1.4620190527002497</v>
      </c>
    </row>
    <row r="414" spans="1:10" ht="15">
      <c r="A414">
        <v>4</v>
      </c>
      <c r="B414" t="s">
        <v>110</v>
      </c>
      <c r="C414" t="s">
        <v>11</v>
      </c>
      <c r="D414" t="s">
        <v>120</v>
      </c>
      <c r="E414" s="79">
        <v>0.03</v>
      </c>
      <c r="F414" s="7">
        <v>2796.9968599375834</v>
      </c>
      <c r="G414" s="7">
        <v>592.01814152118561</v>
      </c>
      <c r="H414" s="7">
        <v>3389.0150014587689</v>
      </c>
      <c r="I414" s="7">
        <v>0.59214615794090575</v>
      </c>
      <c r="J414" s="7">
        <v>0.59214615794090575</v>
      </c>
    </row>
    <row r="415" spans="1:10" ht="15">
      <c r="A415">
        <v>4</v>
      </c>
      <c r="B415" t="s">
        <v>110</v>
      </c>
      <c r="C415" t="s">
        <v>12</v>
      </c>
      <c r="D415" t="s">
        <v>120</v>
      </c>
      <c r="E415" s="79">
        <v>0.03</v>
      </c>
      <c r="F415" s="7">
        <v>1460.2154008868365</v>
      </c>
      <c r="G415" s="7">
        <v>480.36307455530971</v>
      </c>
      <c r="H415" s="7">
        <v>1940.5784754421463</v>
      </c>
      <c r="I415" s="7">
        <v>0.36939741318949915</v>
      </c>
      <c r="J415" s="7">
        <v>0.36939741318949915</v>
      </c>
    </row>
    <row r="416" spans="1:10" ht="15">
      <c r="A416">
        <v>4</v>
      </c>
      <c r="B416" t="s">
        <v>110</v>
      </c>
      <c r="C416" t="s">
        <v>13</v>
      </c>
      <c r="D416" t="s">
        <v>120</v>
      </c>
      <c r="E416" s="79">
        <v>0.03</v>
      </c>
      <c r="F416" s="7">
        <v>5679.1207920973347</v>
      </c>
      <c r="G416" s="7">
        <v>260.76419137004882</v>
      </c>
      <c r="H416" s="7">
        <v>5939.8849834673838</v>
      </c>
      <c r="I416" s="7">
        <v>1.1596687681980691</v>
      </c>
      <c r="J416" s="7">
        <v>1.1596687681980691</v>
      </c>
    </row>
    <row r="417" spans="1:10" ht="15">
      <c r="A417">
        <v>4</v>
      </c>
      <c r="B417" t="s">
        <v>110</v>
      </c>
      <c r="C417" t="s">
        <v>14</v>
      </c>
      <c r="D417" t="s">
        <v>120</v>
      </c>
      <c r="E417" s="79">
        <v>0.03</v>
      </c>
      <c r="F417" s="7">
        <v>3371.0611525498034</v>
      </c>
      <c r="G417" s="7">
        <v>1277.4510769583767</v>
      </c>
      <c r="H417" s="7">
        <v>4648.5122295081801</v>
      </c>
      <c r="I417" s="7">
        <v>0.91548696264451945</v>
      </c>
      <c r="J417" s="7">
        <v>0.91548696264451945</v>
      </c>
    </row>
    <row r="418" spans="1:10" ht="15">
      <c r="A418">
        <v>4</v>
      </c>
      <c r="B418" t="s">
        <v>110</v>
      </c>
      <c r="C418" t="s">
        <v>125</v>
      </c>
      <c r="D418" t="s">
        <v>120</v>
      </c>
      <c r="E418" s="79">
        <v>7.0000000000000007E-2</v>
      </c>
      <c r="F418" s="7">
        <v>554.77782025199531</v>
      </c>
      <c r="G418" s="7">
        <v>196.30156484191096</v>
      </c>
      <c r="H418" s="7">
        <v>751.07938509390624</v>
      </c>
      <c r="I418" s="7">
        <v>0.44036889186325451</v>
      </c>
      <c r="J418" s="7">
        <v>0.44036889186325451</v>
      </c>
    </row>
    <row r="419" spans="1:10" ht="15">
      <c r="A419">
        <v>4</v>
      </c>
      <c r="B419" t="s">
        <v>110</v>
      </c>
      <c r="C419" t="s">
        <v>9</v>
      </c>
      <c r="D419" t="s">
        <v>120</v>
      </c>
      <c r="E419" s="79">
        <v>7.0000000000000007E-2</v>
      </c>
      <c r="F419" s="7">
        <v>1806.3246808840947</v>
      </c>
      <c r="G419" s="7">
        <v>251.3767114090962</v>
      </c>
      <c r="H419" s="7">
        <v>2057.701392293191</v>
      </c>
      <c r="I419" s="7">
        <v>1.1108450863578114</v>
      </c>
      <c r="J419" s="7">
        <v>1.1108450863578114</v>
      </c>
    </row>
    <row r="420" spans="1:10" ht="15">
      <c r="A420">
        <v>4</v>
      </c>
      <c r="B420" t="s">
        <v>110</v>
      </c>
      <c r="C420" t="s">
        <v>10</v>
      </c>
      <c r="D420" t="s">
        <v>120</v>
      </c>
      <c r="E420" s="79">
        <v>7.0000000000000007E-2</v>
      </c>
      <c r="F420" s="7">
        <v>2216.1976538952722</v>
      </c>
      <c r="G420" s="7">
        <v>730.97903180172557</v>
      </c>
      <c r="H420" s="7">
        <v>2947.176685696998</v>
      </c>
      <c r="I420" s="7">
        <v>1.4620190527002497</v>
      </c>
      <c r="J420" s="7">
        <v>1.4620190527002497</v>
      </c>
    </row>
    <row r="421" spans="1:10" ht="15">
      <c r="A421">
        <v>4</v>
      </c>
      <c r="B421" t="s">
        <v>110</v>
      </c>
      <c r="C421" t="s">
        <v>11</v>
      </c>
      <c r="D421" t="s">
        <v>120</v>
      </c>
      <c r="E421" s="79">
        <v>7.0000000000000007E-2</v>
      </c>
      <c r="F421" s="7">
        <v>938.4351856480032</v>
      </c>
      <c r="G421" s="7">
        <v>303.34987385831431</v>
      </c>
      <c r="H421" s="7">
        <v>1241.7850595063176</v>
      </c>
      <c r="I421" s="7">
        <v>0.59214615794090575</v>
      </c>
      <c r="J421" s="7">
        <v>0.59214615794090575</v>
      </c>
    </row>
    <row r="422" spans="1:10" ht="15">
      <c r="A422">
        <v>4</v>
      </c>
      <c r="B422" t="s">
        <v>110</v>
      </c>
      <c r="C422" t="s">
        <v>12</v>
      </c>
      <c r="D422" t="s">
        <v>120</v>
      </c>
      <c r="E422" s="79">
        <v>7.0000000000000007E-2</v>
      </c>
      <c r="F422" s="7">
        <v>394.2759913390737</v>
      </c>
      <c r="G422" s="7">
        <v>246.13785938742322</v>
      </c>
      <c r="H422" s="7">
        <v>640.41385072649689</v>
      </c>
      <c r="I422" s="7">
        <v>0.36939741318949915</v>
      </c>
      <c r="J422" s="7">
        <v>0.36939741318949915</v>
      </c>
    </row>
    <row r="423" spans="1:10" ht="15">
      <c r="A423">
        <v>4</v>
      </c>
      <c r="B423" t="s">
        <v>110</v>
      </c>
      <c r="C423" t="s">
        <v>13</v>
      </c>
      <c r="D423" t="s">
        <v>120</v>
      </c>
      <c r="E423" s="79">
        <v>7.0000000000000007E-2</v>
      </c>
      <c r="F423" s="7">
        <v>1750.731684298438</v>
      </c>
      <c r="G423" s="7">
        <v>133.61547393736228</v>
      </c>
      <c r="H423" s="7">
        <v>1884.3471582358004</v>
      </c>
      <c r="I423" s="7">
        <v>1.1596687681980691</v>
      </c>
      <c r="J423" s="7">
        <v>1.1596687681980691</v>
      </c>
    </row>
    <row r="424" spans="1:10" ht="15">
      <c r="A424">
        <v>4</v>
      </c>
      <c r="B424" t="s">
        <v>110</v>
      </c>
      <c r="C424" t="s">
        <v>14</v>
      </c>
      <c r="D424" t="s">
        <v>120</v>
      </c>
      <c r="E424" s="79">
        <v>7.0000000000000007E-2</v>
      </c>
      <c r="F424" s="7">
        <v>827.66718079420866</v>
      </c>
      <c r="G424" s="7">
        <v>654.56545311225682</v>
      </c>
      <c r="H424" s="7">
        <v>1482.2326339064655</v>
      </c>
      <c r="I424" s="7">
        <v>0.91548696264451945</v>
      </c>
      <c r="J424" s="7">
        <v>0.91548696264451945</v>
      </c>
    </row>
    <row r="425" spans="1:10" ht="15">
      <c r="A425">
        <v>4</v>
      </c>
      <c r="B425" t="s">
        <v>112</v>
      </c>
      <c r="C425" t="s">
        <v>125</v>
      </c>
      <c r="D425" t="s">
        <v>39</v>
      </c>
      <c r="E425" s="79">
        <v>0.03</v>
      </c>
      <c r="F425" s="7">
        <v>1610.7715759485232</v>
      </c>
      <c r="G425" s="7">
        <v>348.51414939363139</v>
      </c>
      <c r="H425" s="7">
        <v>1959.2857253421546</v>
      </c>
      <c r="I425" s="7">
        <v>0.40268680567979614</v>
      </c>
      <c r="J425" s="7">
        <v>0.40268680567979614</v>
      </c>
    </row>
    <row r="426" spans="1:10" ht="15">
      <c r="A426">
        <v>4</v>
      </c>
      <c r="B426" t="s">
        <v>112</v>
      </c>
      <c r="C426" t="s">
        <v>9</v>
      </c>
      <c r="D426" t="s">
        <v>39</v>
      </c>
      <c r="E426" s="79">
        <v>0.03</v>
      </c>
      <c r="F426" s="7">
        <v>4698.7817166486311</v>
      </c>
      <c r="G426" s="7">
        <v>446.29466313558908</v>
      </c>
      <c r="H426" s="7">
        <v>5145.0763797842201</v>
      </c>
      <c r="I426" s="7">
        <v>1.0157926628303318</v>
      </c>
      <c r="J426" s="7">
        <v>1.0157926628303318</v>
      </c>
    </row>
    <row r="427" spans="1:10" ht="15">
      <c r="A427">
        <v>4</v>
      </c>
      <c r="B427" t="s">
        <v>112</v>
      </c>
      <c r="C427" t="s">
        <v>10</v>
      </c>
      <c r="D427" t="s">
        <v>39</v>
      </c>
      <c r="E427" s="79">
        <v>0.03</v>
      </c>
      <c r="F427" s="7">
        <v>5739.6651954414938</v>
      </c>
      <c r="G427" s="7">
        <v>1297.7814807443003</v>
      </c>
      <c r="H427" s="7">
        <v>7037.4466761857939</v>
      </c>
      <c r="I427" s="7">
        <v>1.3369232264921225</v>
      </c>
      <c r="J427" s="7">
        <v>1.3369232264921225</v>
      </c>
    </row>
    <row r="428" spans="1:10" ht="15">
      <c r="A428">
        <v>4</v>
      </c>
      <c r="B428" t="s">
        <v>112</v>
      </c>
      <c r="C428" t="s">
        <v>11</v>
      </c>
      <c r="D428" t="s">
        <v>39</v>
      </c>
      <c r="E428" s="79">
        <v>0.03</v>
      </c>
      <c r="F428" s="7">
        <v>2369.0609542412176</v>
      </c>
      <c r="G428" s="7">
        <v>538.56790872521856</v>
      </c>
      <c r="H428" s="7">
        <v>2907.6288629664359</v>
      </c>
      <c r="I428" s="7">
        <v>0.5414811399106676</v>
      </c>
      <c r="J428" s="7">
        <v>0.5414811399106676</v>
      </c>
    </row>
    <row r="429" spans="1:10" ht="15">
      <c r="A429">
        <v>4</v>
      </c>
      <c r="B429" t="s">
        <v>112</v>
      </c>
      <c r="C429" t="s">
        <v>12</v>
      </c>
      <c r="D429" t="s">
        <v>39</v>
      </c>
      <c r="E429" s="79">
        <v>0.03</v>
      </c>
      <c r="F429" s="7">
        <v>1216.1249108290515</v>
      </c>
      <c r="G429" s="7">
        <v>436.99359588427643</v>
      </c>
      <c r="H429" s="7">
        <v>1653.1185067133279</v>
      </c>
      <c r="I429" s="7">
        <v>0.33778814693770925</v>
      </c>
      <c r="J429" s="7">
        <v>0.33778814693770925</v>
      </c>
    </row>
    <row r="430" spans="1:10" ht="15">
      <c r="A430">
        <v>4</v>
      </c>
      <c r="B430" t="s">
        <v>112</v>
      </c>
      <c r="C430" t="s">
        <v>13</v>
      </c>
      <c r="D430" t="s">
        <v>39</v>
      </c>
      <c r="E430" s="79">
        <v>0.03</v>
      </c>
      <c r="F430" s="7">
        <v>4807.5063678428187</v>
      </c>
      <c r="G430" s="7">
        <v>237.22115145953555</v>
      </c>
      <c r="H430" s="7">
        <v>5044.7275193023543</v>
      </c>
      <c r="I430" s="7">
        <v>1.0604349772370085</v>
      </c>
      <c r="J430" s="7">
        <v>1.0604349772370085</v>
      </c>
    </row>
    <row r="431" spans="1:10" ht="15">
      <c r="A431">
        <v>4</v>
      </c>
      <c r="B431" t="s">
        <v>112</v>
      </c>
      <c r="C431" t="s">
        <v>14</v>
      </c>
      <c r="D431" t="s">
        <v>39</v>
      </c>
      <c r="E431" s="79">
        <v>0.03</v>
      </c>
      <c r="F431" s="7">
        <v>2787.3184761609618</v>
      </c>
      <c r="G431" s="7">
        <v>1162.1166764390966</v>
      </c>
      <c r="H431" s="7">
        <v>3949.4351526000587</v>
      </c>
      <c r="I431" s="7">
        <v>0.83714755046069111</v>
      </c>
      <c r="J431" s="7">
        <v>0.83714755046069111</v>
      </c>
    </row>
    <row r="432" spans="1:10" ht="15">
      <c r="A432">
        <v>4</v>
      </c>
      <c r="B432" t="s">
        <v>112</v>
      </c>
      <c r="C432" t="s">
        <v>125</v>
      </c>
      <c r="D432" t="s">
        <v>39</v>
      </c>
      <c r="E432" s="79">
        <v>7.0000000000000007E-2</v>
      </c>
      <c r="F432" s="7">
        <v>470.70026160572388</v>
      </c>
      <c r="G432" s="7">
        <v>179.056559707475</v>
      </c>
      <c r="H432" s="7">
        <v>649.75682131319888</v>
      </c>
      <c r="I432" s="7">
        <v>0.40268680567979614</v>
      </c>
      <c r="J432" s="7">
        <v>0.40268680567979614</v>
      </c>
    </row>
    <row r="433" spans="1:10" ht="15">
      <c r="A433">
        <v>4</v>
      </c>
      <c r="B433" t="s">
        <v>112</v>
      </c>
      <c r="C433" t="s">
        <v>9</v>
      </c>
      <c r="D433" t="s">
        <v>39</v>
      </c>
      <c r="E433" s="79">
        <v>7.0000000000000007E-2</v>
      </c>
      <c r="F433" s="7">
        <v>1553.6493256060928</v>
      </c>
      <c r="G433" s="7">
        <v>229.29337915232813</v>
      </c>
      <c r="H433" s="7">
        <v>1782.9427047584209</v>
      </c>
      <c r="I433" s="7">
        <v>1.0157926628303318</v>
      </c>
      <c r="J433" s="7">
        <v>1.0157926628303318</v>
      </c>
    </row>
    <row r="434" spans="1:10" ht="15">
      <c r="A434">
        <v>4</v>
      </c>
      <c r="B434" t="s">
        <v>112</v>
      </c>
      <c r="C434" t="s">
        <v>10</v>
      </c>
      <c r="D434" t="s">
        <v>39</v>
      </c>
      <c r="E434" s="79">
        <v>7.0000000000000007E-2</v>
      </c>
      <c r="F434" s="7">
        <v>1892.1793699339612</v>
      </c>
      <c r="G434" s="7">
        <v>666.76284907930153</v>
      </c>
      <c r="H434" s="7">
        <v>2558.9422190132627</v>
      </c>
      <c r="I434" s="7">
        <v>1.3369232264921225</v>
      </c>
      <c r="J434" s="7">
        <v>1.3369232264921225</v>
      </c>
    </row>
    <row r="435" spans="1:10" ht="15">
      <c r="A435">
        <v>4</v>
      </c>
      <c r="B435" t="s">
        <v>112</v>
      </c>
      <c r="C435" t="s">
        <v>11</v>
      </c>
      <c r="D435" t="s">
        <v>39</v>
      </c>
      <c r="E435" s="79">
        <v>7.0000000000000007E-2</v>
      </c>
      <c r="F435" s="7">
        <v>802.43310774174142</v>
      </c>
      <c r="G435" s="7">
        <v>276.70072240386708</v>
      </c>
      <c r="H435" s="7">
        <v>1079.1338301456085</v>
      </c>
      <c r="I435" s="7">
        <v>0.5414811399106676</v>
      </c>
      <c r="J435" s="7">
        <v>0.5414811399106676</v>
      </c>
    </row>
    <row r="436" spans="1:10" ht="15">
      <c r="A436">
        <v>4</v>
      </c>
      <c r="B436" t="s">
        <v>112</v>
      </c>
      <c r="C436" t="s">
        <v>12</v>
      </c>
      <c r="D436" t="s">
        <v>39</v>
      </c>
      <c r="E436" s="79">
        <v>7.0000000000000007E-2</v>
      </c>
      <c r="F436" s="7">
        <v>329.63500281543827</v>
      </c>
      <c r="G436" s="7">
        <v>224.51475794993064</v>
      </c>
      <c r="H436" s="7">
        <v>554.14976076536891</v>
      </c>
      <c r="I436" s="7">
        <v>0.33778814693770925</v>
      </c>
      <c r="J436" s="7">
        <v>0.33778814693770925</v>
      </c>
    </row>
    <row r="437" spans="1:10" ht="15">
      <c r="A437">
        <v>4</v>
      </c>
      <c r="B437" t="s">
        <v>112</v>
      </c>
      <c r="C437" t="s">
        <v>13</v>
      </c>
      <c r="D437" t="s">
        <v>39</v>
      </c>
      <c r="E437" s="79">
        <v>7.0000000000000007E-2</v>
      </c>
      <c r="F437" s="7">
        <v>1506.4304628809787</v>
      </c>
      <c r="G437" s="7">
        <v>121.87741399909565</v>
      </c>
      <c r="H437" s="7">
        <v>1628.3078768800742</v>
      </c>
      <c r="I437" s="7">
        <v>1.0604349772370085</v>
      </c>
      <c r="J437" s="7">
        <v>1.0604349772370085</v>
      </c>
    </row>
    <row r="438" spans="1:10" ht="15">
      <c r="A438">
        <v>4</v>
      </c>
      <c r="B438" t="s">
        <v>112</v>
      </c>
      <c r="C438" t="s">
        <v>14</v>
      </c>
      <c r="D438" t="s">
        <v>39</v>
      </c>
      <c r="E438" s="79">
        <v>7.0000000000000007E-2</v>
      </c>
      <c r="F438" s="7">
        <v>684.00484926480704</v>
      </c>
      <c r="G438" s="7">
        <v>597.06216928038407</v>
      </c>
      <c r="H438" s="7">
        <v>1281.0670185451911</v>
      </c>
      <c r="I438" s="7">
        <v>0.83714755046069111</v>
      </c>
      <c r="J438" s="7">
        <v>0.83714755046069111</v>
      </c>
    </row>
    <row r="439" spans="1:10" ht="15">
      <c r="A439">
        <v>4</v>
      </c>
      <c r="B439" t="s">
        <v>112</v>
      </c>
      <c r="C439" t="s">
        <v>125</v>
      </c>
      <c r="D439" t="s">
        <v>119</v>
      </c>
      <c r="E439" s="79">
        <v>0.03</v>
      </c>
      <c r="F439" s="7">
        <v>1368.7787594108252</v>
      </c>
      <c r="G439" s="7">
        <v>321.74971209417623</v>
      </c>
      <c r="H439" s="7">
        <v>1690.5284715050013</v>
      </c>
      <c r="I439" s="7">
        <v>0.3701175059572816</v>
      </c>
      <c r="J439" s="7">
        <v>0.3701175059572816</v>
      </c>
    </row>
    <row r="440" spans="1:10" ht="15">
      <c r="A440">
        <v>4</v>
      </c>
      <c r="B440" t="s">
        <v>112</v>
      </c>
      <c r="C440" t="s">
        <v>9</v>
      </c>
      <c r="D440" t="s">
        <v>119</v>
      </c>
      <c r="E440" s="79">
        <v>0.03</v>
      </c>
      <c r="F440" s="7">
        <v>4035.9905013638695</v>
      </c>
      <c r="G440" s="7">
        <v>412.0210890228704</v>
      </c>
      <c r="H440" s="7">
        <v>4448.01159038674</v>
      </c>
      <c r="I440" s="7">
        <v>0.93364174793872945</v>
      </c>
      <c r="J440" s="7">
        <v>0.93364174793872945</v>
      </c>
    </row>
    <row r="441" spans="1:10" ht="15">
      <c r="A441">
        <v>4</v>
      </c>
      <c r="B441" t="s">
        <v>112</v>
      </c>
      <c r="C441" t="s">
        <v>10</v>
      </c>
      <c r="D441" t="s">
        <v>119</v>
      </c>
      <c r="E441" s="79">
        <v>0.03</v>
      </c>
      <c r="F441" s="7">
        <v>4897.3534061839318</v>
      </c>
      <c r="G441" s="7">
        <v>1198.1172601374535</v>
      </c>
      <c r="H441" s="7">
        <v>6095.4706663213856</v>
      </c>
      <c r="I441" s="7">
        <v>1.2288183673903148</v>
      </c>
      <c r="J441" s="7">
        <v>1.2288183673903148</v>
      </c>
    </row>
    <row r="442" spans="1:10" ht="15">
      <c r="A442">
        <v>4</v>
      </c>
      <c r="B442" t="s">
        <v>112</v>
      </c>
      <c r="C442" t="s">
        <v>11</v>
      </c>
      <c r="D442" t="s">
        <v>119</v>
      </c>
      <c r="E442" s="79">
        <v>0.03</v>
      </c>
      <c r="F442" s="7">
        <v>2023.2875212251101</v>
      </c>
      <c r="G442" s="7">
        <v>497.20813309012874</v>
      </c>
      <c r="H442" s="7">
        <v>2520.4956543152389</v>
      </c>
      <c r="I442" s="7">
        <v>0.49770000061167752</v>
      </c>
      <c r="J442" s="7">
        <v>0.49770000061167752</v>
      </c>
    </row>
    <row r="443" spans="1:10" ht="15">
      <c r="A443">
        <v>4</v>
      </c>
      <c r="B443" t="s">
        <v>112</v>
      </c>
      <c r="C443" t="s">
        <v>12</v>
      </c>
      <c r="D443" t="s">
        <v>119</v>
      </c>
      <c r="E443" s="79">
        <v>0.03</v>
      </c>
      <c r="F443" s="7">
        <v>1023.8086183828624</v>
      </c>
      <c r="G443" s="7">
        <v>403.43430505589174</v>
      </c>
      <c r="H443" s="7">
        <v>1427.2429234387541</v>
      </c>
      <c r="I443" s="7">
        <v>0.31046762886503187</v>
      </c>
      <c r="J443" s="7">
        <v>0.31046762886503187</v>
      </c>
    </row>
    <row r="444" spans="1:10" ht="15">
      <c r="A444">
        <v>4</v>
      </c>
      <c r="B444" t="s">
        <v>112</v>
      </c>
      <c r="C444" t="s">
        <v>13</v>
      </c>
      <c r="D444" t="s">
        <v>119</v>
      </c>
      <c r="E444" s="79">
        <v>0.03</v>
      </c>
      <c r="F444" s="7">
        <v>4129.0533919839027</v>
      </c>
      <c r="G444" s="7">
        <v>219.00355356461569</v>
      </c>
      <c r="H444" s="7">
        <v>4348.0569455485183</v>
      </c>
      <c r="I444" s="7">
        <v>0.97466184074632278</v>
      </c>
      <c r="J444" s="7">
        <v>0.97466184074632278</v>
      </c>
    </row>
    <row r="445" spans="1:10" ht="15">
      <c r="A445">
        <v>4</v>
      </c>
      <c r="B445" t="s">
        <v>112</v>
      </c>
      <c r="C445" t="s">
        <v>14</v>
      </c>
      <c r="D445" t="s">
        <v>119</v>
      </c>
      <c r="E445" s="79">
        <v>0.03</v>
      </c>
      <c r="F445" s="7">
        <v>2331.8665602999645</v>
      </c>
      <c r="G445" s="7">
        <v>1072.8709486104824</v>
      </c>
      <c r="H445" s="7">
        <v>3404.7375089104471</v>
      </c>
      <c r="I445" s="7">
        <v>0.7694341854814305</v>
      </c>
      <c r="J445" s="7">
        <v>0.7694341854814305</v>
      </c>
    </row>
    <row r="446" spans="1:10" ht="15">
      <c r="A446">
        <v>4</v>
      </c>
      <c r="B446" t="s">
        <v>112</v>
      </c>
      <c r="C446" t="s">
        <v>125</v>
      </c>
      <c r="D446" t="s">
        <v>119</v>
      </c>
      <c r="E446" s="79">
        <v>7.0000000000000007E-2</v>
      </c>
      <c r="F446" s="7">
        <v>401.67539102007504</v>
      </c>
      <c r="G446" s="7">
        <v>166.14847335915854</v>
      </c>
      <c r="H446" s="7">
        <v>567.82386437923356</v>
      </c>
      <c r="I446" s="7">
        <v>0.3701175059572816</v>
      </c>
      <c r="J446" s="7">
        <v>0.3701175059572816</v>
      </c>
    </row>
    <row r="447" spans="1:10" ht="15">
      <c r="A447">
        <v>4</v>
      </c>
      <c r="B447" t="s">
        <v>112</v>
      </c>
      <c r="C447" t="s">
        <v>9</v>
      </c>
      <c r="D447" t="s">
        <v>119</v>
      </c>
      <c r="E447" s="79">
        <v>7.0000000000000007E-2</v>
      </c>
      <c r="F447" s="7">
        <v>1346.7377635838923</v>
      </c>
      <c r="G447" s="7">
        <v>212.76374883869542</v>
      </c>
      <c r="H447" s="7">
        <v>1559.5015124225877</v>
      </c>
      <c r="I447" s="7">
        <v>0.93364174793872945</v>
      </c>
      <c r="J447" s="7">
        <v>0.93364174793872945</v>
      </c>
    </row>
    <row r="448" spans="1:10" ht="15">
      <c r="A448">
        <v>4</v>
      </c>
      <c r="B448" t="s">
        <v>112</v>
      </c>
      <c r="C448" t="s">
        <v>10</v>
      </c>
      <c r="D448" t="s">
        <v>119</v>
      </c>
      <c r="E448" s="79">
        <v>7.0000000000000007E-2</v>
      </c>
      <c r="F448" s="7">
        <v>1622.1873285623078</v>
      </c>
      <c r="G448" s="7">
        <v>618.69629154113773</v>
      </c>
      <c r="H448" s="7">
        <v>2240.8836201034455</v>
      </c>
      <c r="I448" s="7">
        <v>1.2288183673903148</v>
      </c>
      <c r="J448" s="7">
        <v>1.2288183673903148</v>
      </c>
    </row>
    <row r="449" spans="1:10" ht="15">
      <c r="A449">
        <v>4</v>
      </c>
      <c r="B449" t="s">
        <v>112</v>
      </c>
      <c r="C449" t="s">
        <v>11</v>
      </c>
      <c r="D449" t="s">
        <v>119</v>
      </c>
      <c r="E449" s="79">
        <v>7.0000000000000007E-2</v>
      </c>
      <c r="F449" s="7">
        <v>688.71349436039509</v>
      </c>
      <c r="G449" s="7">
        <v>256.75352346703005</v>
      </c>
      <c r="H449" s="7">
        <v>945.46701782742514</v>
      </c>
      <c r="I449" s="7">
        <v>0.49770000061167752</v>
      </c>
      <c r="J449" s="7">
        <v>0.49770000061167752</v>
      </c>
    </row>
    <row r="450" spans="1:10" ht="15">
      <c r="A450">
        <v>4</v>
      </c>
      <c r="B450" t="s">
        <v>112</v>
      </c>
      <c r="C450" t="s">
        <v>12</v>
      </c>
      <c r="D450" t="s">
        <v>119</v>
      </c>
      <c r="E450" s="79">
        <v>7.0000000000000007E-2</v>
      </c>
      <c r="F450" s="7">
        <v>276.00271074961461</v>
      </c>
      <c r="G450" s="7">
        <v>208.32961574221935</v>
      </c>
      <c r="H450" s="7">
        <v>484.33232649183395</v>
      </c>
      <c r="I450" s="7">
        <v>0.31046762886503187</v>
      </c>
      <c r="J450" s="7">
        <v>0.31046762886503187</v>
      </c>
    </row>
    <row r="451" spans="1:10" ht="15">
      <c r="A451">
        <v>4</v>
      </c>
      <c r="B451" t="s">
        <v>112</v>
      </c>
      <c r="C451" t="s">
        <v>13</v>
      </c>
      <c r="D451" t="s">
        <v>119</v>
      </c>
      <c r="E451" s="79">
        <v>7.0000000000000007E-2</v>
      </c>
      <c r="F451" s="7">
        <v>1308.9839135707073</v>
      </c>
      <c r="G451" s="7">
        <v>113.09133999890284</v>
      </c>
      <c r="H451" s="7">
        <v>1422.0752535696101</v>
      </c>
      <c r="I451" s="7">
        <v>0.97466184074632278</v>
      </c>
      <c r="J451" s="7">
        <v>0.97466184074632278</v>
      </c>
    </row>
    <row r="452" spans="1:10" ht="15">
      <c r="A452">
        <v>4</v>
      </c>
      <c r="B452" t="s">
        <v>112</v>
      </c>
      <c r="C452" t="s">
        <v>14</v>
      </c>
      <c r="D452" t="s">
        <v>119</v>
      </c>
      <c r="E452" s="79">
        <v>7.0000000000000007E-2</v>
      </c>
      <c r="F452" s="7">
        <v>564.90883699657059</v>
      </c>
      <c r="G452" s="7">
        <v>554.02029441707248</v>
      </c>
      <c r="H452" s="7">
        <v>1118.9291314136431</v>
      </c>
      <c r="I452" s="7">
        <v>0.7694341854814305</v>
      </c>
      <c r="J452" s="7">
        <v>0.7694341854814305</v>
      </c>
    </row>
    <row r="453" spans="1:10" ht="15">
      <c r="A453">
        <v>4</v>
      </c>
      <c r="B453" t="s">
        <v>112</v>
      </c>
      <c r="C453" t="s">
        <v>125</v>
      </c>
      <c r="D453" t="s">
        <v>120</v>
      </c>
      <c r="E453" s="79">
        <v>0.03</v>
      </c>
      <c r="F453" s="7">
        <v>1922.5742908456828</v>
      </c>
      <c r="G453" s="7">
        <v>380.00583552459017</v>
      </c>
      <c r="H453" s="7">
        <v>2302.5801263702729</v>
      </c>
      <c r="I453" s="7">
        <v>0.44036889186325451</v>
      </c>
      <c r="J453" s="7">
        <v>0.44036889186325451</v>
      </c>
    </row>
    <row r="454" spans="1:10" ht="15">
      <c r="A454">
        <v>4</v>
      </c>
      <c r="B454" t="s">
        <v>112</v>
      </c>
      <c r="C454" t="s">
        <v>9</v>
      </c>
      <c r="D454" t="s">
        <v>120</v>
      </c>
      <c r="E454" s="79">
        <v>0.03</v>
      </c>
      <c r="F454" s="7">
        <v>5538.9161524480432</v>
      </c>
      <c r="G454" s="7">
        <v>486.62178178440462</v>
      </c>
      <c r="H454" s="7">
        <v>6025.5379342324477</v>
      </c>
      <c r="I454" s="7">
        <v>1.1108450863578114</v>
      </c>
      <c r="J454" s="7">
        <v>1.1108450863578114</v>
      </c>
    </row>
    <row r="455" spans="1:10" ht="15">
      <c r="A455">
        <v>4</v>
      </c>
      <c r="B455" t="s">
        <v>112</v>
      </c>
      <c r="C455" t="s">
        <v>10</v>
      </c>
      <c r="D455" t="s">
        <v>120</v>
      </c>
      <c r="E455" s="79">
        <v>0.03</v>
      </c>
      <c r="F455" s="7">
        <v>6799.3665860932952</v>
      </c>
      <c r="G455" s="7">
        <v>1415.0488201888468</v>
      </c>
      <c r="H455" s="7">
        <v>8214.4154062821417</v>
      </c>
      <c r="I455" s="7">
        <v>1.4620190527002497</v>
      </c>
      <c r="J455" s="7">
        <v>1.4620190527002497</v>
      </c>
    </row>
    <row r="456" spans="1:10">
      <c r="A456">
        <v>4</v>
      </c>
      <c r="B456" t="s">
        <v>112</v>
      </c>
      <c r="C456" t="s">
        <v>11</v>
      </c>
      <c r="D456" t="s">
        <v>120</v>
      </c>
      <c r="E456" s="79">
        <v>0.03</v>
      </c>
      <c r="F456" s="7">
        <v>2801.7821774889608</v>
      </c>
      <c r="G456" s="7">
        <v>587.23282396980824</v>
      </c>
      <c r="H456" s="7">
        <v>3389.0150014587689</v>
      </c>
      <c r="I456" s="7">
        <v>0.59214615794090575</v>
      </c>
      <c r="J456" s="7">
        <v>0.59214615794090575</v>
      </c>
    </row>
    <row r="457" spans="1:10">
      <c r="A457">
        <v>4</v>
      </c>
      <c r="B457" t="s">
        <v>112</v>
      </c>
      <c r="C457" t="s">
        <v>12</v>
      </c>
      <c r="D457" t="s">
        <v>120</v>
      </c>
      <c r="E457" s="79">
        <v>0.03</v>
      </c>
      <c r="F457" s="7">
        <v>1464.0982039472237</v>
      </c>
      <c r="G457" s="7">
        <v>476.4802714949227</v>
      </c>
      <c r="H457" s="7">
        <v>1940.5784754421463</v>
      </c>
      <c r="I457" s="7">
        <v>0.36939741318949915</v>
      </c>
      <c r="J457" s="7">
        <v>0.36939741318949915</v>
      </c>
    </row>
    <row r="458" spans="1:10">
      <c r="A458">
        <v>4</v>
      </c>
      <c r="B458" t="s">
        <v>112</v>
      </c>
      <c r="C458" t="s">
        <v>13</v>
      </c>
      <c r="D458" t="s">
        <v>120</v>
      </c>
      <c r="E458" s="79">
        <v>0.03</v>
      </c>
      <c r="F458" s="7">
        <v>5681.228564434391</v>
      </c>
      <c r="G458" s="7">
        <v>258.6564190329928</v>
      </c>
      <c r="H458" s="7">
        <v>5939.8849834673838</v>
      </c>
      <c r="I458" s="7">
        <v>1.1596687681980691</v>
      </c>
      <c r="J458" s="7">
        <v>1.1596687681980691</v>
      </c>
    </row>
    <row r="459" spans="1:10">
      <c r="A459">
        <v>4</v>
      </c>
      <c r="B459" t="s">
        <v>112</v>
      </c>
      <c r="C459" t="s">
        <v>14</v>
      </c>
      <c r="D459" t="s">
        <v>120</v>
      </c>
      <c r="E459" s="79">
        <v>0.03</v>
      </c>
      <c r="F459" s="7">
        <v>3381.3868649407905</v>
      </c>
      <c r="G459" s="7">
        <v>1267.1253645673894</v>
      </c>
      <c r="H459" s="7">
        <v>4648.5122295081801</v>
      </c>
      <c r="I459" s="7">
        <v>0.91548696264451945</v>
      </c>
      <c r="J459" s="7">
        <v>0.91548696264451945</v>
      </c>
    </row>
    <row r="460" spans="1:10">
      <c r="A460">
        <v>4</v>
      </c>
      <c r="B460" t="s">
        <v>112</v>
      </c>
      <c r="C460" t="s">
        <v>125</v>
      </c>
      <c r="D460" t="s">
        <v>120</v>
      </c>
      <c r="E460" s="79">
        <v>7.0000000000000007E-2</v>
      </c>
      <c r="F460" s="7">
        <v>556.45795432042189</v>
      </c>
      <c r="G460" s="7">
        <v>194.62143077348435</v>
      </c>
      <c r="H460" s="7">
        <v>751.07938509390624</v>
      </c>
      <c r="I460" s="7">
        <v>0.44036889186325451</v>
      </c>
      <c r="J460" s="7">
        <v>0.44036889186325451</v>
      </c>
    </row>
    <row r="461" spans="1:10">
      <c r="A461">
        <v>4</v>
      </c>
      <c r="B461" t="s">
        <v>112</v>
      </c>
      <c r="C461" t="s">
        <v>9</v>
      </c>
      <c r="D461" t="s">
        <v>120</v>
      </c>
      <c r="E461" s="79">
        <v>7.0000000000000007E-2</v>
      </c>
      <c r="F461" s="7">
        <v>1808.4762000387561</v>
      </c>
      <c r="G461" s="7">
        <v>249.2251922544348</v>
      </c>
      <c r="H461" s="7">
        <v>2057.701392293191</v>
      </c>
      <c r="I461" s="7">
        <v>1.1108450863578114</v>
      </c>
      <c r="J461" s="7">
        <v>1.1108450863578114</v>
      </c>
    </row>
    <row r="462" spans="1:10">
      <c r="A462">
        <v>4</v>
      </c>
      <c r="B462" t="s">
        <v>112</v>
      </c>
      <c r="C462" t="s">
        <v>10</v>
      </c>
      <c r="D462" t="s">
        <v>120</v>
      </c>
      <c r="E462" s="79">
        <v>7.0000000000000007E-2</v>
      </c>
      <c r="F462" s="7">
        <v>2222.454062373854</v>
      </c>
      <c r="G462" s="7">
        <v>724.72262332314415</v>
      </c>
      <c r="H462" s="7">
        <v>2947.176685696998</v>
      </c>
      <c r="I462" s="7">
        <v>1.4620190527002497</v>
      </c>
      <c r="J462" s="7">
        <v>1.4620190527002497</v>
      </c>
    </row>
    <row r="463" spans="1:10">
      <c r="A463">
        <v>4</v>
      </c>
      <c r="B463" t="s">
        <v>112</v>
      </c>
      <c r="C463" t="s">
        <v>11</v>
      </c>
      <c r="D463" t="s">
        <v>120</v>
      </c>
      <c r="E463" s="79">
        <v>7.0000000000000007E-2</v>
      </c>
      <c r="F463" s="7">
        <v>941.03154018105397</v>
      </c>
      <c r="G463" s="7">
        <v>300.75351932526365</v>
      </c>
      <c r="H463" s="7">
        <v>1241.7850595063176</v>
      </c>
      <c r="I463" s="7">
        <v>0.59214615794090575</v>
      </c>
      <c r="J463" s="7">
        <v>0.59214615794090575</v>
      </c>
    </row>
    <row r="464" spans="1:10">
      <c r="A464">
        <v>4</v>
      </c>
      <c r="B464" t="s">
        <v>112</v>
      </c>
      <c r="C464" t="s">
        <v>12</v>
      </c>
      <c r="D464" t="s">
        <v>120</v>
      </c>
      <c r="E464" s="79">
        <v>7.0000000000000007E-2</v>
      </c>
      <c r="F464" s="7">
        <v>396.38267145351608</v>
      </c>
      <c r="G464" s="7">
        <v>244.03117927298084</v>
      </c>
      <c r="H464" s="7">
        <v>640.41385072649689</v>
      </c>
      <c r="I464" s="7">
        <v>0.36939741318949915</v>
      </c>
      <c r="J464" s="7">
        <v>0.36939741318949915</v>
      </c>
    </row>
    <row r="465" spans="1:10">
      <c r="A465">
        <v>4</v>
      </c>
      <c r="B465" t="s">
        <v>112</v>
      </c>
      <c r="C465" t="s">
        <v>13</v>
      </c>
      <c r="D465" t="s">
        <v>120</v>
      </c>
      <c r="E465" s="79">
        <v>7.0000000000000007E-2</v>
      </c>
      <c r="F465" s="7">
        <v>1751.8752916355058</v>
      </c>
      <c r="G465" s="7">
        <v>132.47186660029448</v>
      </c>
      <c r="H465" s="7">
        <v>1884.3471582358004</v>
      </c>
      <c r="I465" s="7">
        <v>1.1596687681980691</v>
      </c>
      <c r="J465" s="7">
        <v>1.1596687681980691</v>
      </c>
    </row>
    <row r="466" spans="1:10">
      <c r="A466">
        <v>4</v>
      </c>
      <c r="B466" t="s">
        <v>112</v>
      </c>
      <c r="C466" t="s">
        <v>14</v>
      </c>
      <c r="D466" t="s">
        <v>120</v>
      </c>
      <c r="E466" s="79">
        <v>7.0000000000000007E-2</v>
      </c>
      <c r="F466" s="7">
        <v>833.26956974446762</v>
      </c>
      <c r="G466" s="7">
        <v>648.96306416199786</v>
      </c>
      <c r="H466" s="7">
        <v>1482.2326339064655</v>
      </c>
      <c r="I466" s="7">
        <v>0.91548696264451945</v>
      </c>
      <c r="J466" s="7">
        <v>0.91548696264451945</v>
      </c>
    </row>
    <row r="467" spans="1:10">
      <c r="A467">
        <v>4</v>
      </c>
      <c r="B467" t="s">
        <v>111</v>
      </c>
      <c r="C467" t="s">
        <v>125</v>
      </c>
      <c r="D467" t="s">
        <v>39</v>
      </c>
      <c r="E467" s="79">
        <v>0.03</v>
      </c>
      <c r="F467" s="7">
        <v>1432.9274646072381</v>
      </c>
      <c r="G467" s="7">
        <v>526.35826073491648</v>
      </c>
      <c r="H467" s="7">
        <v>1959.2857253421546</v>
      </c>
      <c r="I467" s="7">
        <v>0.40268680567979614</v>
      </c>
      <c r="J467" s="7">
        <v>0.40268680567979614</v>
      </c>
    </row>
    <row r="468" spans="1:10">
      <c r="A468">
        <v>4</v>
      </c>
      <c r="B468" t="s">
        <v>111</v>
      </c>
      <c r="C468" t="s">
        <v>9</v>
      </c>
      <c r="D468" t="s">
        <v>39</v>
      </c>
      <c r="E468" s="79">
        <v>0.03</v>
      </c>
      <c r="F468" s="7">
        <v>4471.040955190877</v>
      </c>
      <c r="G468" s="7">
        <v>674.03542459334346</v>
      </c>
      <c r="H468" s="7">
        <v>5145.0763797842201</v>
      </c>
      <c r="I468" s="7">
        <v>1.0157926628303318</v>
      </c>
      <c r="J468" s="7">
        <v>1.0157926628303318</v>
      </c>
    </row>
    <row r="469" spans="1:10">
      <c r="A469">
        <v>4</v>
      </c>
      <c r="B469" t="s">
        <v>111</v>
      </c>
      <c r="C469" t="s">
        <v>10</v>
      </c>
      <c r="D469" t="s">
        <v>39</v>
      </c>
      <c r="E469" s="79">
        <v>0.03</v>
      </c>
      <c r="F469" s="7">
        <v>5077.4172076346449</v>
      </c>
      <c r="G469" s="7">
        <v>1960.029468551149</v>
      </c>
      <c r="H469" s="7">
        <v>7037.4466761857939</v>
      </c>
      <c r="I469" s="7">
        <v>1.3369232264921225</v>
      </c>
      <c r="J469" s="7">
        <v>1.3369232264921225</v>
      </c>
    </row>
    <row r="470" spans="1:10">
      <c r="A470">
        <v>4</v>
      </c>
      <c r="B470" t="s">
        <v>111</v>
      </c>
      <c r="C470" t="s">
        <v>11</v>
      </c>
      <c r="D470" t="s">
        <v>39</v>
      </c>
      <c r="E470" s="79">
        <v>0.03</v>
      </c>
      <c r="F470" s="7">
        <v>2094.2338595857564</v>
      </c>
      <c r="G470" s="7">
        <v>813.39500338067955</v>
      </c>
      <c r="H470" s="7">
        <v>2907.6288629664359</v>
      </c>
      <c r="I470" s="7">
        <v>0.5414811399106676</v>
      </c>
      <c r="J470" s="7">
        <v>0.5414811399106676</v>
      </c>
    </row>
    <row r="471" spans="1:10">
      <c r="A471">
        <v>4</v>
      </c>
      <c r="B471" t="s">
        <v>111</v>
      </c>
      <c r="C471" t="s">
        <v>12</v>
      </c>
      <c r="D471" t="s">
        <v>39</v>
      </c>
      <c r="E471" s="79">
        <v>0.03</v>
      </c>
      <c r="F471" s="7">
        <v>993.13041302433169</v>
      </c>
      <c r="G471" s="7">
        <v>659.98809368899617</v>
      </c>
      <c r="H471" s="7">
        <v>1653.1185067133279</v>
      </c>
      <c r="I471" s="7">
        <v>0.33778814693770925</v>
      </c>
      <c r="J471" s="7">
        <v>0.33778814693770925</v>
      </c>
    </row>
    <row r="472" spans="1:10">
      <c r="A472">
        <v>4</v>
      </c>
      <c r="B472" t="s">
        <v>111</v>
      </c>
      <c r="C472" t="s">
        <v>13</v>
      </c>
      <c r="D472" t="s">
        <v>39</v>
      </c>
      <c r="E472" s="79">
        <v>0.03</v>
      </c>
      <c r="F472" s="7">
        <v>4686.4542242036587</v>
      </c>
      <c r="G472" s="7">
        <v>358.27329509869566</v>
      </c>
      <c r="H472" s="7">
        <v>5044.7275193023543</v>
      </c>
      <c r="I472" s="7">
        <v>1.0604349772370085</v>
      </c>
      <c r="J472" s="7">
        <v>1.0604349772370085</v>
      </c>
    </row>
    <row r="473" spans="1:10">
      <c r="A473">
        <v>4</v>
      </c>
      <c r="B473" t="s">
        <v>111</v>
      </c>
      <c r="C473" t="s">
        <v>14</v>
      </c>
      <c r="D473" t="s">
        <v>39</v>
      </c>
      <c r="E473" s="79">
        <v>0.03</v>
      </c>
      <c r="F473" s="7">
        <v>2194.2992028953358</v>
      </c>
      <c r="G473" s="7">
        <v>1755.1359497047229</v>
      </c>
      <c r="H473" s="7">
        <v>3949.4351526000587</v>
      </c>
      <c r="I473" s="7">
        <v>0.83714755046069111</v>
      </c>
      <c r="J473" s="7">
        <v>0.83714755046069111</v>
      </c>
    </row>
    <row r="474" spans="1:10">
      <c r="A474">
        <v>4</v>
      </c>
      <c r="B474" t="s">
        <v>111</v>
      </c>
      <c r="C474" t="s">
        <v>125</v>
      </c>
      <c r="D474" t="s">
        <v>39</v>
      </c>
      <c r="E474" s="79">
        <v>7.0000000000000007E-2</v>
      </c>
      <c r="F474" s="7">
        <v>392.67631604625706</v>
      </c>
      <c r="G474" s="7">
        <v>257.08050526694183</v>
      </c>
      <c r="H474" s="7">
        <v>649.75682131319888</v>
      </c>
      <c r="I474" s="7">
        <v>0.40268680567979614</v>
      </c>
      <c r="J474" s="7">
        <v>0.40268680567979614</v>
      </c>
    </row>
    <row r="475" spans="1:10">
      <c r="A475">
        <v>4</v>
      </c>
      <c r="B475" t="s">
        <v>111</v>
      </c>
      <c r="C475" t="s">
        <v>9</v>
      </c>
      <c r="D475" t="s">
        <v>39</v>
      </c>
      <c r="E475" s="79">
        <v>7.0000000000000007E-2</v>
      </c>
      <c r="F475" s="7">
        <v>1453.7346720387786</v>
      </c>
      <c r="G475" s="7">
        <v>329.20803271964235</v>
      </c>
      <c r="H475" s="7">
        <v>1782.9427047584209</v>
      </c>
      <c r="I475" s="7">
        <v>1.0157926628303318</v>
      </c>
      <c r="J475" s="7">
        <v>1.0157926628303318</v>
      </c>
    </row>
    <row r="476" spans="1:10">
      <c r="A476">
        <v>4</v>
      </c>
      <c r="B476" t="s">
        <v>111</v>
      </c>
      <c r="C476" t="s">
        <v>10</v>
      </c>
      <c r="D476" t="s">
        <v>39</v>
      </c>
      <c r="E476" s="79">
        <v>7.0000000000000007E-2</v>
      </c>
      <c r="F476" s="7">
        <v>1601.6372735001337</v>
      </c>
      <c r="G476" s="7">
        <v>957.30494551312904</v>
      </c>
      <c r="H476" s="7">
        <v>2558.9422190132627</v>
      </c>
      <c r="I476" s="7">
        <v>1.3369232264921225</v>
      </c>
      <c r="J476" s="7">
        <v>1.3369232264921225</v>
      </c>
    </row>
    <row r="477" spans="1:10">
      <c r="A477">
        <v>4</v>
      </c>
      <c r="B477" t="s">
        <v>111</v>
      </c>
      <c r="C477" t="s">
        <v>11</v>
      </c>
      <c r="D477" t="s">
        <v>39</v>
      </c>
      <c r="E477" s="79">
        <v>7.0000000000000007E-2</v>
      </c>
      <c r="F477" s="7">
        <v>681.8606912026604</v>
      </c>
      <c r="G477" s="7">
        <v>397.27313894294809</v>
      </c>
      <c r="H477" s="7">
        <v>1079.1338301456085</v>
      </c>
      <c r="I477" s="7">
        <v>0.5414811399106676</v>
      </c>
      <c r="J477" s="7">
        <v>0.5414811399106676</v>
      </c>
    </row>
    <row r="478" spans="1:10">
      <c r="A478">
        <v>4</v>
      </c>
      <c r="B478" t="s">
        <v>111</v>
      </c>
      <c r="C478" t="s">
        <v>12</v>
      </c>
      <c r="D478" t="s">
        <v>39</v>
      </c>
      <c r="E478" s="79">
        <v>7.0000000000000007E-2</v>
      </c>
      <c r="F478" s="7">
        <v>231.80263476256886</v>
      </c>
      <c r="G478" s="7">
        <v>322.34712600280005</v>
      </c>
      <c r="H478" s="7">
        <v>554.14976076536891</v>
      </c>
      <c r="I478" s="7">
        <v>0.33778814693770925</v>
      </c>
      <c r="J478" s="7">
        <v>0.33778814693770925</v>
      </c>
    </row>
    <row r="479" spans="1:10">
      <c r="A479">
        <v>4</v>
      </c>
      <c r="B479" t="s">
        <v>111</v>
      </c>
      <c r="C479" t="s">
        <v>13</v>
      </c>
      <c r="D479" t="s">
        <v>39</v>
      </c>
      <c r="E479" s="79">
        <v>7.0000000000000007E-2</v>
      </c>
      <c r="F479" s="7">
        <v>1453.3223459243616</v>
      </c>
      <c r="G479" s="7">
        <v>174.98553095571265</v>
      </c>
      <c r="H479" s="7">
        <v>1628.3078768800742</v>
      </c>
      <c r="I479" s="7">
        <v>1.0604349772370085</v>
      </c>
      <c r="J479" s="7">
        <v>1.0604349772370085</v>
      </c>
    </row>
    <row r="480" spans="1:10">
      <c r="A480">
        <v>4</v>
      </c>
      <c r="B480" t="s">
        <v>111</v>
      </c>
      <c r="C480" t="s">
        <v>14</v>
      </c>
      <c r="D480" t="s">
        <v>39</v>
      </c>
      <c r="E480" s="79">
        <v>7.0000000000000007E-2</v>
      </c>
      <c r="F480" s="7">
        <v>423.83484338702044</v>
      </c>
      <c r="G480" s="7">
        <v>857.23217515817066</v>
      </c>
      <c r="H480" s="7">
        <v>1281.0670185451911</v>
      </c>
      <c r="I480" s="7">
        <v>0.83714755046069111</v>
      </c>
      <c r="J480" s="7">
        <v>0.83714755046069111</v>
      </c>
    </row>
    <row r="481" spans="1:10">
      <c r="A481">
        <v>4</v>
      </c>
      <c r="B481" t="s">
        <v>111</v>
      </c>
      <c r="C481" t="s">
        <v>125</v>
      </c>
      <c r="D481" t="s">
        <v>119</v>
      </c>
      <c r="E481" s="79">
        <v>0.03</v>
      </c>
      <c r="F481" s="7">
        <v>1205.9590671083263</v>
      </c>
      <c r="G481" s="7">
        <v>484.56940439667511</v>
      </c>
      <c r="H481" s="7">
        <v>1690.5284715050013</v>
      </c>
      <c r="I481" s="7">
        <v>0.3701175059572816</v>
      </c>
      <c r="J481" s="7">
        <v>0.3701175059572816</v>
      </c>
    </row>
    <row r="482" spans="1:10">
      <c r="A482">
        <v>4</v>
      </c>
      <c r="B482" t="s">
        <v>111</v>
      </c>
      <c r="C482" t="s">
        <v>9</v>
      </c>
      <c r="D482" t="s">
        <v>119</v>
      </c>
      <c r="E482" s="79">
        <v>0.03</v>
      </c>
      <c r="F482" s="7">
        <v>3827.4894696140473</v>
      </c>
      <c r="G482" s="7">
        <v>620.52212077269269</v>
      </c>
      <c r="H482" s="7">
        <v>4448.01159038674</v>
      </c>
      <c r="I482" s="7">
        <v>0.93364174793872945</v>
      </c>
      <c r="J482" s="7">
        <v>0.93364174793872945</v>
      </c>
    </row>
    <row r="483" spans="1:10">
      <c r="A483">
        <v>4</v>
      </c>
      <c r="B483" t="s">
        <v>111</v>
      </c>
      <c r="C483" t="s">
        <v>10</v>
      </c>
      <c r="D483" t="s">
        <v>119</v>
      </c>
      <c r="E483" s="79">
        <v>0.03</v>
      </c>
      <c r="F483" s="7">
        <v>4291.0526814118966</v>
      </c>
      <c r="G483" s="7">
        <v>1804.417984909489</v>
      </c>
      <c r="H483" s="7">
        <v>6095.4706663213856</v>
      </c>
      <c r="I483" s="7">
        <v>1.2288183673903148</v>
      </c>
      <c r="J483" s="7">
        <v>1.2288183673903148</v>
      </c>
    </row>
    <row r="484" spans="1:10">
      <c r="A484">
        <v>4</v>
      </c>
      <c r="B484" t="s">
        <v>111</v>
      </c>
      <c r="C484" t="s">
        <v>11</v>
      </c>
      <c r="D484" t="s">
        <v>119</v>
      </c>
      <c r="E484" s="79">
        <v>0.03</v>
      </c>
      <c r="F484" s="7">
        <v>1771.678049026611</v>
      </c>
      <c r="G484" s="7">
        <v>748.81760528862799</v>
      </c>
      <c r="H484" s="7">
        <v>2520.4956543152389</v>
      </c>
      <c r="I484" s="7">
        <v>0.49770000061167752</v>
      </c>
      <c r="J484" s="7">
        <v>0.49770000061167752</v>
      </c>
    </row>
    <row r="485" spans="1:10">
      <c r="A485">
        <v>4</v>
      </c>
      <c r="B485" t="s">
        <v>111</v>
      </c>
      <c r="C485" t="s">
        <v>12</v>
      </c>
      <c r="D485" t="s">
        <v>119</v>
      </c>
      <c r="E485" s="79">
        <v>0.03</v>
      </c>
      <c r="F485" s="7">
        <v>819.65288196919346</v>
      </c>
      <c r="G485" s="7">
        <v>607.59004146956067</v>
      </c>
      <c r="H485" s="7">
        <v>1427.2429234387541</v>
      </c>
      <c r="I485" s="7">
        <v>0.31046762886503187</v>
      </c>
      <c r="J485" s="7">
        <v>0.31046762886503187</v>
      </c>
    </row>
    <row r="486" spans="1:10">
      <c r="A486">
        <v>4</v>
      </c>
      <c r="B486" t="s">
        <v>111</v>
      </c>
      <c r="C486" t="s">
        <v>13</v>
      </c>
      <c r="D486" t="s">
        <v>119</v>
      </c>
      <c r="E486" s="79">
        <v>0.03</v>
      </c>
      <c r="F486" s="7">
        <v>4018.22783452666</v>
      </c>
      <c r="G486" s="7">
        <v>329.82911102185847</v>
      </c>
      <c r="H486" s="7">
        <v>4348.0569455485183</v>
      </c>
      <c r="I486" s="7">
        <v>0.97466184074632278</v>
      </c>
      <c r="J486" s="7">
        <v>0.97466184074632278</v>
      </c>
    </row>
    <row r="487" spans="1:10">
      <c r="A487">
        <v>4</v>
      </c>
      <c r="B487" t="s">
        <v>111</v>
      </c>
      <c r="C487" t="s">
        <v>14</v>
      </c>
      <c r="D487" t="s">
        <v>119</v>
      </c>
      <c r="E487" s="79">
        <v>0.03</v>
      </c>
      <c r="F487" s="7">
        <v>1788.9460504537331</v>
      </c>
      <c r="G487" s="7">
        <v>1615.7914584567141</v>
      </c>
      <c r="H487" s="7">
        <v>3404.7375089104471</v>
      </c>
      <c r="I487" s="7">
        <v>0.7694341854814305</v>
      </c>
      <c r="J487" s="7">
        <v>0.7694341854814305</v>
      </c>
    </row>
    <row r="488" spans="1:10">
      <c r="A488">
        <v>4</v>
      </c>
      <c r="B488" t="s">
        <v>111</v>
      </c>
      <c r="C488" t="s">
        <v>125</v>
      </c>
      <c r="D488" t="s">
        <v>119</v>
      </c>
      <c r="E488" s="79">
        <v>7.0000000000000007E-2</v>
      </c>
      <c r="F488" s="7">
        <v>329.83850354831497</v>
      </c>
      <c r="G488" s="7">
        <v>237.98536083091858</v>
      </c>
      <c r="H488" s="7">
        <v>567.82386437923356</v>
      </c>
      <c r="I488" s="7">
        <v>0.3701175059572816</v>
      </c>
      <c r="J488" s="7">
        <v>0.3701175059572816</v>
      </c>
    </row>
    <row r="489" spans="1:10">
      <c r="A489">
        <v>4</v>
      </c>
      <c r="B489" t="s">
        <v>111</v>
      </c>
      <c r="C489" t="s">
        <v>9</v>
      </c>
      <c r="D489" t="s">
        <v>119</v>
      </c>
      <c r="E489" s="79">
        <v>7.0000000000000007E-2</v>
      </c>
      <c r="F489" s="7">
        <v>1254.7460336908616</v>
      </c>
      <c r="G489" s="7">
        <v>304.75547873172616</v>
      </c>
      <c r="H489" s="7">
        <v>1559.5015124225877</v>
      </c>
      <c r="I489" s="7">
        <v>0.93364174793872945</v>
      </c>
      <c r="J489" s="7">
        <v>0.93364174793872945</v>
      </c>
    </row>
    <row r="490" spans="1:10">
      <c r="A490">
        <v>4</v>
      </c>
      <c r="B490" t="s">
        <v>111</v>
      </c>
      <c r="C490" t="s">
        <v>10</v>
      </c>
      <c r="D490" t="s">
        <v>119</v>
      </c>
      <c r="E490" s="79">
        <v>7.0000000000000007E-2</v>
      </c>
      <c r="F490" s="7">
        <v>1354.6843237133858</v>
      </c>
      <c r="G490" s="7">
        <v>886.19929639005966</v>
      </c>
      <c r="H490" s="7">
        <v>2240.8836201034455</v>
      </c>
      <c r="I490" s="7">
        <v>1.2288183673903148</v>
      </c>
      <c r="J490" s="7">
        <v>1.2288183673903148</v>
      </c>
    </row>
    <row r="491" spans="1:10">
      <c r="A491">
        <v>4</v>
      </c>
      <c r="B491" t="s">
        <v>111</v>
      </c>
      <c r="C491" t="s">
        <v>11</v>
      </c>
      <c r="D491" t="s">
        <v>119</v>
      </c>
      <c r="E491" s="79">
        <v>7.0000000000000007E-2</v>
      </c>
      <c r="F491" s="7">
        <v>577.70209834589025</v>
      </c>
      <c r="G491" s="7">
        <v>367.76491948153489</v>
      </c>
      <c r="H491" s="7">
        <v>945.46701782742514</v>
      </c>
      <c r="I491" s="7">
        <v>0.49770000061167752</v>
      </c>
      <c r="J491" s="7">
        <v>0.49770000061167752</v>
      </c>
    </row>
    <row r="492" spans="1:10">
      <c r="A492">
        <v>4</v>
      </c>
      <c r="B492" t="s">
        <v>111</v>
      </c>
      <c r="C492" t="s">
        <v>12</v>
      </c>
      <c r="D492" t="s">
        <v>119</v>
      </c>
      <c r="E492" s="79">
        <v>7.0000000000000007E-2</v>
      </c>
      <c r="F492" s="7">
        <v>185.92814755602018</v>
      </c>
      <c r="G492" s="7">
        <v>298.40417893581377</v>
      </c>
      <c r="H492" s="7">
        <v>484.33232649183395</v>
      </c>
      <c r="I492" s="7">
        <v>0.31046762886503187</v>
      </c>
      <c r="J492" s="7">
        <v>0.31046762886503187</v>
      </c>
    </row>
    <row r="493" spans="1:10">
      <c r="A493">
        <v>4</v>
      </c>
      <c r="B493" t="s">
        <v>111</v>
      </c>
      <c r="C493" t="s">
        <v>13</v>
      </c>
      <c r="D493" t="s">
        <v>119</v>
      </c>
      <c r="E493" s="79">
        <v>7.0000000000000007E-2</v>
      </c>
      <c r="F493" s="7">
        <v>1260.0871063880736</v>
      </c>
      <c r="G493" s="7">
        <v>161.98814718153653</v>
      </c>
      <c r="H493" s="7">
        <v>1422.0752535696101</v>
      </c>
      <c r="I493" s="7">
        <v>0.97466184074632278</v>
      </c>
      <c r="J493" s="7">
        <v>0.97466184074632278</v>
      </c>
    </row>
    <row r="494" spans="1:10">
      <c r="A494">
        <v>4</v>
      </c>
      <c r="B494" t="s">
        <v>111</v>
      </c>
      <c r="C494" t="s">
        <v>14</v>
      </c>
      <c r="D494" t="s">
        <v>119</v>
      </c>
      <c r="E494" s="79">
        <v>7.0000000000000007E-2</v>
      </c>
      <c r="F494" s="7">
        <v>325.36950965603</v>
      </c>
      <c r="G494" s="7">
        <v>793.55962175761306</v>
      </c>
      <c r="H494" s="7">
        <v>1118.9291314136431</v>
      </c>
      <c r="I494" s="7">
        <v>0.7694341854814305</v>
      </c>
      <c r="J494" s="7">
        <v>0.7694341854814305</v>
      </c>
    </row>
    <row r="495" spans="1:10">
      <c r="A495">
        <v>4</v>
      </c>
      <c r="B495" t="s">
        <v>111</v>
      </c>
      <c r="C495" t="s">
        <v>125</v>
      </c>
      <c r="D495" t="s">
        <v>120</v>
      </c>
      <c r="E495" s="79">
        <v>0.03</v>
      </c>
      <c r="F495" s="7">
        <v>1727.598996350685</v>
      </c>
      <c r="G495" s="7">
        <v>574.98113001958779</v>
      </c>
      <c r="H495" s="7">
        <v>2302.5801263702729</v>
      </c>
      <c r="I495" s="7">
        <v>0.44036889186325451</v>
      </c>
      <c r="J495" s="7">
        <v>0.44036889186325451</v>
      </c>
    </row>
    <row r="496" spans="1:10">
      <c r="A496">
        <v>4</v>
      </c>
      <c r="B496" t="s">
        <v>111</v>
      </c>
      <c r="C496" t="s">
        <v>9</v>
      </c>
      <c r="D496" t="s">
        <v>120</v>
      </c>
      <c r="E496" s="79">
        <v>0.03</v>
      </c>
      <c r="F496" s="7">
        <v>5289.2378150611557</v>
      </c>
      <c r="G496" s="7">
        <v>736.30011917129229</v>
      </c>
      <c r="H496" s="7">
        <v>6025.5379342324477</v>
      </c>
      <c r="I496" s="7">
        <v>1.1108450863578114</v>
      </c>
      <c r="J496" s="7">
        <v>1.1108450863578114</v>
      </c>
    </row>
    <row r="497" spans="1:10">
      <c r="A497">
        <v>4</v>
      </c>
      <c r="B497" t="s">
        <v>111</v>
      </c>
      <c r="C497" t="s">
        <v>10</v>
      </c>
      <c r="D497" t="s">
        <v>120</v>
      </c>
      <c r="E497" s="79">
        <v>0.03</v>
      </c>
      <c r="F497" s="7">
        <v>6073.3262607908009</v>
      </c>
      <c r="G497" s="7">
        <v>2141.0891454913408</v>
      </c>
      <c r="H497" s="7">
        <v>8214.4154062821417</v>
      </c>
      <c r="I497" s="7">
        <v>1.4620190527002497</v>
      </c>
      <c r="J497" s="7">
        <v>1.4620190527002497</v>
      </c>
    </row>
    <row r="498" spans="1:10">
      <c r="A498">
        <v>4</v>
      </c>
      <c r="B498" t="s">
        <v>111</v>
      </c>
      <c r="C498" t="s">
        <v>11</v>
      </c>
      <c r="D498" t="s">
        <v>120</v>
      </c>
      <c r="E498" s="79">
        <v>0.03</v>
      </c>
      <c r="F498" s="7">
        <v>2500.4818234231266</v>
      </c>
      <c r="G498" s="7">
        <v>888.53317803564244</v>
      </c>
      <c r="H498" s="7">
        <v>3389.0150014587689</v>
      </c>
      <c r="I498" s="7">
        <v>0.59214615794090575</v>
      </c>
      <c r="J498" s="7">
        <v>0.59214615794090575</v>
      </c>
    </row>
    <row r="499" spans="1:10">
      <c r="A499">
        <v>4</v>
      </c>
      <c r="B499" t="s">
        <v>111</v>
      </c>
      <c r="C499" t="s">
        <v>12</v>
      </c>
      <c r="D499" t="s">
        <v>120</v>
      </c>
      <c r="E499" s="79">
        <v>0.03</v>
      </c>
      <c r="F499" s="7">
        <v>1219.6233233772189</v>
      </c>
      <c r="G499" s="7">
        <v>720.95515206492746</v>
      </c>
      <c r="H499" s="7">
        <v>1940.5784754421463</v>
      </c>
      <c r="I499" s="7">
        <v>0.36939741318949915</v>
      </c>
      <c r="J499" s="7">
        <v>0.36939741318949915</v>
      </c>
    </row>
    <row r="500" spans="1:10">
      <c r="A500">
        <v>4</v>
      </c>
      <c r="B500" t="s">
        <v>111</v>
      </c>
      <c r="C500" t="s">
        <v>13</v>
      </c>
      <c r="D500" t="s">
        <v>120</v>
      </c>
      <c r="E500" s="79">
        <v>0.03</v>
      </c>
      <c r="F500" s="7">
        <v>5548.5158354196919</v>
      </c>
      <c r="G500" s="7">
        <v>391.36914804769197</v>
      </c>
      <c r="H500" s="7">
        <v>5939.8849834673838</v>
      </c>
      <c r="I500" s="7">
        <v>1.1596687681980691</v>
      </c>
      <c r="J500" s="7">
        <v>1.1596687681980691</v>
      </c>
    </row>
    <row r="501" spans="1:10">
      <c r="A501">
        <v>4</v>
      </c>
      <c r="B501" t="s">
        <v>111</v>
      </c>
      <c r="C501" t="s">
        <v>14</v>
      </c>
      <c r="D501" t="s">
        <v>120</v>
      </c>
      <c r="E501" s="79">
        <v>0.03</v>
      </c>
      <c r="F501" s="7">
        <v>2731.2438460117542</v>
      </c>
      <c r="G501" s="7">
        <v>1917.2683834964259</v>
      </c>
      <c r="H501" s="7">
        <v>4648.5122295081801</v>
      </c>
      <c r="I501" s="7">
        <v>0.91548696264451945</v>
      </c>
      <c r="J501" s="7">
        <v>0.91548696264451945</v>
      </c>
    </row>
    <row r="502" spans="1:10">
      <c r="A502">
        <v>4</v>
      </c>
      <c r="B502" t="s">
        <v>111</v>
      </c>
      <c r="C502" t="s">
        <v>125</v>
      </c>
      <c r="D502" t="s">
        <v>120</v>
      </c>
      <c r="E502" s="79">
        <v>7.0000000000000007E-2</v>
      </c>
      <c r="F502" s="7">
        <v>471.25147685594658</v>
      </c>
      <c r="G502" s="7">
        <v>279.82790823795966</v>
      </c>
      <c r="H502" s="7">
        <v>751.07938509390624</v>
      </c>
      <c r="I502" s="7">
        <v>0.44036889186325451</v>
      </c>
      <c r="J502" s="7">
        <v>0.44036889186325451</v>
      </c>
    </row>
    <row r="503" spans="1:10">
      <c r="A503">
        <v>4</v>
      </c>
      <c r="B503" t="s">
        <v>111</v>
      </c>
      <c r="C503" t="s">
        <v>9</v>
      </c>
      <c r="D503" t="s">
        <v>120</v>
      </c>
      <c r="E503" s="79">
        <v>7.0000000000000007E-2</v>
      </c>
      <c r="F503" s="7">
        <v>1699.3638548925392</v>
      </c>
      <c r="G503" s="7">
        <v>358.33753740065191</v>
      </c>
      <c r="H503" s="7">
        <v>2057.701392293191</v>
      </c>
      <c r="I503" s="7">
        <v>1.1108450863578114</v>
      </c>
      <c r="J503" s="7">
        <v>1.1108450863578114</v>
      </c>
    </row>
    <row r="504" spans="1:10">
      <c r="A504">
        <v>4</v>
      </c>
      <c r="B504" t="s">
        <v>111</v>
      </c>
      <c r="C504" t="s">
        <v>10</v>
      </c>
      <c r="D504" t="s">
        <v>120</v>
      </c>
      <c r="E504" s="79">
        <v>7.0000000000000007E-2</v>
      </c>
      <c r="F504" s="7">
        <v>1905.1659732525179</v>
      </c>
      <c r="G504" s="7">
        <v>1042.0107124444801</v>
      </c>
      <c r="H504" s="7">
        <v>2947.176685696998</v>
      </c>
      <c r="I504" s="7">
        <v>1.4620190527002497</v>
      </c>
      <c r="J504" s="7">
        <v>1.4620190527002497</v>
      </c>
    </row>
    <row r="505" spans="1:10">
      <c r="A505">
        <v>4</v>
      </c>
      <c r="B505" t="s">
        <v>111</v>
      </c>
      <c r="C505" t="s">
        <v>11</v>
      </c>
      <c r="D505" t="s">
        <v>120</v>
      </c>
      <c r="E505" s="79">
        <v>7.0000000000000007E-2</v>
      </c>
      <c r="F505" s="7">
        <v>809.35977173857782</v>
      </c>
      <c r="G505" s="7">
        <v>432.42528776773975</v>
      </c>
      <c r="H505" s="7">
        <v>1241.7850595063176</v>
      </c>
      <c r="I505" s="7">
        <v>0.59214615794090575</v>
      </c>
      <c r="J505" s="7">
        <v>0.59214615794090575</v>
      </c>
    </row>
    <row r="506" spans="1:10">
      <c r="A506">
        <v>4</v>
      </c>
      <c r="B506" t="s">
        <v>111</v>
      </c>
      <c r="C506" t="s">
        <v>12</v>
      </c>
      <c r="D506" t="s">
        <v>120</v>
      </c>
      <c r="E506" s="79">
        <v>7.0000000000000007E-2</v>
      </c>
      <c r="F506" s="7">
        <v>289.54429761814345</v>
      </c>
      <c r="G506" s="7">
        <v>350.86955310835344</v>
      </c>
      <c r="H506" s="7">
        <v>640.41385072649689</v>
      </c>
      <c r="I506" s="7">
        <v>0.36939741318949915</v>
      </c>
      <c r="J506" s="7">
        <v>0.36939741318949915</v>
      </c>
    </row>
    <row r="507" spans="1:10">
      <c r="A507">
        <v>4</v>
      </c>
      <c r="B507" t="s">
        <v>111</v>
      </c>
      <c r="C507" t="s">
        <v>13</v>
      </c>
      <c r="D507" t="s">
        <v>120</v>
      </c>
      <c r="E507" s="79">
        <v>7.0000000000000007E-2</v>
      </c>
      <c r="F507" s="7">
        <v>1693.8782813818293</v>
      </c>
      <c r="G507" s="7">
        <v>190.46887685397107</v>
      </c>
      <c r="H507" s="7">
        <v>1884.3471582358004</v>
      </c>
      <c r="I507" s="7">
        <v>1.1596687681980691</v>
      </c>
      <c r="J507" s="7">
        <v>1.1596687681980691</v>
      </c>
    </row>
    <row r="508" spans="1:10">
      <c r="A508">
        <v>4</v>
      </c>
      <c r="B508" t="s">
        <v>111</v>
      </c>
      <c r="C508" t="s">
        <v>14</v>
      </c>
      <c r="D508" t="s">
        <v>120</v>
      </c>
      <c r="E508" s="79">
        <v>7.0000000000000007E-2</v>
      </c>
      <c r="F508" s="7">
        <v>549.14948861037158</v>
      </c>
      <c r="G508" s="7">
        <v>933.0831452960939</v>
      </c>
      <c r="H508" s="7">
        <v>1482.2326339064655</v>
      </c>
      <c r="I508" s="7">
        <v>0.91548696264451945</v>
      </c>
      <c r="J508" s="7">
        <v>0.91548696264451945</v>
      </c>
    </row>
    <row r="509" spans="1:10">
      <c r="A509">
        <v>5</v>
      </c>
      <c r="B509" t="s">
        <v>110</v>
      </c>
      <c r="C509" t="s">
        <v>125</v>
      </c>
      <c r="D509" t="s">
        <v>39</v>
      </c>
      <c r="E509" s="79">
        <v>0.03</v>
      </c>
      <c r="F509" s="7">
        <v>2338.4885416842058</v>
      </c>
      <c r="G509" s="7">
        <v>437.27958890689445</v>
      </c>
      <c r="H509" s="7">
        <v>2775.7681305911001</v>
      </c>
      <c r="I509" s="7">
        <v>0.5704962718596438</v>
      </c>
      <c r="J509" s="7">
        <v>0.5704962718596438</v>
      </c>
    </row>
    <row r="510" spans="1:10">
      <c r="A510">
        <v>5</v>
      </c>
      <c r="B510" t="s">
        <v>110</v>
      </c>
      <c r="C510" t="s">
        <v>9</v>
      </c>
      <c r="D510" t="s">
        <v>39</v>
      </c>
      <c r="E510" s="79">
        <v>0.03</v>
      </c>
      <c r="F510" s="7">
        <v>6138.0695243566306</v>
      </c>
      <c r="G510" s="7">
        <v>612.73497339257483</v>
      </c>
      <c r="H510" s="7">
        <v>6750.8044977492054</v>
      </c>
      <c r="I510" s="7">
        <v>1.3328116379300989</v>
      </c>
      <c r="J510" s="7">
        <v>1.3328116379300989</v>
      </c>
    </row>
    <row r="511" spans="1:10">
      <c r="A511">
        <v>5</v>
      </c>
      <c r="B511" t="s">
        <v>110</v>
      </c>
      <c r="C511" t="s">
        <v>10</v>
      </c>
      <c r="D511" t="s">
        <v>39</v>
      </c>
      <c r="E511" s="79">
        <v>0.03</v>
      </c>
      <c r="F511" s="7">
        <v>6536.310465811327</v>
      </c>
      <c r="G511" s="7">
        <v>1807.9923167801944</v>
      </c>
      <c r="H511" s="7">
        <v>8344.3027825915215</v>
      </c>
      <c r="I511" s="7">
        <v>1.5851902987314284</v>
      </c>
      <c r="J511" s="7">
        <v>1.5851902987314284</v>
      </c>
    </row>
    <row r="512" spans="1:10">
      <c r="A512">
        <v>5</v>
      </c>
      <c r="B512" t="s">
        <v>110</v>
      </c>
      <c r="C512" t="s">
        <v>11</v>
      </c>
      <c r="D512" t="s">
        <v>39</v>
      </c>
      <c r="E512" s="79">
        <v>0.03</v>
      </c>
      <c r="F512" s="7">
        <v>3384.434603583014</v>
      </c>
      <c r="G512" s="7">
        <v>713.54840863408867</v>
      </c>
      <c r="H512" s="7">
        <v>4097.9830122171024</v>
      </c>
      <c r="I512" s="7">
        <v>0.76315809801321377</v>
      </c>
      <c r="J512" s="7">
        <v>0.76315809801321377</v>
      </c>
    </row>
    <row r="513" spans="1:10">
      <c r="A513">
        <v>5</v>
      </c>
      <c r="B513" t="s">
        <v>110</v>
      </c>
      <c r="C513" t="s">
        <v>12</v>
      </c>
      <c r="D513" t="s">
        <v>39</v>
      </c>
      <c r="E513" s="79">
        <v>0.03</v>
      </c>
      <c r="F513" s="7">
        <v>1461.0742824173126</v>
      </c>
      <c r="G513" s="7">
        <v>534.86050627579505</v>
      </c>
      <c r="H513" s="7">
        <v>1995.9347886931077</v>
      </c>
      <c r="I513" s="7">
        <v>0.40783713384322473</v>
      </c>
      <c r="J513" s="7">
        <v>0.40783713384322473</v>
      </c>
    </row>
    <row r="514" spans="1:10">
      <c r="A514">
        <v>5</v>
      </c>
      <c r="B514" t="s">
        <v>110</v>
      </c>
      <c r="C514" t="s">
        <v>13</v>
      </c>
      <c r="D514" t="s">
        <v>39</v>
      </c>
      <c r="E514" s="79">
        <v>0.03</v>
      </c>
      <c r="F514" s="7">
        <v>7017.8463084425848</v>
      </c>
      <c r="G514" s="7">
        <v>346.51734538777964</v>
      </c>
      <c r="H514" s="7">
        <v>7364.3636538303645</v>
      </c>
      <c r="I514" s="7">
        <v>1.5480377827610885</v>
      </c>
      <c r="J514" s="7">
        <v>1.5480377827610885</v>
      </c>
    </row>
    <row r="515" spans="1:10">
      <c r="A515">
        <v>5</v>
      </c>
      <c r="B515" t="s">
        <v>110</v>
      </c>
      <c r="C515" t="s">
        <v>14</v>
      </c>
      <c r="D515" t="s">
        <v>39</v>
      </c>
      <c r="E515" s="79">
        <v>0.03</v>
      </c>
      <c r="F515" s="7">
        <v>3339.6157469770492</v>
      </c>
      <c r="G515" s="7">
        <v>1427.1772055526785</v>
      </c>
      <c r="H515" s="7">
        <v>4766.7929525297277</v>
      </c>
      <c r="I515" s="7">
        <v>1.0103999406437776</v>
      </c>
      <c r="J515" s="7">
        <v>1.0103999406437776</v>
      </c>
    </row>
    <row r="516" spans="1:10">
      <c r="A516">
        <v>5</v>
      </c>
      <c r="B516" t="s">
        <v>110</v>
      </c>
      <c r="C516" t="s">
        <v>125</v>
      </c>
      <c r="D516" t="s">
        <v>39</v>
      </c>
      <c r="E516" s="79">
        <v>7.0000000000000007E-2</v>
      </c>
      <c r="F516" s="7">
        <v>695.75723775979964</v>
      </c>
      <c r="G516" s="7">
        <v>224.76918363307288</v>
      </c>
      <c r="H516" s="7">
        <v>920.52642139287252</v>
      </c>
      <c r="I516" s="7">
        <v>0.5704962718596438</v>
      </c>
      <c r="J516" s="7">
        <v>0.5704962718596438</v>
      </c>
    </row>
    <row r="517" spans="1:10">
      <c r="A517">
        <v>5</v>
      </c>
      <c r="B517" t="s">
        <v>110</v>
      </c>
      <c r="C517" t="s">
        <v>9</v>
      </c>
      <c r="D517" t="s">
        <v>39</v>
      </c>
      <c r="E517" s="79">
        <v>7.0000000000000007E-2</v>
      </c>
      <c r="F517" s="7">
        <v>2024.4254694060764</v>
      </c>
      <c r="G517" s="7">
        <v>314.95625052420598</v>
      </c>
      <c r="H517" s="7">
        <v>2339.3817199302825</v>
      </c>
      <c r="I517" s="7">
        <v>1.3328116379300989</v>
      </c>
      <c r="J517" s="7">
        <v>1.3328116379300989</v>
      </c>
    </row>
    <row r="518" spans="1:10">
      <c r="A518">
        <v>5</v>
      </c>
      <c r="B518" t="s">
        <v>110</v>
      </c>
      <c r="C518" t="s">
        <v>10</v>
      </c>
      <c r="D518" t="s">
        <v>39</v>
      </c>
      <c r="E518" s="79">
        <v>7.0000000000000007E-2</v>
      </c>
      <c r="F518" s="7">
        <v>2104.7996533987666</v>
      </c>
      <c r="G518" s="7">
        <v>929.33895696668117</v>
      </c>
      <c r="H518" s="7">
        <v>3034.1386103654477</v>
      </c>
      <c r="I518" s="7">
        <v>1.5851902987314284</v>
      </c>
      <c r="J518" s="7">
        <v>1.5851902987314284</v>
      </c>
    </row>
    <row r="519" spans="1:10">
      <c r="A519">
        <v>5</v>
      </c>
      <c r="B519" t="s">
        <v>110</v>
      </c>
      <c r="C519" t="s">
        <v>11</v>
      </c>
      <c r="D519" t="s">
        <v>39</v>
      </c>
      <c r="E519" s="79">
        <v>7.0000000000000007E-2</v>
      </c>
      <c r="F519" s="7">
        <v>1154.1443378176618</v>
      </c>
      <c r="G519" s="7">
        <v>366.77607956110501</v>
      </c>
      <c r="H519" s="7">
        <v>1520.9204173787668</v>
      </c>
      <c r="I519" s="7">
        <v>0.76315809801321377</v>
      </c>
      <c r="J519" s="7">
        <v>0.76315809801321377</v>
      </c>
    </row>
    <row r="520" spans="1:10">
      <c r="A520">
        <v>5</v>
      </c>
      <c r="B520" t="s">
        <v>110</v>
      </c>
      <c r="C520" t="s">
        <v>12</v>
      </c>
      <c r="D520" t="s">
        <v>39</v>
      </c>
      <c r="E520" s="79">
        <v>7.0000000000000007E-2</v>
      </c>
      <c r="F520" s="7">
        <v>394.13940295928148</v>
      </c>
      <c r="G520" s="7">
        <v>274.92744322621411</v>
      </c>
      <c r="H520" s="7">
        <v>669.06684618549559</v>
      </c>
      <c r="I520" s="7">
        <v>0.40783713384322473</v>
      </c>
      <c r="J520" s="7">
        <v>0.40783713384322473</v>
      </c>
    </row>
    <row r="521" spans="1:10">
      <c r="A521">
        <v>5</v>
      </c>
      <c r="B521" t="s">
        <v>110</v>
      </c>
      <c r="C521" t="s">
        <v>13</v>
      </c>
      <c r="D521" t="s">
        <v>39</v>
      </c>
      <c r="E521" s="79">
        <v>7.0000000000000007E-2</v>
      </c>
      <c r="F521" s="7">
        <v>2198.9107298422623</v>
      </c>
      <c r="G521" s="7">
        <v>178.11583895834292</v>
      </c>
      <c r="H521" s="7">
        <v>2377.0265688006052</v>
      </c>
      <c r="I521" s="7">
        <v>1.5480377827610885</v>
      </c>
      <c r="J521" s="7">
        <v>1.5480377827610885</v>
      </c>
    </row>
    <row r="522" spans="1:10">
      <c r="A522">
        <v>5</v>
      </c>
      <c r="B522" t="s">
        <v>110</v>
      </c>
      <c r="C522" t="s">
        <v>14</v>
      </c>
      <c r="D522" t="s">
        <v>39</v>
      </c>
      <c r="E522" s="79">
        <v>7.0000000000000007E-2</v>
      </c>
      <c r="F522" s="7">
        <v>812.59755731950418</v>
      </c>
      <c r="G522" s="7">
        <v>733.5934800746154</v>
      </c>
      <c r="H522" s="7">
        <v>1546.1910373941196</v>
      </c>
      <c r="I522" s="7">
        <v>1.0103999406437776</v>
      </c>
      <c r="J522" s="7">
        <v>1.0103999406437776</v>
      </c>
    </row>
    <row r="523" spans="1:10">
      <c r="A523">
        <v>5</v>
      </c>
      <c r="B523" t="s">
        <v>110</v>
      </c>
      <c r="C523" t="s">
        <v>125</v>
      </c>
      <c r="D523" t="s">
        <v>119</v>
      </c>
      <c r="E523" s="79">
        <v>0.03</v>
      </c>
      <c r="F523" s="7">
        <v>1991.3087744622962</v>
      </c>
      <c r="G523" s="7">
        <v>403.70436444116797</v>
      </c>
      <c r="H523" s="7">
        <v>2395.0131389034641</v>
      </c>
      <c r="I523" s="7">
        <v>0.52435454631339184</v>
      </c>
      <c r="J523" s="7">
        <v>0.52435454631339184</v>
      </c>
    </row>
    <row r="524" spans="1:10">
      <c r="A524">
        <v>5</v>
      </c>
      <c r="B524" t="s">
        <v>110</v>
      </c>
      <c r="C524" t="s">
        <v>9</v>
      </c>
      <c r="D524" t="s">
        <v>119</v>
      </c>
      <c r="E524" s="79">
        <v>0.03</v>
      </c>
      <c r="F524" s="7">
        <v>5270.5046671664022</v>
      </c>
      <c r="G524" s="7">
        <v>565.68792433848114</v>
      </c>
      <c r="H524" s="7">
        <v>5836.1925915048832</v>
      </c>
      <c r="I524" s="7">
        <v>1.2250222243611404</v>
      </c>
      <c r="J524" s="7">
        <v>1.2250222243611404</v>
      </c>
    </row>
    <row r="525" spans="1:10">
      <c r="A525">
        <v>5</v>
      </c>
      <c r="B525" t="s">
        <v>110</v>
      </c>
      <c r="C525" t="s">
        <v>10</v>
      </c>
      <c r="D525" t="s">
        <v>119</v>
      </c>
      <c r="E525" s="79">
        <v>0.03</v>
      </c>
      <c r="F525" s="7">
        <v>5558.2305700462193</v>
      </c>
      <c r="G525" s="7">
        <v>1669.1709553259589</v>
      </c>
      <c r="H525" s="7">
        <v>7227.4015253721782</v>
      </c>
      <c r="I525" s="7">
        <v>1.4570103325986283</v>
      </c>
      <c r="J525" s="7">
        <v>1.4570103325986283</v>
      </c>
    </row>
    <row r="526" spans="1:10">
      <c r="A526">
        <v>5</v>
      </c>
      <c r="B526" t="s">
        <v>110</v>
      </c>
      <c r="C526" t="s">
        <v>11</v>
      </c>
      <c r="D526" t="s">
        <v>119</v>
      </c>
      <c r="E526" s="79">
        <v>0.03</v>
      </c>
      <c r="F526" s="7">
        <v>2893.6006463216654</v>
      </c>
      <c r="G526" s="7">
        <v>658.7606970765014</v>
      </c>
      <c r="H526" s="7">
        <v>3552.3613433981668</v>
      </c>
      <c r="I526" s="7">
        <v>0.70145339856277444</v>
      </c>
      <c r="J526" s="7">
        <v>0.70145339856277444</v>
      </c>
    </row>
    <row r="527" spans="1:10">
      <c r="A527">
        <v>5</v>
      </c>
      <c r="B527" t="s">
        <v>110</v>
      </c>
      <c r="C527" t="s">
        <v>12</v>
      </c>
      <c r="D527" t="s">
        <v>119</v>
      </c>
      <c r="E527" s="79">
        <v>0.03</v>
      </c>
      <c r="F527" s="7">
        <v>1229.4253240391704</v>
      </c>
      <c r="G527" s="7">
        <v>493.79281866441306</v>
      </c>
      <c r="H527" s="7">
        <v>1723.2181427035835</v>
      </c>
      <c r="I527" s="7">
        <v>0.37485100959083201</v>
      </c>
      <c r="J527" s="7">
        <v>0.37485100959083201</v>
      </c>
    </row>
    <row r="528" spans="1:10">
      <c r="A528">
        <v>5</v>
      </c>
      <c r="B528" t="s">
        <v>110</v>
      </c>
      <c r="C528" t="s">
        <v>13</v>
      </c>
      <c r="D528" t="s">
        <v>119</v>
      </c>
      <c r="E528" s="79">
        <v>0.03</v>
      </c>
      <c r="F528" s="7">
        <v>6027.4431928987697</v>
      </c>
      <c r="G528" s="7">
        <v>319.91103229243083</v>
      </c>
      <c r="H528" s="7">
        <v>6347.3542251912004</v>
      </c>
      <c r="I528" s="7">
        <v>1.4228249607741457</v>
      </c>
      <c r="J528" s="7">
        <v>1.4228249607741457</v>
      </c>
    </row>
    <row r="529" spans="1:10">
      <c r="A529">
        <v>5</v>
      </c>
      <c r="B529" t="s">
        <v>110</v>
      </c>
      <c r="C529" t="s">
        <v>14</v>
      </c>
      <c r="D529" t="s">
        <v>119</v>
      </c>
      <c r="E529" s="79">
        <v>0.03</v>
      </c>
      <c r="F529" s="7">
        <v>2791.7714603179857</v>
      </c>
      <c r="G529" s="7">
        <v>1317.5956100600017</v>
      </c>
      <c r="H529" s="7">
        <v>4109.3670703779871</v>
      </c>
      <c r="I529" s="7">
        <v>0.92867291424540288</v>
      </c>
      <c r="J529" s="7">
        <v>0.92867291424540288</v>
      </c>
    </row>
    <row r="530" spans="1:10">
      <c r="A530">
        <v>5</v>
      </c>
      <c r="B530" t="s">
        <v>110</v>
      </c>
      <c r="C530" t="s">
        <v>125</v>
      </c>
      <c r="D530" t="s">
        <v>119</v>
      </c>
      <c r="E530" s="79">
        <v>7.0000000000000007E-2</v>
      </c>
      <c r="F530" s="7">
        <v>595.880521720557</v>
      </c>
      <c r="G530" s="7">
        <v>208.56947051205137</v>
      </c>
      <c r="H530" s="7">
        <v>804.44999223260834</v>
      </c>
      <c r="I530" s="7">
        <v>0.52435454631339184</v>
      </c>
      <c r="J530" s="7">
        <v>0.52435454631339184</v>
      </c>
    </row>
    <row r="531" spans="1:10">
      <c r="A531">
        <v>5</v>
      </c>
      <c r="B531" t="s">
        <v>110</v>
      </c>
      <c r="C531" t="s">
        <v>9</v>
      </c>
      <c r="D531" t="s">
        <v>119</v>
      </c>
      <c r="E531" s="79">
        <v>7.0000000000000007E-2</v>
      </c>
      <c r="F531" s="7">
        <v>1753.9501969094435</v>
      </c>
      <c r="G531" s="7">
        <v>292.25651552630745</v>
      </c>
      <c r="H531" s="7">
        <v>2046.2067124357511</v>
      </c>
      <c r="I531" s="7">
        <v>1.2250222243611404</v>
      </c>
      <c r="J531" s="7">
        <v>1.2250222243611404</v>
      </c>
    </row>
    <row r="532" spans="1:10">
      <c r="A532">
        <v>5</v>
      </c>
      <c r="B532" t="s">
        <v>110</v>
      </c>
      <c r="C532" t="s">
        <v>10</v>
      </c>
      <c r="D532" t="s">
        <v>119</v>
      </c>
      <c r="E532" s="79">
        <v>7.0000000000000007E-2</v>
      </c>
      <c r="F532" s="7">
        <v>1794.6574019672644</v>
      </c>
      <c r="G532" s="7">
        <v>862.35902559127351</v>
      </c>
      <c r="H532" s="7">
        <v>2657.016427558538</v>
      </c>
      <c r="I532" s="7">
        <v>1.4570103325986283</v>
      </c>
      <c r="J532" s="7">
        <v>1.4570103325986283</v>
      </c>
    </row>
    <row r="533" spans="1:10">
      <c r="A533">
        <v>5</v>
      </c>
      <c r="B533" t="s">
        <v>110</v>
      </c>
      <c r="C533" t="s">
        <v>11</v>
      </c>
      <c r="D533" t="s">
        <v>119</v>
      </c>
      <c r="E533" s="79">
        <v>7.0000000000000007E-2</v>
      </c>
      <c r="F533" s="7">
        <v>992.19019858441266</v>
      </c>
      <c r="G533" s="7">
        <v>340.34155160445056</v>
      </c>
      <c r="H533" s="7">
        <v>1332.5317501888633</v>
      </c>
      <c r="I533" s="7">
        <v>0.70145339856277444</v>
      </c>
      <c r="J533" s="7">
        <v>0.70145339856277444</v>
      </c>
    </row>
    <row r="534" spans="1:10">
      <c r="A534">
        <v>5</v>
      </c>
      <c r="B534" t="s">
        <v>110</v>
      </c>
      <c r="C534" t="s">
        <v>12</v>
      </c>
      <c r="D534" t="s">
        <v>119</v>
      </c>
      <c r="E534" s="79">
        <v>7.0000000000000007E-2</v>
      </c>
      <c r="F534" s="7">
        <v>329.65829547848011</v>
      </c>
      <c r="G534" s="7">
        <v>255.11269087728365</v>
      </c>
      <c r="H534" s="7">
        <v>584.77098635576374</v>
      </c>
      <c r="I534" s="7">
        <v>0.37485100959083201</v>
      </c>
      <c r="J534" s="7">
        <v>0.37485100959083201</v>
      </c>
    </row>
    <row r="535" spans="1:10">
      <c r="A535">
        <v>5</v>
      </c>
      <c r="B535" t="s">
        <v>110</v>
      </c>
      <c r="C535" t="s">
        <v>13</v>
      </c>
      <c r="D535" t="s">
        <v>119</v>
      </c>
      <c r="E535" s="79">
        <v>7.0000000000000007E-2</v>
      </c>
      <c r="F535" s="7">
        <v>1910.6867498958386</v>
      </c>
      <c r="G535" s="7">
        <v>165.27855652132712</v>
      </c>
      <c r="H535" s="7">
        <v>2075.9653064171657</v>
      </c>
      <c r="I535" s="7">
        <v>1.4228249607741457</v>
      </c>
      <c r="J535" s="7">
        <v>1.4228249607741457</v>
      </c>
    </row>
    <row r="536" spans="1:10">
      <c r="A536">
        <v>5</v>
      </c>
      <c r="B536" t="s">
        <v>110</v>
      </c>
      <c r="C536" t="s">
        <v>14</v>
      </c>
      <c r="D536" t="s">
        <v>119</v>
      </c>
      <c r="E536" s="79">
        <v>7.0000000000000007E-2</v>
      </c>
      <c r="F536" s="7">
        <v>669.77635728527491</v>
      </c>
      <c r="G536" s="7">
        <v>680.72144605032133</v>
      </c>
      <c r="H536" s="7">
        <v>1350.4978033355962</v>
      </c>
      <c r="I536" s="7">
        <v>0.92867291424540288</v>
      </c>
      <c r="J536" s="7">
        <v>0.92867291424540288</v>
      </c>
    </row>
    <row r="537" spans="1:10">
      <c r="A537">
        <v>5</v>
      </c>
      <c r="B537" t="s">
        <v>110</v>
      </c>
      <c r="C537" t="s">
        <v>125</v>
      </c>
      <c r="D537" t="s">
        <v>120</v>
      </c>
      <c r="E537" s="79">
        <v>0.03</v>
      </c>
      <c r="F537" s="7">
        <v>2785.3321885353866</v>
      </c>
      <c r="G537" s="7">
        <v>476.78953788860332</v>
      </c>
      <c r="H537" s="7">
        <v>3262.1217264239899</v>
      </c>
      <c r="I537" s="7">
        <v>0.62388140735536901</v>
      </c>
      <c r="J537" s="7">
        <v>0.62388140735536901</v>
      </c>
    </row>
    <row r="538" spans="1:10">
      <c r="A538">
        <v>5</v>
      </c>
      <c r="B538" t="s">
        <v>110</v>
      </c>
      <c r="C538" t="s">
        <v>9</v>
      </c>
      <c r="D538" t="s">
        <v>120</v>
      </c>
      <c r="E538" s="79">
        <v>0.03</v>
      </c>
      <c r="F538" s="7">
        <v>7237.951495541085</v>
      </c>
      <c r="G538" s="7">
        <v>668.09801377268252</v>
      </c>
      <c r="H538" s="7">
        <v>7906.0495093137679</v>
      </c>
      <c r="I538" s="7">
        <v>1.4575289950508858</v>
      </c>
      <c r="J538" s="7">
        <v>1.4575289950508858</v>
      </c>
    </row>
    <row r="539" spans="1:10">
      <c r="A539">
        <v>5</v>
      </c>
      <c r="B539" t="s">
        <v>110</v>
      </c>
      <c r="C539" t="s">
        <v>10</v>
      </c>
      <c r="D539" t="s">
        <v>120</v>
      </c>
      <c r="E539" s="79">
        <v>0.03</v>
      </c>
      <c r="F539" s="7">
        <v>7768.483374497031</v>
      </c>
      <c r="G539" s="7">
        <v>1971.351609112764</v>
      </c>
      <c r="H539" s="7">
        <v>9739.834983609795</v>
      </c>
      <c r="I539" s="7">
        <v>1.7335164600153687</v>
      </c>
      <c r="J539" s="7">
        <v>1.7335164600153687</v>
      </c>
    </row>
    <row r="540" spans="1:10">
      <c r="A540">
        <v>5</v>
      </c>
      <c r="B540" t="s">
        <v>110</v>
      </c>
      <c r="C540" t="s">
        <v>11</v>
      </c>
      <c r="D540" t="s">
        <v>120</v>
      </c>
      <c r="E540" s="79">
        <v>0.03</v>
      </c>
      <c r="F540" s="7">
        <v>3998.4234732138925</v>
      </c>
      <c r="G540" s="7">
        <v>778.02034360728669</v>
      </c>
      <c r="H540" s="7">
        <v>4776.4438168211791</v>
      </c>
      <c r="I540" s="7">
        <v>0.83456486723538792</v>
      </c>
      <c r="J540" s="7">
        <v>0.83456486723538792</v>
      </c>
    </row>
    <row r="541" spans="1:10">
      <c r="A541">
        <v>5</v>
      </c>
      <c r="B541" t="s">
        <v>110</v>
      </c>
      <c r="C541" t="s">
        <v>12</v>
      </c>
      <c r="D541" t="s">
        <v>120</v>
      </c>
      <c r="E541" s="79">
        <v>0.03</v>
      </c>
      <c r="F541" s="7">
        <v>1759.8196340402878</v>
      </c>
      <c r="G541" s="7">
        <v>583.1872790120068</v>
      </c>
      <c r="H541" s="7">
        <v>2343.0069130522947</v>
      </c>
      <c r="I541" s="7">
        <v>0.44600138758595514</v>
      </c>
      <c r="J541" s="7">
        <v>0.44600138758595514</v>
      </c>
    </row>
    <row r="542" spans="1:10">
      <c r="A542">
        <v>5</v>
      </c>
      <c r="B542" t="s">
        <v>110</v>
      </c>
      <c r="C542" t="s">
        <v>13</v>
      </c>
      <c r="D542" t="s">
        <v>120</v>
      </c>
      <c r="E542" s="79">
        <v>0.03</v>
      </c>
      <c r="F542" s="7">
        <v>8293.3004509405746</v>
      </c>
      <c r="G542" s="7">
        <v>377.82656490056939</v>
      </c>
      <c r="H542" s="7">
        <v>8671.1270158411444</v>
      </c>
      <c r="I542" s="7">
        <v>1.6929006560459676</v>
      </c>
      <c r="J542" s="7">
        <v>1.6929006560459676</v>
      </c>
    </row>
    <row r="543" spans="1:10">
      <c r="A543">
        <v>5</v>
      </c>
      <c r="B543" t="s">
        <v>110</v>
      </c>
      <c r="C543" t="s">
        <v>14</v>
      </c>
      <c r="D543" t="s">
        <v>120</v>
      </c>
      <c r="E543" s="79">
        <v>0.03</v>
      </c>
      <c r="F543" s="7">
        <v>4054.4196202884577</v>
      </c>
      <c r="G543" s="7">
        <v>1556.128338900113</v>
      </c>
      <c r="H543" s="7">
        <v>5610.5479591885705</v>
      </c>
      <c r="I543" s="7">
        <v>1.1049521344321356</v>
      </c>
      <c r="J543" s="7">
        <v>1.1049521344321356</v>
      </c>
    </row>
    <row r="544" spans="1:10">
      <c r="A544">
        <v>5</v>
      </c>
      <c r="B544" t="s">
        <v>110</v>
      </c>
      <c r="C544" t="s">
        <v>125</v>
      </c>
      <c r="D544" t="s">
        <v>120</v>
      </c>
      <c r="E544" s="79">
        <v>7.0000000000000007E-2</v>
      </c>
      <c r="F544" s="7">
        <v>819.76580148544053</v>
      </c>
      <c r="G544" s="7">
        <v>244.30678053857557</v>
      </c>
      <c r="H544" s="7">
        <v>1064.0725820240161</v>
      </c>
      <c r="I544" s="7">
        <v>0.62388140735536901</v>
      </c>
      <c r="J544" s="7">
        <v>0.62388140735536901</v>
      </c>
    </row>
    <row r="545" spans="1:10">
      <c r="A545">
        <v>5</v>
      </c>
      <c r="B545" t="s">
        <v>110</v>
      </c>
      <c r="C545" t="s">
        <v>9</v>
      </c>
      <c r="D545" t="s">
        <v>120</v>
      </c>
      <c r="E545" s="79">
        <v>7.0000000000000007E-2</v>
      </c>
      <c r="F545" s="7">
        <v>2357.5567400852342</v>
      </c>
      <c r="G545" s="7">
        <v>342.33317188926208</v>
      </c>
      <c r="H545" s="7">
        <v>2699.889911974496</v>
      </c>
      <c r="I545" s="7">
        <v>1.4575289950508858</v>
      </c>
      <c r="J545" s="7">
        <v>1.4575289950508858</v>
      </c>
    </row>
    <row r="546" spans="1:10">
      <c r="A546">
        <v>5</v>
      </c>
      <c r="B546" t="s">
        <v>110</v>
      </c>
      <c r="C546" t="s">
        <v>10</v>
      </c>
      <c r="D546" t="s">
        <v>120</v>
      </c>
      <c r="E546" s="79">
        <v>7.0000000000000007E-2</v>
      </c>
      <c r="F546" s="7">
        <v>2484.3485163636351</v>
      </c>
      <c r="G546" s="7">
        <v>1010.1198257508828</v>
      </c>
      <c r="H546" s="7">
        <v>3494.4683421145178</v>
      </c>
      <c r="I546" s="7">
        <v>1.7335164600153687</v>
      </c>
      <c r="J546" s="7">
        <v>1.7335164600153687</v>
      </c>
    </row>
    <row r="547" spans="1:10">
      <c r="A547">
        <v>5</v>
      </c>
      <c r="B547" t="s">
        <v>110</v>
      </c>
      <c r="C547" t="s">
        <v>11</v>
      </c>
      <c r="D547" t="s">
        <v>120</v>
      </c>
      <c r="E547" s="79">
        <v>7.0000000000000007E-2</v>
      </c>
      <c r="F547" s="7">
        <v>1351.5020992921845</v>
      </c>
      <c r="G547" s="7">
        <v>398.65733250342754</v>
      </c>
      <c r="H547" s="7">
        <v>1750.1594317956121</v>
      </c>
      <c r="I547" s="7">
        <v>0.83456486723538792</v>
      </c>
      <c r="J547" s="7">
        <v>0.83456486723538792</v>
      </c>
    </row>
    <row r="548" spans="1:10">
      <c r="A548">
        <v>5</v>
      </c>
      <c r="B548" t="s">
        <v>110</v>
      </c>
      <c r="C548" t="s">
        <v>12</v>
      </c>
      <c r="D548" t="s">
        <v>120</v>
      </c>
      <c r="E548" s="79">
        <v>7.0000000000000007E-2</v>
      </c>
      <c r="F548" s="7">
        <v>474.39505198205921</v>
      </c>
      <c r="G548" s="7">
        <v>298.82494321795201</v>
      </c>
      <c r="H548" s="7">
        <v>773.21999520001123</v>
      </c>
      <c r="I548" s="7">
        <v>0.44600138758595514</v>
      </c>
      <c r="J548" s="7">
        <v>0.44600138758595514</v>
      </c>
    </row>
    <row r="549" spans="1:10">
      <c r="A549">
        <v>5</v>
      </c>
      <c r="B549" t="s">
        <v>110</v>
      </c>
      <c r="C549" t="s">
        <v>13</v>
      </c>
      <c r="D549" t="s">
        <v>120</v>
      </c>
      <c r="E549" s="79">
        <v>7.0000000000000007E-2</v>
      </c>
      <c r="F549" s="7">
        <v>2557.1980956018429</v>
      </c>
      <c r="G549" s="7">
        <v>193.59819026560425</v>
      </c>
      <c r="H549" s="7">
        <v>2750.7962858674473</v>
      </c>
      <c r="I549" s="7">
        <v>1.6929006560459676</v>
      </c>
      <c r="J549" s="7">
        <v>1.6929006560459676</v>
      </c>
    </row>
    <row r="550" spans="1:10">
      <c r="A550">
        <v>5</v>
      </c>
      <c r="B550" t="s">
        <v>110</v>
      </c>
      <c r="C550" t="s">
        <v>14</v>
      </c>
      <c r="D550" t="s">
        <v>120</v>
      </c>
      <c r="E550" s="79">
        <v>7.0000000000000007E-2</v>
      </c>
      <c r="F550" s="7">
        <v>991.6294296704873</v>
      </c>
      <c r="G550" s="7">
        <v>797.35957769767879</v>
      </c>
      <c r="H550" s="7">
        <v>1788.9890073681661</v>
      </c>
      <c r="I550" s="7">
        <v>1.1049521344321356</v>
      </c>
      <c r="J550" s="7">
        <v>1.1049521344321356</v>
      </c>
    </row>
    <row r="551" spans="1:10">
      <c r="A551">
        <v>5</v>
      </c>
      <c r="B551" t="s">
        <v>112</v>
      </c>
      <c r="C551" t="s">
        <v>125</v>
      </c>
      <c r="D551" t="s">
        <v>39</v>
      </c>
      <c r="E551" s="79">
        <v>0.03</v>
      </c>
      <c r="F551" s="7">
        <v>2342.0254353707733</v>
      </c>
      <c r="G551" s="7">
        <v>433.74269522032682</v>
      </c>
      <c r="H551" s="7">
        <v>2775.7681305911001</v>
      </c>
      <c r="I551" s="7">
        <v>0.5704962718596438</v>
      </c>
      <c r="J551" s="7">
        <v>0.5704962718596438</v>
      </c>
    </row>
    <row r="552" spans="1:10">
      <c r="A552">
        <v>5</v>
      </c>
      <c r="B552" t="s">
        <v>112</v>
      </c>
      <c r="C552" t="s">
        <v>9</v>
      </c>
      <c r="D552" t="s">
        <v>39</v>
      </c>
      <c r="E552" s="79">
        <v>0.03</v>
      </c>
      <c r="F552" s="7">
        <v>6143.0255719607458</v>
      </c>
      <c r="G552" s="7">
        <v>607.77892578845979</v>
      </c>
      <c r="H552" s="7">
        <v>6750.8044977492054</v>
      </c>
      <c r="I552" s="7">
        <v>1.3328116379300989</v>
      </c>
      <c r="J552" s="7">
        <v>1.3328116379300989</v>
      </c>
    </row>
    <row r="553" spans="1:10">
      <c r="A553">
        <v>5</v>
      </c>
      <c r="B553" t="s">
        <v>112</v>
      </c>
      <c r="C553" t="s">
        <v>10</v>
      </c>
      <c r="D553" t="s">
        <v>39</v>
      </c>
      <c r="E553" s="79">
        <v>0.03</v>
      </c>
      <c r="F553" s="7">
        <v>6550.9342369015048</v>
      </c>
      <c r="G553" s="7">
        <v>1793.3685456900171</v>
      </c>
      <c r="H553" s="7">
        <v>8344.3027825915215</v>
      </c>
      <c r="I553" s="7">
        <v>1.5851902987314284</v>
      </c>
      <c r="J553" s="7">
        <v>1.5851902987314284</v>
      </c>
    </row>
    <row r="554" spans="1:10">
      <c r="A554">
        <v>5</v>
      </c>
      <c r="B554" t="s">
        <v>112</v>
      </c>
      <c r="C554" t="s">
        <v>11</v>
      </c>
      <c r="D554" t="s">
        <v>39</v>
      </c>
      <c r="E554" s="79">
        <v>0.03</v>
      </c>
      <c r="F554" s="7">
        <v>3390.2060709132511</v>
      </c>
      <c r="G554" s="7">
        <v>707.77694130385112</v>
      </c>
      <c r="H554" s="7">
        <v>4097.9830122171024</v>
      </c>
      <c r="I554" s="7">
        <v>0.76315809801321377</v>
      </c>
      <c r="J554" s="7">
        <v>0.76315809801321377</v>
      </c>
    </row>
    <row r="555" spans="1:10">
      <c r="A555">
        <v>5</v>
      </c>
      <c r="B555" t="s">
        <v>112</v>
      </c>
      <c r="C555" t="s">
        <v>12</v>
      </c>
      <c r="D555" t="s">
        <v>39</v>
      </c>
      <c r="E555" s="79">
        <v>0.03</v>
      </c>
      <c r="F555" s="7">
        <v>1465.4004499216544</v>
      </c>
      <c r="G555" s="7">
        <v>530.53433877145346</v>
      </c>
      <c r="H555" s="7">
        <v>1995.9347886931077</v>
      </c>
      <c r="I555" s="7">
        <v>0.40783713384322473</v>
      </c>
      <c r="J555" s="7">
        <v>0.40783713384322473</v>
      </c>
    </row>
    <row r="556" spans="1:10">
      <c r="A556">
        <v>5</v>
      </c>
      <c r="B556" t="s">
        <v>112</v>
      </c>
      <c r="C556" t="s">
        <v>13</v>
      </c>
      <c r="D556" t="s">
        <v>39</v>
      </c>
      <c r="E556" s="79">
        <v>0.03</v>
      </c>
      <c r="F556" s="7">
        <v>7020.6490804957048</v>
      </c>
      <c r="G556" s="7">
        <v>343.71457333466009</v>
      </c>
      <c r="H556" s="7">
        <v>7364.3636538303645</v>
      </c>
      <c r="I556" s="7">
        <v>1.5480377827610885</v>
      </c>
      <c r="J556" s="7">
        <v>1.5480377827610885</v>
      </c>
    </row>
    <row r="557" spans="1:10">
      <c r="A557">
        <v>5</v>
      </c>
      <c r="B557" t="s">
        <v>112</v>
      </c>
      <c r="C557" t="s">
        <v>14</v>
      </c>
      <c r="D557" t="s">
        <v>39</v>
      </c>
      <c r="E557" s="79">
        <v>0.03</v>
      </c>
      <c r="F557" s="7">
        <v>3351.1593318504019</v>
      </c>
      <c r="G557" s="7">
        <v>1415.6336206793258</v>
      </c>
      <c r="H557" s="7">
        <v>4766.7929525297277</v>
      </c>
      <c r="I557" s="7">
        <v>1.0103999406437776</v>
      </c>
      <c r="J557" s="7">
        <v>1.0103999406437776</v>
      </c>
    </row>
    <row r="558" spans="1:10">
      <c r="A558">
        <v>5</v>
      </c>
      <c r="B558" t="s">
        <v>112</v>
      </c>
      <c r="C558" t="s">
        <v>125</v>
      </c>
      <c r="D558" t="s">
        <v>39</v>
      </c>
      <c r="E558" s="79">
        <v>7.0000000000000007E-2</v>
      </c>
      <c r="F558" s="7">
        <v>697.68188282958761</v>
      </c>
      <c r="G558" s="7">
        <v>222.84453856328494</v>
      </c>
      <c r="H558" s="7">
        <v>920.52642139287252</v>
      </c>
      <c r="I558" s="7">
        <v>0.5704962718596438</v>
      </c>
      <c r="J558" s="7">
        <v>0.5704962718596438</v>
      </c>
    </row>
    <row r="559" spans="1:10">
      <c r="A559">
        <v>5</v>
      </c>
      <c r="B559" t="s">
        <v>112</v>
      </c>
      <c r="C559" t="s">
        <v>9</v>
      </c>
      <c r="D559" t="s">
        <v>39</v>
      </c>
      <c r="E559" s="79">
        <v>7.0000000000000007E-2</v>
      </c>
      <c r="F559" s="7">
        <v>2027.1223648833482</v>
      </c>
      <c r="G559" s="7">
        <v>312.25935504693444</v>
      </c>
      <c r="H559" s="7">
        <v>2339.3817199302825</v>
      </c>
      <c r="I559" s="7">
        <v>1.3328116379300989</v>
      </c>
      <c r="J559" s="7">
        <v>1.3328116379300989</v>
      </c>
    </row>
    <row r="560" spans="1:10">
      <c r="A560">
        <v>5</v>
      </c>
      <c r="B560" t="s">
        <v>112</v>
      </c>
      <c r="C560" t="s">
        <v>10</v>
      </c>
      <c r="D560" t="s">
        <v>39</v>
      </c>
      <c r="E560" s="79">
        <v>7.0000000000000007E-2</v>
      </c>
      <c r="F560" s="7">
        <v>2112.7573618923266</v>
      </c>
      <c r="G560" s="7">
        <v>921.38124847312122</v>
      </c>
      <c r="H560" s="7">
        <v>3034.1386103654477</v>
      </c>
      <c r="I560" s="7">
        <v>1.5851902987314284</v>
      </c>
      <c r="J560" s="7">
        <v>1.5851902987314284</v>
      </c>
    </row>
    <row r="561" spans="1:10">
      <c r="A561">
        <v>5</v>
      </c>
      <c r="B561" t="s">
        <v>112</v>
      </c>
      <c r="C561" t="s">
        <v>11</v>
      </c>
      <c r="D561" t="s">
        <v>39</v>
      </c>
      <c r="E561" s="79">
        <v>7.0000000000000007E-2</v>
      </c>
      <c r="F561" s="7">
        <v>1157.2849541683231</v>
      </c>
      <c r="G561" s="7">
        <v>363.63546321044385</v>
      </c>
      <c r="H561" s="7">
        <v>1520.9204173787668</v>
      </c>
      <c r="I561" s="7">
        <v>0.76315809801321377</v>
      </c>
      <c r="J561" s="7">
        <v>0.76315809801321377</v>
      </c>
    </row>
    <row r="562" spans="1:10">
      <c r="A562">
        <v>5</v>
      </c>
      <c r="B562" t="s">
        <v>112</v>
      </c>
      <c r="C562" t="s">
        <v>12</v>
      </c>
      <c r="D562" t="s">
        <v>39</v>
      </c>
      <c r="E562" s="79">
        <v>7.0000000000000007E-2</v>
      </c>
      <c r="F562" s="7">
        <v>396.49354127843134</v>
      </c>
      <c r="G562" s="7">
        <v>272.57330490706426</v>
      </c>
      <c r="H562" s="7">
        <v>669.06684618549559</v>
      </c>
      <c r="I562" s="7">
        <v>0.40783713384322473</v>
      </c>
      <c r="J562" s="7">
        <v>0.40783713384322473</v>
      </c>
    </row>
    <row r="563" spans="1:10">
      <c r="A563">
        <v>5</v>
      </c>
      <c r="B563" t="s">
        <v>112</v>
      </c>
      <c r="C563" t="s">
        <v>13</v>
      </c>
      <c r="D563" t="s">
        <v>39</v>
      </c>
      <c r="E563" s="79">
        <v>7.0000000000000007E-2</v>
      </c>
      <c r="F563" s="7">
        <v>2200.4358934156721</v>
      </c>
      <c r="G563" s="7">
        <v>176.59067538493309</v>
      </c>
      <c r="H563" s="7">
        <v>2377.0265688006052</v>
      </c>
      <c r="I563" s="7">
        <v>1.5480377827610885</v>
      </c>
      <c r="J563" s="7">
        <v>1.5480377827610885</v>
      </c>
    </row>
    <row r="564" spans="1:10">
      <c r="A564">
        <v>5</v>
      </c>
      <c r="B564" t="s">
        <v>112</v>
      </c>
      <c r="C564" t="s">
        <v>14</v>
      </c>
      <c r="D564" t="s">
        <v>39</v>
      </c>
      <c r="E564" s="79">
        <v>7.0000000000000007E-2</v>
      </c>
      <c r="F564" s="7">
        <v>818.87914384232056</v>
      </c>
      <c r="G564" s="7">
        <v>727.31189355179902</v>
      </c>
      <c r="H564" s="7">
        <v>1546.1910373941196</v>
      </c>
      <c r="I564" s="7">
        <v>1.0103999406437776</v>
      </c>
      <c r="J564" s="7">
        <v>1.0103999406437776</v>
      </c>
    </row>
    <row r="565" spans="1:10">
      <c r="A565">
        <v>5</v>
      </c>
      <c r="B565" t="s">
        <v>112</v>
      </c>
      <c r="C565" t="s">
        <v>125</v>
      </c>
      <c r="D565" t="s">
        <v>119</v>
      </c>
      <c r="E565" s="79">
        <v>0.03</v>
      </c>
      <c r="F565" s="7">
        <v>1994.5800788601277</v>
      </c>
      <c r="G565" s="7">
        <v>400.43306004333647</v>
      </c>
      <c r="H565" s="7">
        <v>2395.0131389034641</v>
      </c>
      <c r="I565" s="7">
        <v>0.52435454631339184</v>
      </c>
      <c r="J565" s="7">
        <v>0.52435454631339184</v>
      </c>
    </row>
    <row r="566" spans="1:10">
      <c r="A566">
        <v>5</v>
      </c>
      <c r="B566" t="s">
        <v>112</v>
      </c>
      <c r="C566" t="s">
        <v>9</v>
      </c>
      <c r="D566" t="s">
        <v>119</v>
      </c>
      <c r="E566" s="79">
        <v>0.03</v>
      </c>
      <c r="F566" s="7">
        <v>5275.0885596324879</v>
      </c>
      <c r="G566" s="7">
        <v>561.10403187239501</v>
      </c>
      <c r="H566" s="7">
        <v>5836.1925915048832</v>
      </c>
      <c r="I566" s="7">
        <v>1.2250222243611404</v>
      </c>
      <c r="J566" s="7">
        <v>1.2250222243611404</v>
      </c>
    </row>
    <row r="567" spans="1:10">
      <c r="A567">
        <v>5</v>
      </c>
      <c r="B567" t="s">
        <v>112</v>
      </c>
      <c r="C567" t="s">
        <v>10</v>
      </c>
      <c r="D567" t="s">
        <v>119</v>
      </c>
      <c r="E567" s="79">
        <v>0.03</v>
      </c>
      <c r="F567" s="7">
        <v>5571.756225867276</v>
      </c>
      <c r="G567" s="7">
        <v>1655.6452995049019</v>
      </c>
      <c r="H567" s="7">
        <v>7227.4015253721782</v>
      </c>
      <c r="I567" s="7">
        <v>1.4570103325986283</v>
      </c>
      <c r="J567" s="7">
        <v>1.4570103325986283</v>
      </c>
    </row>
    <row r="568" spans="1:10">
      <c r="A568">
        <v>5</v>
      </c>
      <c r="B568" t="s">
        <v>112</v>
      </c>
      <c r="C568" t="s">
        <v>11</v>
      </c>
      <c r="D568" t="s">
        <v>119</v>
      </c>
      <c r="E568" s="79">
        <v>0.03</v>
      </c>
      <c r="F568" s="7">
        <v>2898.9387277378678</v>
      </c>
      <c r="G568" s="7">
        <v>653.42261566029913</v>
      </c>
      <c r="H568" s="7">
        <v>3552.3613433981668</v>
      </c>
      <c r="I568" s="7">
        <v>0.70145339856277444</v>
      </c>
      <c r="J568" s="7">
        <v>0.70145339856277444</v>
      </c>
    </row>
    <row r="569" spans="1:10">
      <c r="A569">
        <v>5</v>
      </c>
      <c r="B569" t="s">
        <v>112</v>
      </c>
      <c r="C569" t="s">
        <v>12</v>
      </c>
      <c r="D569" t="s">
        <v>119</v>
      </c>
      <c r="E569" s="79">
        <v>0.03</v>
      </c>
      <c r="F569" s="7">
        <v>1233.4266348041665</v>
      </c>
      <c r="G569" s="7">
        <v>489.7915078994169</v>
      </c>
      <c r="H569" s="7">
        <v>1723.2181427035835</v>
      </c>
      <c r="I569" s="7">
        <v>0.37485100959083201</v>
      </c>
      <c r="J569" s="7">
        <v>0.37485100959083201</v>
      </c>
    </row>
    <row r="570" spans="1:10">
      <c r="A570">
        <v>5</v>
      </c>
      <c r="B570" t="s">
        <v>112</v>
      </c>
      <c r="C570" t="s">
        <v>13</v>
      </c>
      <c r="D570" t="s">
        <v>119</v>
      </c>
      <c r="E570" s="79">
        <v>0.03</v>
      </c>
      <c r="F570" s="7">
        <v>6030.0355016747762</v>
      </c>
      <c r="G570" s="7">
        <v>317.3187235164246</v>
      </c>
      <c r="H570" s="7">
        <v>6347.3542251912004</v>
      </c>
      <c r="I570" s="7">
        <v>1.4228249607741457</v>
      </c>
      <c r="J570" s="7">
        <v>1.4228249607741457</v>
      </c>
    </row>
    <row r="571" spans="1:10">
      <c r="A571">
        <v>5</v>
      </c>
      <c r="B571" t="s">
        <v>112</v>
      </c>
      <c r="C571" t="s">
        <v>14</v>
      </c>
      <c r="D571" t="s">
        <v>119</v>
      </c>
      <c r="E571" s="79">
        <v>0.03</v>
      </c>
      <c r="F571" s="7">
        <v>2802.4482245380568</v>
      </c>
      <c r="G571" s="7">
        <v>1306.9188458399301</v>
      </c>
      <c r="H571" s="7">
        <v>4109.3670703779871</v>
      </c>
      <c r="I571" s="7">
        <v>0.92867291424540288</v>
      </c>
      <c r="J571" s="7">
        <v>0.92867291424540288</v>
      </c>
    </row>
    <row r="572" spans="1:10">
      <c r="A572">
        <v>5</v>
      </c>
      <c r="B572" t="s">
        <v>112</v>
      </c>
      <c r="C572" t="s">
        <v>125</v>
      </c>
      <c r="D572" t="s">
        <v>119</v>
      </c>
      <c r="E572" s="79">
        <v>7.0000000000000007E-2</v>
      </c>
      <c r="F572" s="7">
        <v>597.67019070395031</v>
      </c>
      <c r="G572" s="7">
        <v>206.77980152865797</v>
      </c>
      <c r="H572" s="7">
        <v>804.44999223260834</v>
      </c>
      <c r="I572" s="7">
        <v>0.52435454631339184</v>
      </c>
      <c r="J572" s="7">
        <v>0.52435454631339184</v>
      </c>
    </row>
    <row r="573" spans="1:10">
      <c r="A573">
        <v>5</v>
      </c>
      <c r="B573" t="s">
        <v>112</v>
      </c>
      <c r="C573" t="s">
        <v>9</v>
      </c>
      <c r="D573" t="s">
        <v>119</v>
      </c>
      <c r="E573" s="79">
        <v>7.0000000000000007E-2</v>
      </c>
      <c r="F573" s="7">
        <v>1756.4579580872792</v>
      </c>
      <c r="G573" s="7">
        <v>289.748754348472</v>
      </c>
      <c r="H573" s="7">
        <v>2046.2067124357511</v>
      </c>
      <c r="I573" s="7">
        <v>1.2250222243611404</v>
      </c>
      <c r="J573" s="7">
        <v>1.2250222243611404</v>
      </c>
    </row>
    <row r="574" spans="1:10">
      <c r="A574">
        <v>5</v>
      </c>
      <c r="B574" t="s">
        <v>112</v>
      </c>
      <c r="C574" t="s">
        <v>10</v>
      </c>
      <c r="D574" t="s">
        <v>119</v>
      </c>
      <c r="E574" s="79">
        <v>7.0000000000000007E-2</v>
      </c>
      <c r="F574" s="7">
        <v>1802.0570333556013</v>
      </c>
      <c r="G574" s="7">
        <v>854.95939420293666</v>
      </c>
      <c r="H574" s="7">
        <v>2657.016427558538</v>
      </c>
      <c r="I574" s="7">
        <v>1.4570103325986283</v>
      </c>
      <c r="J574" s="7">
        <v>1.4570103325986283</v>
      </c>
    </row>
    <row r="575" spans="1:10">
      <c r="A575">
        <v>5</v>
      </c>
      <c r="B575" t="s">
        <v>112</v>
      </c>
      <c r="C575" t="s">
        <v>11</v>
      </c>
      <c r="D575" t="s">
        <v>119</v>
      </c>
      <c r="E575" s="79">
        <v>7.0000000000000007E-2</v>
      </c>
      <c r="F575" s="7">
        <v>995.11056232302985</v>
      </c>
      <c r="G575" s="7">
        <v>337.42118786583336</v>
      </c>
      <c r="H575" s="7">
        <v>1332.5317501888633</v>
      </c>
      <c r="I575" s="7">
        <v>0.70145339856277444</v>
      </c>
      <c r="J575" s="7">
        <v>0.70145339856277444</v>
      </c>
    </row>
    <row r="576" spans="1:10">
      <c r="A576">
        <v>5</v>
      </c>
      <c r="B576" t="s">
        <v>112</v>
      </c>
      <c r="C576" t="s">
        <v>12</v>
      </c>
      <c r="D576" t="s">
        <v>119</v>
      </c>
      <c r="E576" s="79">
        <v>7.0000000000000007E-2</v>
      </c>
      <c r="F576" s="7">
        <v>331.84733718727909</v>
      </c>
      <c r="G576" s="7">
        <v>252.92364916848462</v>
      </c>
      <c r="H576" s="7">
        <v>584.77098635576374</v>
      </c>
      <c r="I576" s="7">
        <v>0.37485100959083201</v>
      </c>
      <c r="J576" s="7">
        <v>0.37485100959083201</v>
      </c>
    </row>
    <row r="577" spans="1:10">
      <c r="A577">
        <v>5</v>
      </c>
      <c r="B577" t="s">
        <v>112</v>
      </c>
      <c r="C577" t="s">
        <v>13</v>
      </c>
      <c r="D577" t="s">
        <v>119</v>
      </c>
      <c r="E577" s="79">
        <v>7.0000000000000007E-2</v>
      </c>
      <c r="F577" s="7">
        <v>1912.104953171227</v>
      </c>
      <c r="G577" s="7">
        <v>163.86035324593885</v>
      </c>
      <c r="H577" s="7">
        <v>2075.9653064171657</v>
      </c>
      <c r="I577" s="7">
        <v>1.4228249607741457</v>
      </c>
      <c r="J577" s="7">
        <v>1.4228249607741457</v>
      </c>
    </row>
    <row r="578" spans="1:10">
      <c r="A578">
        <v>5</v>
      </c>
      <c r="B578" t="s">
        <v>112</v>
      </c>
      <c r="C578" t="s">
        <v>14</v>
      </c>
      <c r="D578" t="s">
        <v>119</v>
      </c>
      <c r="E578" s="79">
        <v>7.0000000000000007E-2</v>
      </c>
      <c r="F578" s="7">
        <v>675.61741377036753</v>
      </c>
      <c r="G578" s="7">
        <v>674.88038956522871</v>
      </c>
      <c r="H578" s="7">
        <v>1350.4978033355962</v>
      </c>
      <c r="I578" s="7">
        <v>0.92867291424540288</v>
      </c>
      <c r="J578" s="7">
        <v>0.92867291424540288</v>
      </c>
    </row>
    <row r="579" spans="1:10">
      <c r="A579">
        <v>5</v>
      </c>
      <c r="B579" t="s">
        <v>112</v>
      </c>
      <c r="C579" t="s">
        <v>125</v>
      </c>
      <c r="D579" t="s">
        <v>120</v>
      </c>
      <c r="E579" s="79">
        <v>0.03</v>
      </c>
      <c r="F579" s="7">
        <v>2789.1861064881532</v>
      </c>
      <c r="G579" s="7">
        <v>472.93561993583694</v>
      </c>
      <c r="H579" s="7">
        <v>3262.1217264239899</v>
      </c>
      <c r="I579" s="7">
        <v>0.62388140735536901</v>
      </c>
      <c r="J579" s="7">
        <v>0.62388140735536901</v>
      </c>
    </row>
    <row r="580" spans="1:10">
      <c r="A580">
        <v>5</v>
      </c>
      <c r="B580" t="s">
        <v>112</v>
      </c>
      <c r="C580" t="s">
        <v>9</v>
      </c>
      <c r="D580" t="s">
        <v>120</v>
      </c>
      <c r="E580" s="79">
        <v>0.03</v>
      </c>
      <c r="F580" s="7">
        <v>7243.351771186577</v>
      </c>
      <c r="G580" s="7">
        <v>662.69773812719109</v>
      </c>
      <c r="H580" s="7">
        <v>7906.0495093137679</v>
      </c>
      <c r="I580" s="7">
        <v>1.4575289950508858</v>
      </c>
      <c r="J580" s="7">
        <v>1.4575289950508858</v>
      </c>
    </row>
    <row r="581" spans="1:10">
      <c r="A581">
        <v>5</v>
      </c>
      <c r="B581" t="s">
        <v>112</v>
      </c>
      <c r="C581" t="s">
        <v>10</v>
      </c>
      <c r="D581" t="s">
        <v>120</v>
      </c>
      <c r="E581" s="79">
        <v>0.03</v>
      </c>
      <c r="F581" s="7">
        <v>7784.4179258112581</v>
      </c>
      <c r="G581" s="7">
        <v>1955.4170577985365</v>
      </c>
      <c r="H581" s="7">
        <v>9739.834983609795</v>
      </c>
      <c r="I581" s="7">
        <v>1.7335164600153687</v>
      </c>
      <c r="J581" s="7">
        <v>1.7335164600153687</v>
      </c>
    </row>
    <row r="582" spans="1:10">
      <c r="A582">
        <v>5</v>
      </c>
      <c r="B582" t="s">
        <v>112</v>
      </c>
      <c r="C582" t="s">
        <v>11</v>
      </c>
      <c r="D582" t="s">
        <v>120</v>
      </c>
      <c r="E582" s="79">
        <v>0.03</v>
      </c>
      <c r="F582" s="7">
        <v>4004.7122575339517</v>
      </c>
      <c r="G582" s="7">
        <v>771.73155928722736</v>
      </c>
      <c r="H582" s="7">
        <v>4776.4438168211791</v>
      </c>
      <c r="I582" s="7">
        <v>0.83456486723538792</v>
      </c>
      <c r="J582" s="7">
        <v>0.83456486723538792</v>
      </c>
    </row>
    <row r="583" spans="1:10">
      <c r="A583">
        <v>5</v>
      </c>
      <c r="B583" t="s">
        <v>112</v>
      </c>
      <c r="C583" t="s">
        <v>12</v>
      </c>
      <c r="D583" t="s">
        <v>120</v>
      </c>
      <c r="E583" s="79">
        <v>0.03</v>
      </c>
      <c r="F583" s="7">
        <v>1764.5335712092156</v>
      </c>
      <c r="G583" s="7">
        <v>578.4733418430792</v>
      </c>
      <c r="H583" s="7">
        <v>2343.0069130522947</v>
      </c>
      <c r="I583" s="7">
        <v>0.44600138758595514</v>
      </c>
      <c r="J583" s="7">
        <v>0.44600138758595514</v>
      </c>
    </row>
    <row r="584" spans="1:10">
      <c r="A584">
        <v>5</v>
      </c>
      <c r="B584" t="s">
        <v>112</v>
      </c>
      <c r="C584" t="s">
        <v>13</v>
      </c>
      <c r="D584" t="s">
        <v>120</v>
      </c>
      <c r="E584" s="79">
        <v>0.03</v>
      </c>
      <c r="F584" s="7">
        <v>8296.3544453464729</v>
      </c>
      <c r="G584" s="7">
        <v>374.77257049467238</v>
      </c>
      <c r="H584" s="7">
        <v>8671.1270158411444</v>
      </c>
      <c r="I584" s="7">
        <v>1.6929006560459676</v>
      </c>
      <c r="J584" s="7">
        <v>1.6929006560459676</v>
      </c>
    </row>
    <row r="585" spans="1:10">
      <c r="A585">
        <v>5</v>
      </c>
      <c r="B585" t="s">
        <v>112</v>
      </c>
      <c r="C585" t="s">
        <v>14</v>
      </c>
      <c r="D585" t="s">
        <v>120</v>
      </c>
      <c r="E585" s="79">
        <v>0.03</v>
      </c>
      <c r="F585" s="7">
        <v>4066.9978974223313</v>
      </c>
      <c r="G585" s="7">
        <v>1543.5500617662394</v>
      </c>
      <c r="H585" s="7">
        <v>5610.5479591885705</v>
      </c>
      <c r="I585" s="7">
        <v>1.1049521344321356</v>
      </c>
      <c r="J585" s="7">
        <v>1.1049521344321356</v>
      </c>
    </row>
    <row r="586" spans="1:10">
      <c r="A586">
        <v>5</v>
      </c>
      <c r="B586" t="s">
        <v>112</v>
      </c>
      <c r="C586" t="s">
        <v>125</v>
      </c>
      <c r="D586" t="s">
        <v>120</v>
      </c>
      <c r="E586" s="79">
        <v>7.0000000000000007E-2</v>
      </c>
      <c r="F586" s="7">
        <v>821.85680949885648</v>
      </c>
      <c r="G586" s="7">
        <v>242.21577252515968</v>
      </c>
      <c r="H586" s="7">
        <v>1064.0725820240161</v>
      </c>
      <c r="I586" s="7">
        <v>0.62388140735536901</v>
      </c>
      <c r="J586" s="7">
        <v>0.62388140735536901</v>
      </c>
    </row>
    <row r="587" spans="1:10">
      <c r="A587">
        <v>5</v>
      </c>
      <c r="B587" t="s">
        <v>112</v>
      </c>
      <c r="C587" t="s">
        <v>9</v>
      </c>
      <c r="D587" t="s">
        <v>120</v>
      </c>
      <c r="E587" s="79">
        <v>7.0000000000000007E-2</v>
      </c>
      <c r="F587" s="7">
        <v>2360.486750476678</v>
      </c>
      <c r="G587" s="7">
        <v>339.40316149781813</v>
      </c>
      <c r="H587" s="7">
        <v>2699.889911974496</v>
      </c>
      <c r="I587" s="7">
        <v>1.4575289950508858</v>
      </c>
      <c r="J587" s="7">
        <v>1.4575289950508858</v>
      </c>
    </row>
    <row r="588" spans="1:10">
      <c r="A588">
        <v>5</v>
      </c>
      <c r="B588" t="s">
        <v>112</v>
      </c>
      <c r="C588" t="s">
        <v>10</v>
      </c>
      <c r="D588" t="s">
        <v>120</v>
      </c>
      <c r="E588" s="79">
        <v>7.0000000000000007E-2</v>
      </c>
      <c r="F588" s="7">
        <v>2492.9940752199982</v>
      </c>
      <c r="G588" s="7">
        <v>1001.4742668945195</v>
      </c>
      <c r="H588" s="7">
        <v>3494.4683421145178</v>
      </c>
      <c r="I588" s="7">
        <v>1.7335164600153687</v>
      </c>
      <c r="J588" s="7">
        <v>1.7335164600153687</v>
      </c>
    </row>
    <row r="589" spans="1:10">
      <c r="A589">
        <v>5</v>
      </c>
      <c r="B589" t="s">
        <v>112</v>
      </c>
      <c r="C589" t="s">
        <v>11</v>
      </c>
      <c r="D589" t="s">
        <v>120</v>
      </c>
      <c r="E589" s="79">
        <v>7.0000000000000007E-2</v>
      </c>
      <c r="F589" s="7">
        <v>1354.9141850109399</v>
      </c>
      <c r="G589" s="7">
        <v>395.24524678467213</v>
      </c>
      <c r="H589" s="7">
        <v>1750.1594317956121</v>
      </c>
      <c r="I589" s="7">
        <v>0.83456486723538792</v>
      </c>
      <c r="J589" s="7">
        <v>0.83456486723538792</v>
      </c>
    </row>
    <row r="590" spans="1:10">
      <c r="A590">
        <v>5</v>
      </c>
      <c r="B590" t="s">
        <v>112</v>
      </c>
      <c r="C590" t="s">
        <v>12</v>
      </c>
      <c r="D590" t="s">
        <v>120</v>
      </c>
      <c r="E590" s="79">
        <v>7.0000000000000007E-2</v>
      </c>
      <c r="F590" s="7">
        <v>476.95267788789664</v>
      </c>
      <c r="G590" s="7">
        <v>296.26731731211459</v>
      </c>
      <c r="H590" s="7">
        <v>773.21999520001123</v>
      </c>
      <c r="I590" s="7">
        <v>0.44600138758595514</v>
      </c>
      <c r="J590" s="7">
        <v>0.44600138758595514</v>
      </c>
    </row>
    <row r="591" spans="1:10">
      <c r="A591">
        <v>5</v>
      </c>
      <c r="B591" t="s">
        <v>112</v>
      </c>
      <c r="C591" t="s">
        <v>13</v>
      </c>
      <c r="D591" t="s">
        <v>120</v>
      </c>
      <c r="E591" s="79">
        <v>7.0000000000000007E-2</v>
      </c>
      <c r="F591" s="7">
        <v>2558.8550916391027</v>
      </c>
      <c r="G591" s="7">
        <v>191.94119422834441</v>
      </c>
      <c r="H591" s="7">
        <v>2750.7962858674473</v>
      </c>
      <c r="I591" s="7">
        <v>1.6929006560459676</v>
      </c>
      <c r="J591" s="7">
        <v>1.6929006560459676</v>
      </c>
    </row>
    <row r="592" spans="1:10">
      <c r="A592">
        <v>5</v>
      </c>
      <c r="B592" t="s">
        <v>112</v>
      </c>
      <c r="C592" t="s">
        <v>14</v>
      </c>
      <c r="D592" t="s">
        <v>120</v>
      </c>
      <c r="E592" s="79">
        <v>7.0000000000000007E-2</v>
      </c>
      <c r="F592" s="7">
        <v>998.45398551320272</v>
      </c>
      <c r="G592" s="7">
        <v>790.53502185496336</v>
      </c>
      <c r="H592" s="7">
        <v>1788.9890073681661</v>
      </c>
      <c r="I592" s="7">
        <v>1.1049521344321356</v>
      </c>
      <c r="J592" s="7">
        <v>1.1049521344321356</v>
      </c>
    </row>
    <row r="593" spans="1:10">
      <c r="A593">
        <v>5</v>
      </c>
      <c r="B593" t="s">
        <v>111</v>
      </c>
      <c r="C593" t="s">
        <v>125</v>
      </c>
      <c r="D593" t="s">
        <v>39</v>
      </c>
      <c r="E593" s="79">
        <v>0.03</v>
      </c>
      <c r="F593" s="7">
        <v>2120.6898473711353</v>
      </c>
      <c r="G593" s="7">
        <v>655.07828321996499</v>
      </c>
      <c r="H593" s="7">
        <v>2775.7681305911001</v>
      </c>
      <c r="I593" s="7">
        <v>0.5704962718596438</v>
      </c>
      <c r="J593" s="7">
        <v>0.5704962718596438</v>
      </c>
    </row>
    <row r="594" spans="1:10">
      <c r="A594">
        <v>5</v>
      </c>
      <c r="B594" t="s">
        <v>111</v>
      </c>
      <c r="C594" t="s">
        <v>9</v>
      </c>
      <c r="D594" t="s">
        <v>39</v>
      </c>
      <c r="E594" s="79">
        <v>0.03</v>
      </c>
      <c r="F594" s="7">
        <v>5832.8806233643345</v>
      </c>
      <c r="G594" s="7">
        <v>917.92387438487083</v>
      </c>
      <c r="H594" s="7">
        <v>6750.8044977492054</v>
      </c>
      <c r="I594" s="7">
        <v>1.3328116379300989</v>
      </c>
      <c r="J594" s="7">
        <v>1.3328116379300989</v>
      </c>
    </row>
    <row r="595" spans="1:10">
      <c r="A595">
        <v>5</v>
      </c>
      <c r="B595" t="s">
        <v>111</v>
      </c>
      <c r="C595" t="s">
        <v>10</v>
      </c>
      <c r="D595" t="s">
        <v>39</v>
      </c>
      <c r="E595" s="79">
        <v>0.03</v>
      </c>
      <c r="F595" s="7">
        <v>5635.7919510845059</v>
      </c>
      <c r="G595" s="7">
        <v>2708.5108315070152</v>
      </c>
      <c r="H595" s="7">
        <v>8344.3027825915215</v>
      </c>
      <c r="I595" s="7">
        <v>1.5851902987314284</v>
      </c>
      <c r="J595" s="7">
        <v>1.5851902987314284</v>
      </c>
    </row>
    <row r="596" spans="1:10">
      <c r="A596">
        <v>5</v>
      </c>
      <c r="B596" t="s">
        <v>111</v>
      </c>
      <c r="C596" t="s">
        <v>11</v>
      </c>
      <c r="D596" t="s">
        <v>39</v>
      </c>
      <c r="E596" s="79">
        <v>0.03</v>
      </c>
      <c r="F596" s="7">
        <v>3029.032897964491</v>
      </c>
      <c r="G596" s="7">
        <v>1068.9501142526117</v>
      </c>
      <c r="H596" s="7">
        <v>4097.9830122171024</v>
      </c>
      <c r="I596" s="7">
        <v>0.76315809801321377</v>
      </c>
      <c r="J596" s="7">
        <v>0.76315809801321377</v>
      </c>
    </row>
    <row r="597" spans="1:10">
      <c r="A597">
        <v>5</v>
      </c>
      <c r="B597" t="s">
        <v>111</v>
      </c>
      <c r="C597" t="s">
        <v>12</v>
      </c>
      <c r="D597" t="s">
        <v>39</v>
      </c>
      <c r="E597" s="79">
        <v>0.03</v>
      </c>
      <c r="F597" s="7">
        <v>1194.672824719044</v>
      </c>
      <c r="G597" s="7">
        <v>801.26196397406375</v>
      </c>
      <c r="H597" s="7">
        <v>1995.9347886931077</v>
      </c>
      <c r="I597" s="7">
        <v>0.40783713384322473</v>
      </c>
      <c r="J597" s="7">
        <v>0.40783713384322473</v>
      </c>
    </row>
    <row r="598" spans="1:10">
      <c r="A598">
        <v>5</v>
      </c>
      <c r="B598" t="s">
        <v>111</v>
      </c>
      <c r="C598" t="s">
        <v>13</v>
      </c>
      <c r="D598" t="s">
        <v>39</v>
      </c>
      <c r="E598" s="79">
        <v>0.03</v>
      </c>
      <c r="F598" s="7">
        <v>6845.2541561974922</v>
      </c>
      <c r="G598" s="7">
        <v>519.10949763287192</v>
      </c>
      <c r="H598" s="7">
        <v>7364.3636538303645</v>
      </c>
      <c r="I598" s="7">
        <v>1.5480377827610885</v>
      </c>
      <c r="J598" s="7">
        <v>1.5480377827610885</v>
      </c>
    </row>
    <row r="599" spans="1:10">
      <c r="A599">
        <v>5</v>
      </c>
      <c r="B599" t="s">
        <v>111</v>
      </c>
      <c r="C599" t="s">
        <v>14</v>
      </c>
      <c r="D599" t="s">
        <v>39</v>
      </c>
      <c r="E599" s="79">
        <v>0.03</v>
      </c>
      <c r="F599" s="7">
        <v>2628.7722962233152</v>
      </c>
      <c r="G599" s="7">
        <v>2138.0206563064125</v>
      </c>
      <c r="H599" s="7">
        <v>4766.7929525297277</v>
      </c>
      <c r="I599" s="7">
        <v>1.0103999406437776</v>
      </c>
      <c r="J599" s="7">
        <v>1.0103999406437776</v>
      </c>
    </row>
    <row r="600" spans="1:10">
      <c r="A600">
        <v>5</v>
      </c>
      <c r="B600" t="s">
        <v>111</v>
      </c>
      <c r="C600" t="s">
        <v>125</v>
      </c>
      <c r="D600" t="s">
        <v>39</v>
      </c>
      <c r="E600" s="79">
        <v>7.0000000000000007E-2</v>
      </c>
      <c r="F600" s="7">
        <v>600.57731333773631</v>
      </c>
      <c r="G600" s="7">
        <v>319.94910805513615</v>
      </c>
      <c r="H600" s="7">
        <v>920.52642139287252</v>
      </c>
      <c r="I600" s="7">
        <v>0.5704962718596438</v>
      </c>
      <c r="J600" s="7">
        <v>0.5704962718596438</v>
      </c>
    </row>
    <row r="601" spans="1:10">
      <c r="A601">
        <v>5</v>
      </c>
      <c r="B601" t="s">
        <v>111</v>
      </c>
      <c r="C601" t="s">
        <v>9</v>
      </c>
      <c r="D601" t="s">
        <v>39</v>
      </c>
      <c r="E601" s="79">
        <v>7.0000000000000007E-2</v>
      </c>
      <c r="F601" s="7">
        <v>1891.0552643067515</v>
      </c>
      <c r="G601" s="7">
        <v>448.32645562353099</v>
      </c>
      <c r="H601" s="7">
        <v>2339.3817199302825</v>
      </c>
      <c r="I601" s="7">
        <v>1.3328116379300989</v>
      </c>
      <c r="J601" s="7">
        <v>1.3328116379300989</v>
      </c>
    </row>
    <row r="602" spans="1:10">
      <c r="A602">
        <v>5</v>
      </c>
      <c r="B602" t="s">
        <v>111</v>
      </c>
      <c r="C602" t="s">
        <v>10</v>
      </c>
      <c r="D602" t="s">
        <v>39</v>
      </c>
      <c r="E602" s="79">
        <v>7.0000000000000007E-2</v>
      </c>
      <c r="F602" s="7">
        <v>1711.2652272962691</v>
      </c>
      <c r="G602" s="7">
        <v>1322.8733830691785</v>
      </c>
      <c r="H602" s="7">
        <v>3034.1386103654477</v>
      </c>
      <c r="I602" s="7">
        <v>1.5851902987314284</v>
      </c>
      <c r="J602" s="7">
        <v>1.5851902987314284</v>
      </c>
    </row>
    <row r="603" spans="1:10">
      <c r="A603">
        <v>5</v>
      </c>
      <c r="B603" t="s">
        <v>111</v>
      </c>
      <c r="C603" t="s">
        <v>11</v>
      </c>
      <c r="D603" t="s">
        <v>39</v>
      </c>
      <c r="E603" s="79">
        <v>7.0000000000000007E-2</v>
      </c>
      <c r="F603" s="7">
        <v>998.83070020870821</v>
      </c>
      <c r="G603" s="7">
        <v>522.08971717005863</v>
      </c>
      <c r="H603" s="7">
        <v>1520.9204173787668</v>
      </c>
      <c r="I603" s="7">
        <v>0.76315809801321377</v>
      </c>
      <c r="J603" s="7">
        <v>0.76315809801321377</v>
      </c>
    </row>
    <row r="604" spans="1:10">
      <c r="A604">
        <v>5</v>
      </c>
      <c r="B604" t="s">
        <v>111</v>
      </c>
      <c r="C604" t="s">
        <v>12</v>
      </c>
      <c r="D604" t="s">
        <v>39</v>
      </c>
      <c r="E604" s="79">
        <v>7.0000000000000007E-2</v>
      </c>
      <c r="F604" s="7">
        <v>277.71964805845016</v>
      </c>
      <c r="G604" s="7">
        <v>391.34719812704543</v>
      </c>
      <c r="H604" s="7">
        <v>669.06684618549559</v>
      </c>
      <c r="I604" s="7">
        <v>0.40783713384322473</v>
      </c>
      <c r="J604" s="7">
        <v>0.40783713384322473</v>
      </c>
    </row>
    <row r="605" spans="1:10">
      <c r="A605">
        <v>5</v>
      </c>
      <c r="B605" t="s">
        <v>111</v>
      </c>
      <c r="C605" t="s">
        <v>13</v>
      </c>
      <c r="D605" t="s">
        <v>39</v>
      </c>
      <c r="E605" s="79">
        <v>7.0000000000000007E-2</v>
      </c>
      <c r="F605" s="7">
        <v>2123.4864576337427</v>
      </c>
      <c r="G605" s="7">
        <v>253.54011116686235</v>
      </c>
      <c r="H605" s="7">
        <v>2377.0265688006052</v>
      </c>
      <c r="I605" s="7">
        <v>1.5480377827610885</v>
      </c>
      <c r="J605" s="7">
        <v>1.5480377827610885</v>
      </c>
    </row>
    <row r="606" spans="1:10">
      <c r="A606">
        <v>5</v>
      </c>
      <c r="B606" t="s">
        <v>111</v>
      </c>
      <c r="C606" t="s">
        <v>14</v>
      </c>
      <c r="D606" t="s">
        <v>39</v>
      </c>
      <c r="E606" s="79">
        <v>7.0000000000000007E-2</v>
      </c>
      <c r="F606" s="7">
        <v>501.95278448443219</v>
      </c>
      <c r="G606" s="7">
        <v>1044.2382529096874</v>
      </c>
      <c r="H606" s="7">
        <v>1546.1910373941196</v>
      </c>
      <c r="I606" s="7">
        <v>1.0103999406437776</v>
      </c>
      <c r="J606" s="7">
        <v>1.0103999406437776</v>
      </c>
    </row>
    <row r="607" spans="1:10">
      <c r="A607">
        <v>5</v>
      </c>
      <c r="B607" t="s">
        <v>111</v>
      </c>
      <c r="C607" t="s">
        <v>125</v>
      </c>
      <c r="D607" t="s">
        <v>119</v>
      </c>
      <c r="E607" s="79">
        <v>0.03</v>
      </c>
      <c r="F607" s="7">
        <v>1791.9431061658975</v>
      </c>
      <c r="G607" s="7">
        <v>603.07003273756663</v>
      </c>
      <c r="H607" s="7">
        <v>2395.0131389034641</v>
      </c>
      <c r="I607" s="7">
        <v>0.52435454631339184</v>
      </c>
      <c r="J607" s="7">
        <v>0.52435454631339184</v>
      </c>
    </row>
    <row r="608" spans="1:10">
      <c r="A608">
        <v>5</v>
      </c>
      <c r="B608" t="s">
        <v>111</v>
      </c>
      <c r="C608" t="s">
        <v>9</v>
      </c>
      <c r="D608" t="s">
        <v>119</v>
      </c>
      <c r="E608" s="79">
        <v>0.03</v>
      </c>
      <c r="F608" s="7">
        <v>4991.1449152869291</v>
      </c>
      <c r="G608" s="7">
        <v>845.0476762179544</v>
      </c>
      <c r="H608" s="7">
        <v>5836.1925915048832</v>
      </c>
      <c r="I608" s="7">
        <v>1.2250222243611404</v>
      </c>
      <c r="J608" s="7">
        <v>1.2250222243611404</v>
      </c>
    </row>
    <row r="609" spans="1:10">
      <c r="A609">
        <v>5</v>
      </c>
      <c r="B609" t="s">
        <v>111</v>
      </c>
      <c r="C609" t="s">
        <v>10</v>
      </c>
      <c r="D609" t="s">
        <v>119</v>
      </c>
      <c r="E609" s="79">
        <v>0.03</v>
      </c>
      <c r="F609" s="7">
        <v>4733.9259245659887</v>
      </c>
      <c r="G609" s="7">
        <v>2493.47560080619</v>
      </c>
      <c r="H609" s="7">
        <v>7227.4015253721782</v>
      </c>
      <c r="I609" s="7">
        <v>1.4570103325986283</v>
      </c>
      <c r="J609" s="7">
        <v>1.4570103325986283</v>
      </c>
    </row>
    <row r="610" spans="1:10">
      <c r="A610">
        <v>5</v>
      </c>
      <c r="B610" t="s">
        <v>111</v>
      </c>
      <c r="C610" t="s">
        <v>11</v>
      </c>
      <c r="D610" t="s">
        <v>119</v>
      </c>
      <c r="E610" s="79">
        <v>0.03</v>
      </c>
      <c r="F610" s="7">
        <v>2568.2777660454967</v>
      </c>
      <c r="G610" s="7">
        <v>984.0835773526702</v>
      </c>
      <c r="H610" s="7">
        <v>3552.3613433981668</v>
      </c>
      <c r="I610" s="7">
        <v>0.70145339856277444</v>
      </c>
      <c r="J610" s="7">
        <v>0.70145339856277444</v>
      </c>
    </row>
    <row r="611" spans="1:10">
      <c r="A611">
        <v>5</v>
      </c>
      <c r="B611" t="s">
        <v>111</v>
      </c>
      <c r="C611" t="s">
        <v>12</v>
      </c>
      <c r="D611" t="s">
        <v>119</v>
      </c>
      <c r="E611" s="79">
        <v>0.03</v>
      </c>
      <c r="F611" s="7">
        <v>985.57030545578846</v>
      </c>
      <c r="G611" s="7">
        <v>737.647837247795</v>
      </c>
      <c r="H611" s="7">
        <v>1723.2181427035835</v>
      </c>
      <c r="I611" s="7">
        <v>0.37485100959083201</v>
      </c>
      <c r="J611" s="7">
        <v>0.37485100959083201</v>
      </c>
    </row>
    <row r="612" spans="1:10">
      <c r="A612">
        <v>5</v>
      </c>
      <c r="B612" t="s">
        <v>111</v>
      </c>
      <c r="C612" t="s">
        <v>13</v>
      </c>
      <c r="D612" t="s">
        <v>119</v>
      </c>
      <c r="E612" s="79">
        <v>0.03</v>
      </c>
      <c r="F612" s="7">
        <v>5869.4580870487034</v>
      </c>
      <c r="G612" s="7">
        <v>477.89613814249674</v>
      </c>
      <c r="H612" s="7">
        <v>6347.3542251912004</v>
      </c>
      <c r="I612" s="7">
        <v>1.4228249607741457</v>
      </c>
      <c r="J612" s="7">
        <v>1.4228249607741457</v>
      </c>
    </row>
    <row r="613" spans="1:10">
      <c r="A613">
        <v>5</v>
      </c>
      <c r="B613" t="s">
        <v>111</v>
      </c>
      <c r="C613" t="s">
        <v>14</v>
      </c>
      <c r="D613" t="s">
        <v>119</v>
      </c>
      <c r="E613" s="79">
        <v>0.03</v>
      </c>
      <c r="F613" s="7">
        <v>2141.0890489260837</v>
      </c>
      <c r="G613" s="7">
        <v>1968.2780214519034</v>
      </c>
      <c r="H613" s="7">
        <v>4109.3670703779871</v>
      </c>
      <c r="I613" s="7">
        <v>0.92867291424540288</v>
      </c>
      <c r="J613" s="7">
        <v>0.92867291424540288</v>
      </c>
    </row>
    <row r="614" spans="1:10">
      <c r="A614">
        <v>5</v>
      </c>
      <c r="B614" t="s">
        <v>111</v>
      </c>
      <c r="C614" t="s">
        <v>125</v>
      </c>
      <c r="D614" t="s">
        <v>119</v>
      </c>
      <c r="E614" s="79">
        <v>7.0000000000000007E-2</v>
      </c>
      <c r="F614" s="7">
        <v>508.26571389159534</v>
      </c>
      <c r="G614" s="7">
        <v>296.184278341013</v>
      </c>
      <c r="H614" s="7">
        <v>804.44999223260834</v>
      </c>
      <c r="I614" s="7">
        <v>0.52435454631339184</v>
      </c>
      <c r="J614" s="7">
        <v>0.52435454631339184</v>
      </c>
    </row>
    <row r="615" spans="1:10">
      <c r="A615">
        <v>5</v>
      </c>
      <c r="B615" t="s">
        <v>111</v>
      </c>
      <c r="C615" t="s">
        <v>9</v>
      </c>
      <c r="D615" t="s">
        <v>119</v>
      </c>
      <c r="E615" s="79">
        <v>7.0000000000000007E-2</v>
      </c>
      <c r="F615" s="7">
        <v>1631.1805586602052</v>
      </c>
      <c r="G615" s="7">
        <v>415.02615377554588</v>
      </c>
      <c r="H615" s="7">
        <v>2046.2067124357511</v>
      </c>
      <c r="I615" s="7">
        <v>1.2250222243611404</v>
      </c>
      <c r="J615" s="7">
        <v>1.2250222243611404</v>
      </c>
    </row>
    <row r="616" spans="1:10">
      <c r="A616">
        <v>5</v>
      </c>
      <c r="B616" t="s">
        <v>111</v>
      </c>
      <c r="C616" t="s">
        <v>10</v>
      </c>
      <c r="D616" t="s">
        <v>119</v>
      </c>
      <c r="E616" s="79">
        <v>7.0000000000000007E-2</v>
      </c>
      <c r="F616" s="7">
        <v>1432.4019859600367</v>
      </c>
      <c r="G616" s="7">
        <v>1224.6144415985013</v>
      </c>
      <c r="H616" s="7">
        <v>2657.016427558538</v>
      </c>
      <c r="I616" s="7">
        <v>1.4570103325986283</v>
      </c>
      <c r="J616" s="7">
        <v>1.4570103325986283</v>
      </c>
    </row>
    <row r="617" spans="1:10">
      <c r="A617">
        <v>5</v>
      </c>
      <c r="B617" t="s">
        <v>111</v>
      </c>
      <c r="C617" t="s">
        <v>11</v>
      </c>
      <c r="D617" t="s">
        <v>119</v>
      </c>
      <c r="E617" s="79">
        <v>7.0000000000000007E-2</v>
      </c>
      <c r="F617" s="7">
        <v>849.2212416856496</v>
      </c>
      <c r="G617" s="7">
        <v>483.31050850321373</v>
      </c>
      <c r="H617" s="7">
        <v>1332.5317501888633</v>
      </c>
      <c r="I617" s="7">
        <v>0.70145339856277444</v>
      </c>
      <c r="J617" s="7">
        <v>0.70145339856277444</v>
      </c>
    </row>
    <row r="618" spans="1:10">
      <c r="A618">
        <v>5</v>
      </c>
      <c r="B618" t="s">
        <v>111</v>
      </c>
      <c r="C618" t="s">
        <v>12</v>
      </c>
      <c r="D618" t="s">
        <v>119</v>
      </c>
      <c r="E618" s="79">
        <v>7.0000000000000007E-2</v>
      </c>
      <c r="F618" s="7">
        <v>222.49184714321848</v>
      </c>
      <c r="G618" s="7">
        <v>362.27913921254526</v>
      </c>
      <c r="H618" s="7">
        <v>584.77098635576374</v>
      </c>
      <c r="I618" s="7">
        <v>0.37485100959083201</v>
      </c>
      <c r="J618" s="7">
        <v>0.37485100959083201</v>
      </c>
    </row>
    <row r="619" spans="1:10">
      <c r="A619">
        <v>5</v>
      </c>
      <c r="B619" t="s">
        <v>111</v>
      </c>
      <c r="C619" t="s">
        <v>13</v>
      </c>
      <c r="D619" t="s">
        <v>119</v>
      </c>
      <c r="E619" s="79">
        <v>7.0000000000000007E-2</v>
      </c>
      <c r="F619" s="7">
        <v>1841.2573701677657</v>
      </c>
      <c r="G619" s="7">
        <v>234.70793624940015</v>
      </c>
      <c r="H619" s="7">
        <v>2075.9653064171657</v>
      </c>
      <c r="I619" s="7">
        <v>1.4228249607741457</v>
      </c>
      <c r="J619" s="7">
        <v>1.4228249607741457</v>
      </c>
    </row>
    <row r="620" spans="1:10">
      <c r="A620">
        <v>5</v>
      </c>
      <c r="B620" t="s">
        <v>111</v>
      </c>
      <c r="C620" t="s">
        <v>14</v>
      </c>
      <c r="D620" t="s">
        <v>119</v>
      </c>
      <c r="E620" s="79">
        <v>7.0000000000000007E-2</v>
      </c>
      <c r="F620" s="7">
        <v>383.82233662094268</v>
      </c>
      <c r="G620" s="7">
        <v>966.67546671465357</v>
      </c>
      <c r="H620" s="7">
        <v>1350.4978033355962</v>
      </c>
      <c r="I620" s="7">
        <v>0.92867291424540288</v>
      </c>
      <c r="J620" s="7">
        <v>0.92867291424540288</v>
      </c>
    </row>
    <row r="621" spans="1:10">
      <c r="A621">
        <v>5</v>
      </c>
      <c r="B621" t="s">
        <v>111</v>
      </c>
      <c r="C621" t="s">
        <v>125</v>
      </c>
      <c r="D621" t="s">
        <v>120</v>
      </c>
      <c r="E621" s="79">
        <v>0.03</v>
      </c>
      <c r="F621" s="7">
        <v>2546.5299334668384</v>
      </c>
      <c r="G621" s="7">
        <v>715.5917929571516</v>
      </c>
      <c r="H621" s="7">
        <v>3262.1217264239899</v>
      </c>
      <c r="I621" s="7">
        <v>0.62388140735536901</v>
      </c>
      <c r="J621" s="7">
        <v>0.62388140735536901</v>
      </c>
    </row>
    <row r="622" spans="1:10">
      <c r="A622">
        <v>5</v>
      </c>
      <c r="B622" t="s">
        <v>111</v>
      </c>
      <c r="C622" t="s">
        <v>9</v>
      </c>
      <c r="D622" t="s">
        <v>120</v>
      </c>
      <c r="E622" s="79">
        <v>0.03</v>
      </c>
      <c r="F622" s="7">
        <v>6903.3315015658563</v>
      </c>
      <c r="G622" s="7">
        <v>1002.7180077479117</v>
      </c>
      <c r="H622" s="7">
        <v>7906.0495093137679</v>
      </c>
      <c r="I622" s="7">
        <v>1.4575289950508858</v>
      </c>
      <c r="J622" s="7">
        <v>1.4575289950508858</v>
      </c>
    </row>
    <row r="623" spans="1:10">
      <c r="A623">
        <v>5</v>
      </c>
      <c r="B623" t="s">
        <v>111</v>
      </c>
      <c r="C623" t="s">
        <v>10</v>
      </c>
      <c r="D623" t="s">
        <v>120</v>
      </c>
      <c r="E623" s="79">
        <v>0.03</v>
      </c>
      <c r="F623" s="7">
        <v>6781.1227627817434</v>
      </c>
      <c r="G623" s="7">
        <v>2958.7122208280516</v>
      </c>
      <c r="H623" s="7">
        <v>9739.834983609795</v>
      </c>
      <c r="I623" s="7">
        <v>1.7335164600153687</v>
      </c>
      <c r="J623" s="7">
        <v>1.7335164600153687</v>
      </c>
    </row>
    <row r="624" spans="1:10">
      <c r="A624">
        <v>5</v>
      </c>
      <c r="B624" t="s">
        <v>111</v>
      </c>
      <c r="C624" t="s">
        <v>11</v>
      </c>
      <c r="D624" t="s">
        <v>120</v>
      </c>
      <c r="E624" s="79">
        <v>0.03</v>
      </c>
      <c r="F624" s="7">
        <v>3608.7483696757799</v>
      </c>
      <c r="G624" s="7">
        <v>1167.6954471453994</v>
      </c>
      <c r="H624" s="7">
        <v>4776.4438168211791</v>
      </c>
      <c r="I624" s="7">
        <v>0.83456486723538792</v>
      </c>
      <c r="J624" s="7">
        <v>0.83456486723538792</v>
      </c>
    </row>
    <row r="625" spans="1:10">
      <c r="A625">
        <v>5</v>
      </c>
      <c r="B625" t="s">
        <v>111</v>
      </c>
      <c r="C625" t="s">
        <v>12</v>
      </c>
      <c r="D625" t="s">
        <v>120</v>
      </c>
      <c r="E625" s="79">
        <v>0.03</v>
      </c>
      <c r="F625" s="7">
        <v>1467.7275760390144</v>
      </c>
      <c r="G625" s="7">
        <v>875.27933701328038</v>
      </c>
      <c r="H625" s="7">
        <v>2343.0069130522947</v>
      </c>
      <c r="I625" s="7">
        <v>0.44600138758595514</v>
      </c>
      <c r="J625" s="7">
        <v>0.44600138758595514</v>
      </c>
    </row>
    <row r="626" spans="1:10">
      <c r="A626">
        <v>5</v>
      </c>
      <c r="B626" t="s">
        <v>111</v>
      </c>
      <c r="C626" t="s">
        <v>13</v>
      </c>
      <c r="D626" t="s">
        <v>120</v>
      </c>
      <c r="E626" s="79">
        <v>0.03</v>
      </c>
      <c r="F626" s="7">
        <v>8104.0642606445117</v>
      </c>
      <c r="G626" s="7">
        <v>567.06275519663234</v>
      </c>
      <c r="H626" s="7">
        <v>8671.1270158411444</v>
      </c>
      <c r="I626" s="7">
        <v>1.6929006560459676</v>
      </c>
      <c r="J626" s="7">
        <v>1.6929006560459676</v>
      </c>
    </row>
    <row r="627" spans="1:10">
      <c r="A627">
        <v>5</v>
      </c>
      <c r="B627" t="s">
        <v>111</v>
      </c>
      <c r="C627" t="s">
        <v>14</v>
      </c>
      <c r="D627" t="s">
        <v>120</v>
      </c>
      <c r="E627" s="79">
        <v>0.03</v>
      </c>
      <c r="F627" s="7">
        <v>3275.0255124583391</v>
      </c>
      <c r="G627" s="7">
        <v>2335.5224467302314</v>
      </c>
      <c r="H627" s="7">
        <v>5610.5479591885705</v>
      </c>
      <c r="I627" s="7">
        <v>1.1049521344321356</v>
      </c>
      <c r="J627" s="7">
        <v>1.1049521344321356</v>
      </c>
    </row>
    <row r="628" spans="1:10">
      <c r="A628">
        <v>5</v>
      </c>
      <c r="B628" t="s">
        <v>111</v>
      </c>
      <c r="C628" t="s">
        <v>125</v>
      </c>
      <c r="D628" t="s">
        <v>120</v>
      </c>
      <c r="E628" s="79">
        <v>7.0000000000000007E-2</v>
      </c>
      <c r="F628" s="7">
        <v>715.81323207173295</v>
      </c>
      <c r="G628" s="7">
        <v>348.25934995228312</v>
      </c>
      <c r="H628" s="7">
        <v>1064.0725820240161</v>
      </c>
      <c r="I628" s="7">
        <v>0.62388140735536901</v>
      </c>
      <c r="J628" s="7">
        <v>0.62388140735536901</v>
      </c>
    </row>
    <row r="629" spans="1:10">
      <c r="A629">
        <v>5</v>
      </c>
      <c r="B629" t="s">
        <v>111</v>
      </c>
      <c r="C629" t="s">
        <v>9</v>
      </c>
      <c r="D629" t="s">
        <v>120</v>
      </c>
      <c r="E629" s="79">
        <v>7.0000000000000007E-2</v>
      </c>
      <c r="F629" s="7">
        <v>2211.8939273913611</v>
      </c>
      <c r="G629" s="7">
        <v>487.99598458313517</v>
      </c>
      <c r="H629" s="7">
        <v>2699.889911974496</v>
      </c>
      <c r="I629" s="7">
        <v>1.4575289950508858</v>
      </c>
      <c r="J629" s="7">
        <v>1.4575289950508858</v>
      </c>
    </row>
    <row r="630" spans="1:10">
      <c r="A630">
        <v>5</v>
      </c>
      <c r="B630" t="s">
        <v>111</v>
      </c>
      <c r="C630" t="s">
        <v>10</v>
      </c>
      <c r="D630" t="s">
        <v>120</v>
      </c>
      <c r="E630" s="79">
        <v>7.0000000000000007E-2</v>
      </c>
      <c r="F630" s="7">
        <v>2054.5423887111479</v>
      </c>
      <c r="G630" s="7">
        <v>1439.9259534033699</v>
      </c>
      <c r="H630" s="7">
        <v>3494.4683421145178</v>
      </c>
      <c r="I630" s="7">
        <v>1.7335164600153687</v>
      </c>
      <c r="J630" s="7">
        <v>1.7335164600153687</v>
      </c>
    </row>
    <row r="631" spans="1:10">
      <c r="A631">
        <v>5</v>
      </c>
      <c r="B631" t="s">
        <v>111</v>
      </c>
      <c r="C631" t="s">
        <v>11</v>
      </c>
      <c r="D631" t="s">
        <v>120</v>
      </c>
      <c r="E631" s="79">
        <v>7.0000000000000007E-2</v>
      </c>
      <c r="F631" s="7">
        <v>1181.873348350483</v>
      </c>
      <c r="G631" s="7">
        <v>568.28608344512929</v>
      </c>
      <c r="H631" s="7">
        <v>1750.1594317956121</v>
      </c>
      <c r="I631" s="7">
        <v>0.83456486723538792</v>
      </c>
      <c r="J631" s="7">
        <v>0.83456486723538792</v>
      </c>
    </row>
    <row r="632" spans="1:10">
      <c r="A632">
        <v>5</v>
      </c>
      <c r="B632" t="s">
        <v>111</v>
      </c>
      <c r="C632" t="s">
        <v>12</v>
      </c>
      <c r="D632" t="s">
        <v>120</v>
      </c>
      <c r="E632" s="79">
        <v>7.0000000000000007E-2</v>
      </c>
      <c r="F632" s="7">
        <v>347.24499669529416</v>
      </c>
      <c r="G632" s="7">
        <v>425.97499850471706</v>
      </c>
      <c r="H632" s="7">
        <v>773.21999520001123</v>
      </c>
      <c r="I632" s="7">
        <v>0.44600138758595514</v>
      </c>
      <c r="J632" s="7">
        <v>0.44600138758595514</v>
      </c>
    </row>
    <row r="633" spans="1:10">
      <c r="A633">
        <v>5</v>
      </c>
      <c r="B633" t="s">
        <v>111</v>
      </c>
      <c r="C633" t="s">
        <v>13</v>
      </c>
      <c r="D633" t="s">
        <v>120</v>
      </c>
      <c r="E633" s="79">
        <v>7.0000000000000007E-2</v>
      </c>
      <c r="F633" s="7">
        <v>2474.8220384674987</v>
      </c>
      <c r="G633" s="7">
        <v>275.97424739994869</v>
      </c>
      <c r="H633" s="7">
        <v>2750.7962858674473</v>
      </c>
      <c r="I633" s="7">
        <v>1.6929006560459676</v>
      </c>
      <c r="J633" s="7">
        <v>1.6929006560459676</v>
      </c>
    </row>
    <row r="634" spans="1:10">
      <c r="A634">
        <v>5</v>
      </c>
      <c r="B634" t="s">
        <v>111</v>
      </c>
      <c r="C634" t="s">
        <v>14</v>
      </c>
      <c r="D634" t="s">
        <v>120</v>
      </c>
      <c r="E634" s="79">
        <v>7.0000000000000007E-2</v>
      </c>
      <c r="F634" s="7">
        <v>652.35281743084033</v>
      </c>
      <c r="G634" s="7">
        <v>1136.6361899373258</v>
      </c>
      <c r="H634" s="7">
        <v>1788.9890073681661</v>
      </c>
      <c r="I634" s="7">
        <v>1.1049521344321356</v>
      </c>
      <c r="J634" s="7">
        <v>1.1049521344321356</v>
      </c>
    </row>
    <row r="635" spans="1:10">
      <c r="A635">
        <v>6</v>
      </c>
      <c r="B635" t="s">
        <v>110</v>
      </c>
      <c r="C635" t="s">
        <v>125</v>
      </c>
      <c r="D635" t="s">
        <v>39</v>
      </c>
      <c r="E635" s="79">
        <v>0.03</v>
      </c>
      <c r="F635" s="7">
        <v>7014.2965401530337</v>
      </c>
      <c r="G635" s="7">
        <v>755.86377198452431</v>
      </c>
      <c r="H635" s="7">
        <v>7770.1603121375583</v>
      </c>
      <c r="I635" s="7">
        <v>1.5969804685675402</v>
      </c>
      <c r="J635" s="7">
        <v>1.5969804685675402</v>
      </c>
    </row>
    <row r="636" spans="1:10">
      <c r="A636">
        <v>6</v>
      </c>
      <c r="B636" t="s">
        <v>110</v>
      </c>
      <c r="C636" t="s">
        <v>9</v>
      </c>
      <c r="D636" t="s">
        <v>39</v>
      </c>
      <c r="E636" s="79">
        <v>0.03</v>
      </c>
      <c r="F636" s="7">
        <v>11162.959557201759</v>
      </c>
      <c r="G636" s="7">
        <v>1003.5589283321877</v>
      </c>
      <c r="H636" s="7">
        <v>12166.518485533947</v>
      </c>
      <c r="I636" s="7">
        <v>2.4020362959729926</v>
      </c>
      <c r="J636" s="7">
        <v>2.4020362959729926</v>
      </c>
    </row>
    <row r="637" spans="1:10">
      <c r="A637">
        <v>6</v>
      </c>
      <c r="B637" t="s">
        <v>110</v>
      </c>
      <c r="C637" t="s">
        <v>10</v>
      </c>
      <c r="D637" t="s">
        <v>39</v>
      </c>
      <c r="E637" s="79">
        <v>0.03</v>
      </c>
      <c r="F637" s="7">
        <v>19788.30219244719</v>
      </c>
      <c r="G637" s="7">
        <v>3245.2642552695147</v>
      </c>
      <c r="H637" s="7">
        <v>23033.566447716705</v>
      </c>
      <c r="I637" s="7">
        <v>4.3757503807605831</v>
      </c>
      <c r="J637" s="7">
        <v>4.3757503807605831</v>
      </c>
    </row>
    <row r="638" spans="1:10">
      <c r="A638">
        <v>6</v>
      </c>
      <c r="B638" t="s">
        <v>110</v>
      </c>
      <c r="C638" t="s">
        <v>11</v>
      </c>
      <c r="D638" t="s">
        <v>39</v>
      </c>
      <c r="E638" s="79">
        <v>0.03</v>
      </c>
      <c r="F638" s="7">
        <v>25701.91093369199</v>
      </c>
      <c r="G638" s="7">
        <v>2030.0751338038251</v>
      </c>
      <c r="H638" s="7">
        <v>27731.986067495814</v>
      </c>
      <c r="I638" s="7">
        <v>5.1644649766250623</v>
      </c>
      <c r="J638" s="7">
        <v>5.1644649766250623</v>
      </c>
    </row>
    <row r="639" spans="1:10">
      <c r="A639">
        <v>6</v>
      </c>
      <c r="B639" t="s">
        <v>110</v>
      </c>
      <c r="C639" t="s">
        <v>12</v>
      </c>
      <c r="D639" t="s">
        <v>39</v>
      </c>
      <c r="E639" s="79">
        <v>0.03</v>
      </c>
      <c r="F639" s="7">
        <v>2691.2835861582257</v>
      </c>
      <c r="G639" s="7">
        <v>825.07727529393981</v>
      </c>
      <c r="H639" s="7">
        <v>3516.3608614521654</v>
      </c>
      <c r="I639" s="7">
        <v>0.71851171862792029</v>
      </c>
      <c r="J639" s="7">
        <v>0.71851171862792029</v>
      </c>
    </row>
    <row r="640" spans="1:10">
      <c r="A640">
        <v>6</v>
      </c>
      <c r="B640" t="s">
        <v>110</v>
      </c>
      <c r="C640" t="s">
        <v>13</v>
      </c>
      <c r="D640" t="s">
        <v>39</v>
      </c>
      <c r="E640" s="79">
        <v>0.03</v>
      </c>
      <c r="F640" s="7">
        <v>14890.895447347195</v>
      </c>
      <c r="G640" s="7">
        <v>778.22514278263645</v>
      </c>
      <c r="H640" s="7">
        <v>15669.120590129831</v>
      </c>
      <c r="I640" s="7">
        <v>3.2937524321662881</v>
      </c>
      <c r="J640" s="7">
        <v>3.2937524321662881</v>
      </c>
    </row>
    <row r="641" spans="1:10">
      <c r="A641">
        <v>6</v>
      </c>
      <c r="B641" t="s">
        <v>110</v>
      </c>
      <c r="C641" t="s">
        <v>14</v>
      </c>
      <c r="D641" t="s">
        <v>39</v>
      </c>
      <c r="E641" s="79">
        <v>0.03</v>
      </c>
      <c r="F641" s="7">
        <v>5280.6778769364255</v>
      </c>
      <c r="G641" s="7">
        <v>2176.5114272398287</v>
      </c>
      <c r="H641" s="7">
        <v>7457.1893041762542</v>
      </c>
      <c r="I641" s="7">
        <v>1.5806735692831881</v>
      </c>
      <c r="J641" s="7">
        <v>1.5806735692831881</v>
      </c>
    </row>
    <row r="642" spans="1:10">
      <c r="A642">
        <v>6</v>
      </c>
      <c r="B642" t="s">
        <v>110</v>
      </c>
      <c r="C642" t="s">
        <v>125</v>
      </c>
      <c r="D642" t="s">
        <v>39</v>
      </c>
      <c r="E642" s="79">
        <v>7.0000000000000007E-2</v>
      </c>
      <c r="F642" s="7">
        <v>2188.2869872518063</v>
      </c>
      <c r="G642" s="7">
        <v>388.52689966956268</v>
      </c>
      <c r="H642" s="7">
        <v>2576.813886921369</v>
      </c>
      <c r="I642" s="7">
        <v>1.5969804685675402</v>
      </c>
      <c r="J642" s="7">
        <v>1.5969804685675402</v>
      </c>
    </row>
    <row r="643" spans="1:10">
      <c r="A643">
        <v>6</v>
      </c>
      <c r="B643" t="s">
        <v>110</v>
      </c>
      <c r="C643" t="s">
        <v>9</v>
      </c>
      <c r="D643" t="s">
        <v>39</v>
      </c>
      <c r="E643" s="79">
        <v>7.0000000000000007E-2</v>
      </c>
      <c r="F643" s="7">
        <v>3700.2630505861707</v>
      </c>
      <c r="G643" s="7">
        <v>515.84644417724098</v>
      </c>
      <c r="H643" s="7">
        <v>4216.1094947634119</v>
      </c>
      <c r="I643" s="7">
        <v>2.4020362959729926</v>
      </c>
      <c r="J643" s="7">
        <v>2.4020362959729926</v>
      </c>
    </row>
    <row r="644" spans="1:10">
      <c r="A644">
        <v>6</v>
      </c>
      <c r="B644" t="s">
        <v>110</v>
      </c>
      <c r="C644" t="s">
        <v>10</v>
      </c>
      <c r="D644" t="s">
        <v>39</v>
      </c>
      <c r="E644" s="79">
        <v>7.0000000000000007E-2</v>
      </c>
      <c r="F644" s="7">
        <v>6707.2978446385105</v>
      </c>
      <c r="G644" s="7">
        <v>1668.1213023318876</v>
      </c>
      <c r="H644" s="7">
        <v>8375.4191469703983</v>
      </c>
      <c r="I644" s="7">
        <v>4.3757503807605831</v>
      </c>
      <c r="J644" s="7">
        <v>4.3757503807605831</v>
      </c>
    </row>
    <row r="645" spans="1:10">
      <c r="A645">
        <v>6</v>
      </c>
      <c r="B645" t="s">
        <v>110</v>
      </c>
      <c r="C645" t="s">
        <v>11</v>
      </c>
      <c r="D645" t="s">
        <v>39</v>
      </c>
      <c r="E645" s="79">
        <v>7.0000000000000007E-2</v>
      </c>
      <c r="F645" s="7">
        <v>9248.9221667635084</v>
      </c>
      <c r="G645" s="7">
        <v>1043.4933212399308</v>
      </c>
      <c r="H645" s="7">
        <v>10292.415488003438</v>
      </c>
      <c r="I645" s="7">
        <v>5.1644649766250623</v>
      </c>
      <c r="J645" s="7">
        <v>5.1644649766250623</v>
      </c>
    </row>
    <row r="646" spans="1:10">
      <c r="A646">
        <v>6</v>
      </c>
      <c r="B646" t="s">
        <v>110</v>
      </c>
      <c r="C646" t="s">
        <v>12</v>
      </c>
      <c r="D646" t="s">
        <v>39</v>
      </c>
      <c r="E646" s="79">
        <v>7.0000000000000007E-2</v>
      </c>
      <c r="F646" s="7">
        <v>754.63231803768917</v>
      </c>
      <c r="G646" s="7">
        <v>424.10382351851632</v>
      </c>
      <c r="H646" s="7">
        <v>1178.7361415562054</v>
      </c>
      <c r="I646" s="7">
        <v>0.71851171862792029</v>
      </c>
      <c r="J646" s="7">
        <v>0.71851171862792029</v>
      </c>
    </row>
    <row r="647" spans="1:10">
      <c r="A647">
        <v>6</v>
      </c>
      <c r="B647" t="s">
        <v>110</v>
      </c>
      <c r="C647" t="s">
        <v>13</v>
      </c>
      <c r="D647" t="s">
        <v>39</v>
      </c>
      <c r="E647" s="79">
        <v>7.0000000000000007E-2</v>
      </c>
      <c r="F647" s="7">
        <v>4657.5667982186151</v>
      </c>
      <c r="G647" s="7">
        <v>400.02102650903521</v>
      </c>
      <c r="H647" s="7">
        <v>5057.5878247276505</v>
      </c>
      <c r="I647" s="7">
        <v>3.2937524321662881</v>
      </c>
      <c r="J647" s="7">
        <v>3.2937524321662881</v>
      </c>
    </row>
    <row r="648" spans="1:10">
      <c r="A648">
        <v>6</v>
      </c>
      <c r="B648" t="s">
        <v>110</v>
      </c>
      <c r="C648" t="s">
        <v>14</v>
      </c>
      <c r="D648" t="s">
        <v>39</v>
      </c>
      <c r="E648" s="79">
        <v>7.0000000000000007E-2</v>
      </c>
      <c r="F648" s="7">
        <v>1300.1031509776028</v>
      </c>
      <c r="G648" s="7">
        <v>1118.7640792740356</v>
      </c>
      <c r="H648" s="7">
        <v>2418.8672302516384</v>
      </c>
      <c r="I648" s="7">
        <v>1.5806735692831881</v>
      </c>
      <c r="J648" s="7">
        <v>1.5806735692831881</v>
      </c>
    </row>
    <row r="649" spans="1:10">
      <c r="A649">
        <v>6</v>
      </c>
      <c r="B649" t="s">
        <v>110</v>
      </c>
      <c r="C649" t="s">
        <v>125</v>
      </c>
      <c r="D649" t="s">
        <v>119</v>
      </c>
      <c r="E649" s="79">
        <v>0.03</v>
      </c>
      <c r="F649" s="7">
        <v>6006.4923680187185</v>
      </c>
      <c r="G649" s="7">
        <v>697.82699996566225</v>
      </c>
      <c r="H649" s="7">
        <v>6704.3193679843807</v>
      </c>
      <c r="I649" s="7">
        <v>1.4678167244414486</v>
      </c>
      <c r="J649" s="7">
        <v>1.4678167244414486</v>
      </c>
    </row>
    <row r="650" spans="1:10">
      <c r="A650">
        <v>6</v>
      </c>
      <c r="B650" t="s">
        <v>110</v>
      </c>
      <c r="C650" t="s">
        <v>9</v>
      </c>
      <c r="D650" t="s">
        <v>119</v>
      </c>
      <c r="E650" s="79">
        <v>0.03</v>
      </c>
      <c r="F650" s="7">
        <v>9591.671675336027</v>
      </c>
      <c r="G650" s="7">
        <v>926.50361375058003</v>
      </c>
      <c r="H650" s="7">
        <v>10518.175289086606</v>
      </c>
      <c r="I650" s="7">
        <v>2.207774724160501</v>
      </c>
      <c r="J650" s="7">
        <v>2.207774724160501</v>
      </c>
    </row>
    <row r="651" spans="1:10">
      <c r="A651">
        <v>6</v>
      </c>
      <c r="B651" t="s">
        <v>110</v>
      </c>
      <c r="C651" t="s">
        <v>10</v>
      </c>
      <c r="D651" t="s">
        <v>119</v>
      </c>
      <c r="E651" s="79">
        <v>0.03</v>
      </c>
      <c r="F651" s="7">
        <v>16954.392298080384</v>
      </c>
      <c r="G651" s="7">
        <v>2996.0862040056763</v>
      </c>
      <c r="H651" s="7">
        <v>19950.478502086058</v>
      </c>
      <c r="I651" s="7">
        <v>4.0219231235156112</v>
      </c>
      <c r="J651" s="7">
        <v>4.0219231235156112</v>
      </c>
    </row>
    <row r="652" spans="1:10">
      <c r="A652">
        <v>6</v>
      </c>
      <c r="B652" t="s">
        <v>110</v>
      </c>
      <c r="C652" t="s">
        <v>11</v>
      </c>
      <c r="D652" t="s">
        <v>119</v>
      </c>
      <c r="E652" s="79">
        <v>0.03</v>
      </c>
      <c r="F652" s="7">
        <v>22165.437944051933</v>
      </c>
      <c r="G652" s="7">
        <v>1874.2017977760936</v>
      </c>
      <c r="H652" s="7">
        <v>24039.639741828028</v>
      </c>
      <c r="I652" s="7">
        <v>4.7468951964778148</v>
      </c>
      <c r="J652" s="7">
        <v>4.7468951964778148</v>
      </c>
    </row>
    <row r="653" spans="1:10">
      <c r="A653">
        <v>6</v>
      </c>
      <c r="B653" t="s">
        <v>110</v>
      </c>
      <c r="C653" t="s">
        <v>12</v>
      </c>
      <c r="D653" t="s">
        <v>119</v>
      </c>
      <c r="E653" s="79">
        <v>0.03</v>
      </c>
      <c r="F653" s="7">
        <v>2274.1730538430174</v>
      </c>
      <c r="G653" s="7">
        <v>761.72614841236441</v>
      </c>
      <c r="H653" s="7">
        <v>3035.8992022553821</v>
      </c>
      <c r="I653" s="7">
        <v>0.66039803828666033</v>
      </c>
      <c r="J653" s="7">
        <v>0.66039803828666033</v>
      </c>
    </row>
    <row r="654" spans="1:10">
      <c r="A654">
        <v>6</v>
      </c>
      <c r="B654" t="s">
        <v>110</v>
      </c>
      <c r="C654" t="s">
        <v>13</v>
      </c>
      <c r="D654" t="s">
        <v>119</v>
      </c>
      <c r="E654" s="79">
        <v>0.03</v>
      </c>
      <c r="F654" s="7">
        <v>12786.763175498887</v>
      </c>
      <c r="G654" s="7">
        <v>718.47141881139851</v>
      </c>
      <c r="H654" s="7">
        <v>13505.234594310286</v>
      </c>
      <c r="I654" s="7">
        <v>3.0273377221698028</v>
      </c>
      <c r="J654" s="7">
        <v>3.0273377221698028</v>
      </c>
    </row>
    <row r="655" spans="1:10">
      <c r="A655">
        <v>6</v>
      </c>
      <c r="B655" t="s">
        <v>110</v>
      </c>
      <c r="C655" t="s">
        <v>14</v>
      </c>
      <c r="D655" t="s">
        <v>119</v>
      </c>
      <c r="E655" s="79">
        <v>0.03</v>
      </c>
      <c r="F655" s="7">
        <v>4419.315303171551</v>
      </c>
      <c r="G655" s="7">
        <v>2009.3944120037129</v>
      </c>
      <c r="H655" s="7">
        <v>6428.7097151752641</v>
      </c>
      <c r="I655" s="7">
        <v>1.452819493557777</v>
      </c>
      <c r="J655" s="7">
        <v>1.452819493557777</v>
      </c>
    </row>
    <row r="656" spans="1:10">
      <c r="A656">
        <v>6</v>
      </c>
      <c r="B656" t="s">
        <v>110</v>
      </c>
      <c r="C656" t="s">
        <v>125</v>
      </c>
      <c r="D656" t="s">
        <v>119</v>
      </c>
      <c r="E656" s="79">
        <v>7.0000000000000007E-2</v>
      </c>
      <c r="F656" s="7">
        <v>1891.3583893630778</v>
      </c>
      <c r="G656" s="7">
        <v>360.52473223400534</v>
      </c>
      <c r="H656" s="7">
        <v>2251.8831215970831</v>
      </c>
      <c r="I656" s="7">
        <v>1.4678167244414486</v>
      </c>
      <c r="J656" s="7">
        <v>1.4678167244414486</v>
      </c>
    </row>
    <row r="657" spans="1:10">
      <c r="A657">
        <v>6</v>
      </c>
      <c r="B657" t="s">
        <v>110</v>
      </c>
      <c r="C657" t="s">
        <v>9</v>
      </c>
      <c r="D657" t="s">
        <v>119</v>
      </c>
      <c r="E657" s="79">
        <v>7.0000000000000007E-2</v>
      </c>
      <c r="F657" s="7">
        <v>3209.0719836037929</v>
      </c>
      <c r="G657" s="7">
        <v>478.66801840241544</v>
      </c>
      <c r="H657" s="7">
        <v>3687.7400020062082</v>
      </c>
      <c r="I657" s="7">
        <v>2.207774724160501</v>
      </c>
      <c r="J657" s="7">
        <v>2.207774724160501</v>
      </c>
    </row>
    <row r="658" spans="1:10">
      <c r="A658">
        <v>6</v>
      </c>
      <c r="B658" t="s">
        <v>110</v>
      </c>
      <c r="C658" t="s">
        <v>10</v>
      </c>
      <c r="D658" t="s">
        <v>119</v>
      </c>
      <c r="E658" s="79">
        <v>7.0000000000000007E-2</v>
      </c>
      <c r="F658" s="7">
        <v>5786.5178340104303</v>
      </c>
      <c r="G658" s="7">
        <v>1547.8953616043741</v>
      </c>
      <c r="H658" s="7">
        <v>7334.413195614804</v>
      </c>
      <c r="I658" s="7">
        <v>4.0219231235156112</v>
      </c>
      <c r="J658" s="7">
        <v>4.0219231235156112</v>
      </c>
    </row>
    <row r="659" spans="1:10">
      <c r="A659">
        <v>6</v>
      </c>
      <c r="B659" t="s">
        <v>110</v>
      </c>
      <c r="C659" t="s">
        <v>11</v>
      </c>
      <c r="D659" t="s">
        <v>119</v>
      </c>
      <c r="E659" s="79">
        <v>7.0000000000000007E-2</v>
      </c>
      <c r="F659" s="7">
        <v>8049.2604119888592</v>
      </c>
      <c r="G659" s="7">
        <v>968.28598109411996</v>
      </c>
      <c r="H659" s="7">
        <v>9017.5463930829792</v>
      </c>
      <c r="I659" s="7">
        <v>4.7468951964778148</v>
      </c>
      <c r="J659" s="7">
        <v>4.7468951964778148</v>
      </c>
    </row>
    <row r="660" spans="1:10">
      <c r="A660">
        <v>6</v>
      </c>
      <c r="B660" t="s">
        <v>110</v>
      </c>
      <c r="C660" t="s">
        <v>12</v>
      </c>
      <c r="D660" t="s">
        <v>119</v>
      </c>
      <c r="E660" s="79">
        <v>7.0000000000000007E-2</v>
      </c>
      <c r="F660" s="7">
        <v>636.68941727001584</v>
      </c>
      <c r="G660" s="7">
        <v>393.53753251955141</v>
      </c>
      <c r="H660" s="7">
        <v>1030.2269497895672</v>
      </c>
      <c r="I660" s="7">
        <v>0.66039803828666033</v>
      </c>
      <c r="J660" s="7">
        <v>0.66039803828666033</v>
      </c>
    </row>
    <row r="661" spans="1:10">
      <c r="A661">
        <v>6</v>
      </c>
      <c r="B661" t="s">
        <v>110</v>
      </c>
      <c r="C661" t="s">
        <v>13</v>
      </c>
      <c r="D661" t="s">
        <v>119</v>
      </c>
      <c r="E661" s="79">
        <v>7.0000000000000007E-2</v>
      </c>
      <c r="F661" s="7">
        <v>4045.8307999014046</v>
      </c>
      <c r="G661" s="7">
        <v>371.19044676905781</v>
      </c>
      <c r="H661" s="7">
        <v>4417.0212466704625</v>
      </c>
      <c r="I661" s="7">
        <v>3.0273377221698028</v>
      </c>
      <c r="J661" s="7">
        <v>3.0273377221698028</v>
      </c>
    </row>
    <row r="662" spans="1:10">
      <c r="A662">
        <v>6</v>
      </c>
      <c r="B662" t="s">
        <v>110</v>
      </c>
      <c r="C662" t="s">
        <v>14</v>
      </c>
      <c r="D662" t="s">
        <v>119</v>
      </c>
      <c r="E662" s="79">
        <v>7.0000000000000007E-2</v>
      </c>
      <c r="F662" s="7">
        <v>1074.5922038085889</v>
      </c>
      <c r="G662" s="7">
        <v>1038.1317753193737</v>
      </c>
      <c r="H662" s="7">
        <v>2112.7239791279626</v>
      </c>
      <c r="I662" s="7">
        <v>1.452819493557777</v>
      </c>
      <c r="J662" s="7">
        <v>1.452819493557777</v>
      </c>
    </row>
    <row r="663" spans="1:10">
      <c r="A663">
        <v>6</v>
      </c>
      <c r="B663" t="s">
        <v>110</v>
      </c>
      <c r="C663" t="s">
        <v>125</v>
      </c>
      <c r="D663" t="s">
        <v>120</v>
      </c>
      <c r="E663" s="79">
        <v>0.03</v>
      </c>
      <c r="F663" s="7">
        <v>8307.4425567993385</v>
      </c>
      <c r="G663" s="7">
        <v>824.15906823396608</v>
      </c>
      <c r="H663" s="7">
        <v>9131.601625033305</v>
      </c>
      <c r="I663" s="7">
        <v>1.7464205664328589</v>
      </c>
      <c r="J663" s="7">
        <v>1.7464205664328589</v>
      </c>
    </row>
    <row r="664" spans="1:10">
      <c r="A664">
        <v>6</v>
      </c>
      <c r="B664" t="s">
        <v>110</v>
      </c>
      <c r="C664" t="s">
        <v>9</v>
      </c>
      <c r="D664" t="s">
        <v>120</v>
      </c>
      <c r="E664" s="79">
        <v>0.03</v>
      </c>
      <c r="F664" s="7">
        <v>13154.303990599719</v>
      </c>
      <c r="G664" s="7">
        <v>1094.2344665105447</v>
      </c>
      <c r="H664" s="7">
        <v>14248.538457110264</v>
      </c>
      <c r="I664" s="7">
        <v>2.6268059558532189</v>
      </c>
      <c r="J664" s="7">
        <v>2.6268059558532189</v>
      </c>
    </row>
    <row r="665" spans="1:10">
      <c r="A665">
        <v>6</v>
      </c>
      <c r="B665" t="s">
        <v>110</v>
      </c>
      <c r="C665" t="s">
        <v>10</v>
      </c>
      <c r="D665" t="s">
        <v>120</v>
      </c>
      <c r="E665" s="79">
        <v>0.03</v>
      </c>
      <c r="F665" s="7">
        <v>23347.298902559494</v>
      </c>
      <c r="G665" s="7">
        <v>3538.4867801954683</v>
      </c>
      <c r="H665" s="7">
        <v>26885.785682754962</v>
      </c>
      <c r="I665" s="7">
        <v>4.7851890817382259</v>
      </c>
      <c r="J665" s="7">
        <v>4.7851890817382259</v>
      </c>
    </row>
    <row r="666" spans="1:10">
      <c r="A666">
        <v>6</v>
      </c>
      <c r="B666" t="s">
        <v>110</v>
      </c>
      <c r="C666" t="s">
        <v>11</v>
      </c>
      <c r="D666" t="s">
        <v>120</v>
      </c>
      <c r="E666" s="79">
        <v>0.03</v>
      </c>
      <c r="F666" s="7">
        <v>30109.784643105872</v>
      </c>
      <c r="G666" s="7">
        <v>2213.5004914019887</v>
      </c>
      <c r="H666" s="7">
        <v>32323.28513450786</v>
      </c>
      <c r="I666" s="7">
        <v>5.6476908766082117</v>
      </c>
      <c r="J666" s="7">
        <v>5.6476908766082117</v>
      </c>
    </row>
    <row r="667" spans="1:10">
      <c r="A667">
        <v>6</v>
      </c>
      <c r="B667" t="s">
        <v>110</v>
      </c>
      <c r="C667" t="s">
        <v>12</v>
      </c>
      <c r="D667" t="s">
        <v>120</v>
      </c>
      <c r="E667" s="79">
        <v>0.03</v>
      </c>
      <c r="F667" s="7">
        <v>3228.1928454075737</v>
      </c>
      <c r="G667" s="7">
        <v>899.62628668118714</v>
      </c>
      <c r="H667" s="7">
        <v>4127.8191320887609</v>
      </c>
      <c r="I667" s="7">
        <v>0.78574802761341356</v>
      </c>
      <c r="J667" s="7">
        <v>0.78574802761341356</v>
      </c>
    </row>
    <row r="668" spans="1:10">
      <c r="A668">
        <v>6</v>
      </c>
      <c r="B668" t="s">
        <v>110</v>
      </c>
      <c r="C668" t="s">
        <v>13</v>
      </c>
      <c r="D668" t="s">
        <v>120</v>
      </c>
      <c r="E668" s="79">
        <v>0.03</v>
      </c>
      <c r="F668" s="7">
        <v>17600.973737508648</v>
      </c>
      <c r="G668" s="7">
        <v>848.54087776694632</v>
      </c>
      <c r="H668" s="7">
        <v>18449.514615275595</v>
      </c>
      <c r="I668" s="7">
        <v>3.6019764603690319</v>
      </c>
      <c r="J668" s="7">
        <v>3.6019764603690319</v>
      </c>
    </row>
    <row r="669" spans="1:10">
      <c r="A669">
        <v>6</v>
      </c>
      <c r="B669" t="s">
        <v>110</v>
      </c>
      <c r="C669" t="s">
        <v>14</v>
      </c>
      <c r="D669" t="s">
        <v>120</v>
      </c>
      <c r="E669" s="79">
        <v>0.03</v>
      </c>
      <c r="F669" s="7">
        <v>6403.9950091414075</v>
      </c>
      <c r="G669" s="7">
        <v>2373.1678860133061</v>
      </c>
      <c r="H669" s="7">
        <v>8777.1628951547136</v>
      </c>
      <c r="I669" s="7">
        <v>1.7285913864039741</v>
      </c>
      <c r="J669" s="7">
        <v>1.7285913864039741</v>
      </c>
    </row>
    <row r="670" spans="1:10">
      <c r="A670">
        <v>6</v>
      </c>
      <c r="B670" t="s">
        <v>110</v>
      </c>
      <c r="C670" t="s">
        <v>125</v>
      </c>
      <c r="D670" t="s">
        <v>120</v>
      </c>
      <c r="E670" s="79">
        <v>7.0000000000000007E-2</v>
      </c>
      <c r="F670" s="7">
        <v>2556.3414046008197</v>
      </c>
      <c r="G670" s="7">
        <v>422.29879771178065</v>
      </c>
      <c r="H670" s="7">
        <v>2978.6402023126002</v>
      </c>
      <c r="I670" s="7">
        <v>1.7464205664328589</v>
      </c>
      <c r="J670" s="7">
        <v>1.7464205664328589</v>
      </c>
    </row>
    <row r="671" spans="1:10">
      <c r="A671">
        <v>6</v>
      </c>
      <c r="B671" t="s">
        <v>110</v>
      </c>
      <c r="C671" t="s">
        <v>9</v>
      </c>
      <c r="D671" t="s">
        <v>120</v>
      </c>
      <c r="E671" s="79">
        <v>7.0000000000000007E-2</v>
      </c>
      <c r="F671" s="7">
        <v>4305.1437026715312</v>
      </c>
      <c r="G671" s="7">
        <v>560.68533057869979</v>
      </c>
      <c r="H671" s="7">
        <v>4865.8290332502311</v>
      </c>
      <c r="I671" s="7">
        <v>2.6268059558532189</v>
      </c>
      <c r="J671" s="7">
        <v>2.6268059558532189</v>
      </c>
    </row>
    <row r="672" spans="1:10">
      <c r="A672">
        <v>6</v>
      </c>
      <c r="B672" t="s">
        <v>110</v>
      </c>
      <c r="C672" t="s">
        <v>10</v>
      </c>
      <c r="D672" t="s">
        <v>120</v>
      </c>
      <c r="E672" s="79">
        <v>7.0000000000000007E-2</v>
      </c>
      <c r="F672" s="7">
        <v>7832.9914480833504</v>
      </c>
      <c r="G672" s="7">
        <v>1813.1193001341421</v>
      </c>
      <c r="H672" s="7">
        <v>9646.1107482174921</v>
      </c>
      <c r="I672" s="7">
        <v>4.7851890817382259</v>
      </c>
      <c r="J672" s="7">
        <v>4.7851890817382259</v>
      </c>
    </row>
    <row r="673" spans="1:10">
      <c r="A673">
        <v>6</v>
      </c>
      <c r="B673" t="s">
        <v>110</v>
      </c>
      <c r="C673" t="s">
        <v>11</v>
      </c>
      <c r="D673" t="s">
        <v>120</v>
      </c>
      <c r="E673" s="79">
        <v>7.0000000000000007E-2</v>
      </c>
      <c r="F673" s="7">
        <v>10709.531381011888</v>
      </c>
      <c r="G673" s="7">
        <v>1134.1968222912656</v>
      </c>
      <c r="H673" s="7">
        <v>11843.728203303153</v>
      </c>
      <c r="I673" s="7">
        <v>5.6476908766082117</v>
      </c>
      <c r="J673" s="7">
        <v>5.6476908766082117</v>
      </c>
    </row>
    <row r="674" spans="1:10">
      <c r="A674">
        <v>6</v>
      </c>
      <c r="B674" t="s">
        <v>110</v>
      </c>
      <c r="C674" t="s">
        <v>12</v>
      </c>
      <c r="D674" t="s">
        <v>120</v>
      </c>
      <c r="E674" s="79">
        <v>7.0000000000000007E-2</v>
      </c>
      <c r="F674" s="7">
        <v>901.26096669269509</v>
      </c>
      <c r="G674" s="7">
        <v>460.96817216300786</v>
      </c>
      <c r="H674" s="7">
        <v>1362.229138855703</v>
      </c>
      <c r="I674" s="7">
        <v>0.78574802761341356</v>
      </c>
      <c r="J674" s="7">
        <v>0.78574802761341356</v>
      </c>
    </row>
    <row r="675" spans="1:10">
      <c r="A675">
        <v>6</v>
      </c>
      <c r="B675" t="s">
        <v>110</v>
      </c>
      <c r="C675" t="s">
        <v>13</v>
      </c>
      <c r="D675" t="s">
        <v>120</v>
      </c>
      <c r="E675" s="79">
        <v>7.0000000000000007E-2</v>
      </c>
      <c r="F675" s="7">
        <v>5418.06379903998</v>
      </c>
      <c r="G675" s="7">
        <v>434.7920277794646</v>
      </c>
      <c r="H675" s="7">
        <v>5852.8558268194447</v>
      </c>
      <c r="I675" s="7">
        <v>3.6019764603690319</v>
      </c>
      <c r="J675" s="7">
        <v>3.6019764603690319</v>
      </c>
    </row>
    <row r="676" spans="1:10">
      <c r="A676">
        <v>6</v>
      </c>
      <c r="B676" t="s">
        <v>110</v>
      </c>
      <c r="C676" t="s">
        <v>14</v>
      </c>
      <c r="D676" t="s">
        <v>120</v>
      </c>
      <c r="E676" s="79">
        <v>7.0000000000000007E-2</v>
      </c>
      <c r="F676" s="7">
        <v>1582.6909767037112</v>
      </c>
      <c r="G676" s="7">
        <v>1216.0103354551959</v>
      </c>
      <c r="H676" s="7">
        <v>2798.7013121589071</v>
      </c>
      <c r="I676" s="7">
        <v>1.7285913864039741</v>
      </c>
      <c r="J676" s="7">
        <v>1.7285913864039741</v>
      </c>
    </row>
    <row r="677" spans="1:10">
      <c r="A677">
        <v>6</v>
      </c>
      <c r="B677" t="s">
        <v>112</v>
      </c>
      <c r="C677" t="s">
        <v>125</v>
      </c>
      <c r="D677" t="s">
        <v>39</v>
      </c>
      <c r="E677" s="79">
        <v>0.03</v>
      </c>
      <c r="F677" s="7">
        <v>7020.41027120945</v>
      </c>
      <c r="G677" s="7">
        <v>749.75004092810843</v>
      </c>
      <c r="H677" s="7">
        <v>7770.1603121375583</v>
      </c>
      <c r="I677" s="7">
        <v>1.5969804685675402</v>
      </c>
      <c r="J677" s="7">
        <v>1.5969804685675402</v>
      </c>
    </row>
    <row r="678" spans="1:10">
      <c r="A678">
        <v>6</v>
      </c>
      <c r="B678" t="s">
        <v>112</v>
      </c>
      <c r="C678" t="s">
        <v>9</v>
      </c>
      <c r="D678" t="s">
        <v>39</v>
      </c>
      <c r="E678" s="79">
        <v>0.03</v>
      </c>
      <c r="F678" s="7">
        <v>11171.076746587591</v>
      </c>
      <c r="G678" s="7">
        <v>995.44173894635617</v>
      </c>
      <c r="H678" s="7">
        <v>12166.518485533947</v>
      </c>
      <c r="I678" s="7">
        <v>2.4020362959729926</v>
      </c>
      <c r="J678" s="7">
        <v>2.4020362959729926</v>
      </c>
    </row>
    <row r="679" spans="1:10">
      <c r="A679">
        <v>6</v>
      </c>
      <c r="B679" t="s">
        <v>112</v>
      </c>
      <c r="C679" t="s">
        <v>10</v>
      </c>
      <c r="D679" t="s">
        <v>39</v>
      </c>
      <c r="E679" s="79">
        <v>0.03</v>
      </c>
      <c r="F679" s="7">
        <v>19814.551198682304</v>
      </c>
      <c r="G679" s="7">
        <v>3219.0152490344026</v>
      </c>
      <c r="H679" s="7">
        <v>23033.566447716705</v>
      </c>
      <c r="I679" s="7">
        <v>4.3757503807605831</v>
      </c>
      <c r="J679" s="7">
        <v>4.3757503807605831</v>
      </c>
    </row>
    <row r="680" spans="1:10">
      <c r="A680">
        <v>6</v>
      </c>
      <c r="B680" t="s">
        <v>112</v>
      </c>
      <c r="C680" t="s">
        <v>11</v>
      </c>
      <c r="D680" t="s">
        <v>39</v>
      </c>
      <c r="E680" s="79">
        <v>0.03</v>
      </c>
      <c r="F680" s="7">
        <v>25718.3310001807</v>
      </c>
      <c r="G680" s="7">
        <v>2013.6550673151148</v>
      </c>
      <c r="H680" s="7">
        <v>27731.986067495814</v>
      </c>
      <c r="I680" s="7">
        <v>5.1644649766250623</v>
      </c>
      <c r="J680" s="7">
        <v>5.1644649766250623</v>
      </c>
    </row>
    <row r="681" spans="1:10">
      <c r="A681">
        <v>6</v>
      </c>
      <c r="B681" t="s">
        <v>112</v>
      </c>
      <c r="C681" t="s">
        <v>12</v>
      </c>
      <c r="D681" t="s">
        <v>39</v>
      </c>
      <c r="E681" s="79">
        <v>0.03</v>
      </c>
      <c r="F681" s="7">
        <v>2697.9571439458459</v>
      </c>
      <c r="G681" s="7">
        <v>818.40371750631971</v>
      </c>
      <c r="H681" s="7">
        <v>3516.3608614521654</v>
      </c>
      <c r="I681" s="7">
        <v>0.71851171862792029</v>
      </c>
      <c r="J681" s="7">
        <v>0.71851171862792029</v>
      </c>
    </row>
    <row r="682" spans="1:10">
      <c r="A682">
        <v>6</v>
      </c>
      <c r="B682" t="s">
        <v>112</v>
      </c>
      <c r="C682" t="s">
        <v>13</v>
      </c>
      <c r="D682" t="s">
        <v>39</v>
      </c>
      <c r="E682" s="79">
        <v>0.03</v>
      </c>
      <c r="F682" s="7">
        <v>14897.190046189817</v>
      </c>
      <c r="G682" s="7">
        <v>771.93054394001456</v>
      </c>
      <c r="H682" s="7">
        <v>15669.120590129831</v>
      </c>
      <c r="I682" s="7">
        <v>3.2937524321662881</v>
      </c>
      <c r="J682" s="7">
        <v>3.2937524321662881</v>
      </c>
    </row>
    <row r="683" spans="1:10">
      <c r="A683">
        <v>6</v>
      </c>
      <c r="B683" t="s">
        <v>112</v>
      </c>
      <c r="C683" t="s">
        <v>14</v>
      </c>
      <c r="D683" t="s">
        <v>39</v>
      </c>
      <c r="E683" s="79">
        <v>0.03</v>
      </c>
      <c r="F683" s="7">
        <v>5298.2823792297731</v>
      </c>
      <c r="G683" s="7">
        <v>2158.9069249464815</v>
      </c>
      <c r="H683" s="7">
        <v>7457.1893041762542</v>
      </c>
      <c r="I683" s="7">
        <v>1.5806735692831881</v>
      </c>
      <c r="J683" s="7">
        <v>1.5806735692831881</v>
      </c>
    </row>
    <row r="684" spans="1:10">
      <c r="A684">
        <v>6</v>
      </c>
      <c r="B684" t="s">
        <v>112</v>
      </c>
      <c r="C684" t="s">
        <v>125</v>
      </c>
      <c r="D684" t="s">
        <v>39</v>
      </c>
      <c r="E684" s="79">
        <v>7.0000000000000007E-2</v>
      </c>
      <c r="F684" s="7">
        <v>2191.6138507027567</v>
      </c>
      <c r="G684" s="7">
        <v>385.2000362186123</v>
      </c>
      <c r="H684" s="7">
        <v>2576.813886921369</v>
      </c>
      <c r="I684" s="7">
        <v>1.5969804685675402</v>
      </c>
      <c r="J684" s="7">
        <v>1.5969804685675402</v>
      </c>
    </row>
    <row r="685" spans="1:10">
      <c r="A685">
        <v>6</v>
      </c>
      <c r="B685" t="s">
        <v>112</v>
      </c>
      <c r="C685" t="s">
        <v>9</v>
      </c>
      <c r="D685" t="s">
        <v>39</v>
      </c>
      <c r="E685" s="79">
        <v>7.0000000000000007E-2</v>
      </c>
      <c r="F685" s="7">
        <v>3704.6801210204071</v>
      </c>
      <c r="G685" s="7">
        <v>511.42937374300482</v>
      </c>
      <c r="H685" s="7">
        <v>4216.1094947634119</v>
      </c>
      <c r="I685" s="7">
        <v>2.4020362959729926</v>
      </c>
      <c r="J685" s="7">
        <v>2.4020362959729926</v>
      </c>
    </row>
    <row r="686" spans="1:10">
      <c r="A686">
        <v>6</v>
      </c>
      <c r="B686" t="s">
        <v>112</v>
      </c>
      <c r="C686" t="s">
        <v>10</v>
      </c>
      <c r="D686" t="s">
        <v>39</v>
      </c>
      <c r="E686" s="79">
        <v>7.0000000000000007E-2</v>
      </c>
      <c r="F686" s="7">
        <v>6721.5815706744679</v>
      </c>
      <c r="G686" s="7">
        <v>1653.8375762959301</v>
      </c>
      <c r="H686" s="7">
        <v>8375.4191469703983</v>
      </c>
      <c r="I686" s="7">
        <v>4.3757503807605831</v>
      </c>
      <c r="J686" s="7">
        <v>4.3757503807605831</v>
      </c>
    </row>
    <row r="687" spans="1:10">
      <c r="A687">
        <v>6</v>
      </c>
      <c r="B687" t="s">
        <v>112</v>
      </c>
      <c r="C687" t="s">
        <v>11</v>
      </c>
      <c r="D687" t="s">
        <v>39</v>
      </c>
      <c r="E687" s="79">
        <v>7.0000000000000007E-2</v>
      </c>
      <c r="F687" s="7">
        <v>9257.8573519326601</v>
      </c>
      <c r="G687" s="7">
        <v>1034.558136070779</v>
      </c>
      <c r="H687" s="7">
        <v>10292.415488003438</v>
      </c>
      <c r="I687" s="7">
        <v>5.1644649766250623</v>
      </c>
      <c r="J687" s="7">
        <v>5.1644649766250623</v>
      </c>
    </row>
    <row r="688" spans="1:10">
      <c r="A688">
        <v>6</v>
      </c>
      <c r="B688" t="s">
        <v>112</v>
      </c>
      <c r="C688" t="s">
        <v>12</v>
      </c>
      <c r="D688" t="s">
        <v>39</v>
      </c>
      <c r="E688" s="79">
        <v>7.0000000000000007E-2</v>
      </c>
      <c r="F688" s="7">
        <v>758.26381822743679</v>
      </c>
      <c r="G688" s="7">
        <v>420.4723233287686</v>
      </c>
      <c r="H688" s="7">
        <v>1178.7361415562054</v>
      </c>
      <c r="I688" s="7">
        <v>0.71851171862792029</v>
      </c>
      <c r="J688" s="7">
        <v>0.71851171862792029</v>
      </c>
    </row>
    <row r="689" spans="1:10">
      <c r="A689">
        <v>6</v>
      </c>
      <c r="B689" t="s">
        <v>112</v>
      </c>
      <c r="C689" t="s">
        <v>13</v>
      </c>
      <c r="D689" t="s">
        <v>39</v>
      </c>
      <c r="E689" s="79">
        <v>7.0000000000000007E-2</v>
      </c>
      <c r="F689" s="7">
        <v>4660.9920831444124</v>
      </c>
      <c r="G689" s="7">
        <v>396.59574158323852</v>
      </c>
      <c r="H689" s="7">
        <v>5057.5878247276505</v>
      </c>
      <c r="I689" s="7">
        <v>3.2937524321662881</v>
      </c>
      <c r="J689" s="7">
        <v>3.2937524321662881</v>
      </c>
    </row>
    <row r="690" spans="1:10">
      <c r="A690">
        <v>6</v>
      </c>
      <c r="B690" t="s">
        <v>112</v>
      </c>
      <c r="C690" t="s">
        <v>14</v>
      </c>
      <c r="D690" t="s">
        <v>39</v>
      </c>
      <c r="E690" s="79">
        <v>7.0000000000000007E-2</v>
      </c>
      <c r="F690" s="7">
        <v>1309.6828617485646</v>
      </c>
      <c r="G690" s="7">
        <v>1109.1843685030738</v>
      </c>
      <c r="H690" s="7">
        <v>2418.8672302516384</v>
      </c>
      <c r="I690" s="7">
        <v>1.5806735692831881</v>
      </c>
      <c r="J690" s="7">
        <v>1.5806735692831881</v>
      </c>
    </row>
    <row r="691" spans="1:10">
      <c r="A691">
        <v>6</v>
      </c>
      <c r="B691" t="s">
        <v>112</v>
      </c>
      <c r="C691" t="s">
        <v>125</v>
      </c>
      <c r="D691" t="s">
        <v>119</v>
      </c>
      <c r="E691" s="79">
        <v>0.03</v>
      </c>
      <c r="F691" s="7">
        <v>6012.1470121964521</v>
      </c>
      <c r="G691" s="7">
        <v>692.17235578792838</v>
      </c>
      <c r="H691" s="7">
        <v>6704.3193679843807</v>
      </c>
      <c r="I691" s="7">
        <v>1.4678167244414486</v>
      </c>
      <c r="J691" s="7">
        <v>1.4678167244414486</v>
      </c>
    </row>
    <row r="692" spans="1:10">
      <c r="A692">
        <v>6</v>
      </c>
      <c r="B692" t="s">
        <v>112</v>
      </c>
      <c r="C692" t="s">
        <v>9</v>
      </c>
      <c r="D692" t="s">
        <v>119</v>
      </c>
      <c r="E692" s="79">
        <v>0.03</v>
      </c>
      <c r="F692" s="7">
        <v>9599.1793359243984</v>
      </c>
      <c r="G692" s="7">
        <v>918.99595316220859</v>
      </c>
      <c r="H692" s="7">
        <v>10518.175289086606</v>
      </c>
      <c r="I692" s="7">
        <v>2.207774724160501</v>
      </c>
      <c r="J692" s="7">
        <v>2.207774724160501</v>
      </c>
    </row>
    <row r="693" spans="1:10">
      <c r="A693">
        <v>6</v>
      </c>
      <c r="B693" t="s">
        <v>112</v>
      </c>
      <c r="C693" t="s">
        <v>10</v>
      </c>
      <c r="D693" t="s">
        <v>119</v>
      </c>
      <c r="E693" s="79">
        <v>0.03</v>
      </c>
      <c r="F693" s="7">
        <v>16978.6702371832</v>
      </c>
      <c r="G693" s="7">
        <v>2971.8082649028579</v>
      </c>
      <c r="H693" s="7">
        <v>19950.478502086058</v>
      </c>
      <c r="I693" s="7">
        <v>4.0219231235156112</v>
      </c>
      <c r="J693" s="7">
        <v>4.0219231235156112</v>
      </c>
    </row>
    <row r="694" spans="1:10">
      <c r="A694">
        <v>6</v>
      </c>
      <c r="B694" t="s">
        <v>112</v>
      </c>
      <c r="C694" t="s">
        <v>11</v>
      </c>
      <c r="D694" t="s">
        <v>119</v>
      </c>
      <c r="E694" s="79">
        <v>0.03</v>
      </c>
      <c r="F694" s="7">
        <v>22180.625009448107</v>
      </c>
      <c r="G694" s="7">
        <v>1859.0147323799215</v>
      </c>
      <c r="H694" s="7">
        <v>24039.639741828028</v>
      </c>
      <c r="I694" s="7">
        <v>4.7468951964778148</v>
      </c>
      <c r="J694" s="7">
        <v>4.7468951964778148</v>
      </c>
    </row>
    <row r="695" spans="1:10">
      <c r="A695">
        <v>6</v>
      </c>
      <c r="B695" t="s">
        <v>112</v>
      </c>
      <c r="C695" t="s">
        <v>12</v>
      </c>
      <c r="D695" t="s">
        <v>119</v>
      </c>
      <c r="E695" s="79">
        <v>0.03</v>
      </c>
      <c r="F695" s="7">
        <v>2280.3454867387923</v>
      </c>
      <c r="G695" s="7">
        <v>755.55371551658993</v>
      </c>
      <c r="H695" s="7">
        <v>3035.8992022553821</v>
      </c>
      <c r="I695" s="7">
        <v>0.66039803828666033</v>
      </c>
      <c r="J695" s="7">
        <v>0.66039803828666033</v>
      </c>
    </row>
    <row r="696" spans="1:10">
      <c r="A696">
        <v>6</v>
      </c>
      <c r="B696" t="s">
        <v>112</v>
      </c>
      <c r="C696" t="s">
        <v>13</v>
      </c>
      <c r="D696" t="s">
        <v>119</v>
      </c>
      <c r="E696" s="79">
        <v>0.03</v>
      </c>
      <c r="F696" s="7">
        <v>12792.585105899187</v>
      </c>
      <c r="G696" s="7">
        <v>712.6494884110989</v>
      </c>
      <c r="H696" s="7">
        <v>13505.234594310286</v>
      </c>
      <c r="I696" s="7">
        <v>3.0273377221698028</v>
      </c>
      <c r="J696" s="7">
        <v>3.0273377221698028</v>
      </c>
    </row>
    <row r="697" spans="1:10">
      <c r="A697">
        <v>6</v>
      </c>
      <c r="B697" t="s">
        <v>112</v>
      </c>
      <c r="C697" t="s">
        <v>14</v>
      </c>
      <c r="D697" t="s">
        <v>119</v>
      </c>
      <c r="E697" s="79">
        <v>0.03</v>
      </c>
      <c r="F697" s="7">
        <v>4435.5978637677545</v>
      </c>
      <c r="G697" s="7">
        <v>1993.1118514075101</v>
      </c>
      <c r="H697" s="7">
        <v>6428.7097151752641</v>
      </c>
      <c r="I697" s="7">
        <v>1.452819493557777</v>
      </c>
      <c r="J697" s="7">
        <v>1.452819493557777</v>
      </c>
    </row>
    <row r="698" spans="1:10">
      <c r="A698">
        <v>6</v>
      </c>
      <c r="B698" t="s">
        <v>112</v>
      </c>
      <c r="C698" t="s">
        <v>125</v>
      </c>
      <c r="D698" t="s">
        <v>119</v>
      </c>
      <c r="E698" s="79">
        <v>7.0000000000000007E-2</v>
      </c>
      <c r="F698" s="7">
        <v>1894.4519386224265</v>
      </c>
      <c r="G698" s="7">
        <v>357.43118297465662</v>
      </c>
      <c r="H698" s="7">
        <v>2251.8831215970831</v>
      </c>
      <c r="I698" s="7">
        <v>1.4678167244414486</v>
      </c>
      <c r="J698" s="7">
        <v>1.4678167244414486</v>
      </c>
    </row>
    <row r="699" spans="1:10">
      <c r="A699">
        <v>6</v>
      </c>
      <c r="B699" t="s">
        <v>112</v>
      </c>
      <c r="C699" t="s">
        <v>9</v>
      </c>
      <c r="D699" t="s">
        <v>119</v>
      </c>
      <c r="E699" s="79">
        <v>7.0000000000000007E-2</v>
      </c>
      <c r="F699" s="7">
        <v>3213.1792832185151</v>
      </c>
      <c r="G699" s="7">
        <v>474.56071878769325</v>
      </c>
      <c r="H699" s="7">
        <v>3687.7400020062082</v>
      </c>
      <c r="I699" s="7">
        <v>2.207774724160501</v>
      </c>
      <c r="J699" s="7">
        <v>2.207774724160501</v>
      </c>
    </row>
    <row r="700" spans="1:10">
      <c r="A700">
        <v>6</v>
      </c>
      <c r="B700" t="s">
        <v>112</v>
      </c>
      <c r="C700" t="s">
        <v>10</v>
      </c>
      <c r="D700" t="s">
        <v>119</v>
      </c>
      <c r="E700" s="79">
        <v>7.0000000000000007E-2</v>
      </c>
      <c r="F700" s="7">
        <v>5799.7998369392399</v>
      </c>
      <c r="G700" s="7">
        <v>1534.6133586755639</v>
      </c>
      <c r="H700" s="7">
        <v>7334.413195614804</v>
      </c>
      <c r="I700" s="7">
        <v>4.0219231235156112</v>
      </c>
      <c r="J700" s="7">
        <v>4.0219231235156112</v>
      </c>
    </row>
    <row r="701" spans="1:10">
      <c r="A701">
        <v>6</v>
      </c>
      <c r="B701" t="s">
        <v>112</v>
      </c>
      <c r="C701" t="s">
        <v>11</v>
      </c>
      <c r="D701" t="s">
        <v>119</v>
      </c>
      <c r="E701" s="79">
        <v>7.0000000000000007E-2</v>
      </c>
      <c r="F701" s="7">
        <v>8057.5689692439755</v>
      </c>
      <c r="G701" s="7">
        <v>959.97742383900413</v>
      </c>
      <c r="H701" s="7">
        <v>9017.5463930829792</v>
      </c>
      <c r="I701" s="7">
        <v>4.7468951964778148</v>
      </c>
      <c r="J701" s="7">
        <v>4.7468951964778148</v>
      </c>
    </row>
    <row r="702" spans="1:10">
      <c r="A702">
        <v>6</v>
      </c>
      <c r="B702" t="s">
        <v>112</v>
      </c>
      <c r="C702" t="s">
        <v>12</v>
      </c>
      <c r="D702" t="s">
        <v>119</v>
      </c>
      <c r="E702" s="79">
        <v>7.0000000000000007E-2</v>
      </c>
      <c r="F702" s="7">
        <v>640.0662389784959</v>
      </c>
      <c r="G702" s="7">
        <v>390.16071081107128</v>
      </c>
      <c r="H702" s="7">
        <v>1030.2269497895672</v>
      </c>
      <c r="I702" s="7">
        <v>0.66039803828666033</v>
      </c>
      <c r="J702" s="7">
        <v>0.66039803828666033</v>
      </c>
    </row>
    <row r="703" spans="1:10">
      <c r="A703">
        <v>6</v>
      </c>
      <c r="B703" t="s">
        <v>112</v>
      </c>
      <c r="C703" t="s">
        <v>13</v>
      </c>
      <c r="D703" t="s">
        <v>119</v>
      </c>
      <c r="E703" s="79">
        <v>7.0000000000000007E-2</v>
      </c>
      <c r="F703" s="7">
        <v>4049.0158683003583</v>
      </c>
      <c r="G703" s="7">
        <v>368.00537837010427</v>
      </c>
      <c r="H703" s="7">
        <v>4417.0212466704625</v>
      </c>
      <c r="I703" s="7">
        <v>3.0273377221698028</v>
      </c>
      <c r="J703" s="7">
        <v>3.0273377221698028</v>
      </c>
    </row>
    <row r="704" spans="1:10">
      <c r="A704">
        <v>6</v>
      </c>
      <c r="B704" t="s">
        <v>112</v>
      </c>
      <c r="C704" t="s">
        <v>14</v>
      </c>
      <c r="D704" t="s">
        <v>119</v>
      </c>
      <c r="E704" s="79">
        <v>7.0000000000000007E-2</v>
      </c>
      <c r="F704" s="7">
        <v>1083.5000858413837</v>
      </c>
      <c r="G704" s="7">
        <v>1029.2238932865789</v>
      </c>
      <c r="H704" s="7">
        <v>2112.7239791279626</v>
      </c>
      <c r="I704" s="7">
        <v>1.452819493557777</v>
      </c>
      <c r="J704" s="7">
        <v>1.452819493557777</v>
      </c>
    </row>
    <row r="705" spans="1:10">
      <c r="A705">
        <v>6</v>
      </c>
      <c r="B705" t="s">
        <v>112</v>
      </c>
      <c r="C705" t="s">
        <v>125</v>
      </c>
      <c r="D705" t="s">
        <v>120</v>
      </c>
      <c r="E705" s="79">
        <v>0.03</v>
      </c>
      <c r="F705" s="7">
        <v>8314.1042831515297</v>
      </c>
      <c r="G705" s="7">
        <v>817.4973418817749</v>
      </c>
      <c r="H705" s="7">
        <v>9131.601625033305</v>
      </c>
      <c r="I705" s="7">
        <v>1.7464205664328589</v>
      </c>
      <c r="J705" s="7">
        <v>1.7464205664328589</v>
      </c>
    </row>
    <row r="706" spans="1:10">
      <c r="A706">
        <v>6</v>
      </c>
      <c r="B706" t="s">
        <v>112</v>
      </c>
      <c r="C706" t="s">
        <v>9</v>
      </c>
      <c r="D706" t="s">
        <v>120</v>
      </c>
      <c r="E706" s="79">
        <v>0.03</v>
      </c>
      <c r="F706" s="7">
        <v>13163.148752323508</v>
      </c>
      <c r="G706" s="7">
        <v>1085.3897047867561</v>
      </c>
      <c r="H706" s="7">
        <v>14248.538457110264</v>
      </c>
      <c r="I706" s="7">
        <v>2.6268059558532189</v>
      </c>
      <c r="J706" s="7">
        <v>2.6268059558532189</v>
      </c>
    </row>
    <row r="707" spans="1:10">
      <c r="A707">
        <v>6</v>
      </c>
      <c r="B707" t="s">
        <v>112</v>
      </c>
      <c r="C707" t="s">
        <v>10</v>
      </c>
      <c r="D707" t="s">
        <v>120</v>
      </c>
      <c r="E707" s="79">
        <v>0.03</v>
      </c>
      <c r="F707" s="7">
        <v>23375.900699881244</v>
      </c>
      <c r="G707" s="7">
        <v>3509.8849828737198</v>
      </c>
      <c r="H707" s="7">
        <v>26885.785682754962</v>
      </c>
      <c r="I707" s="7">
        <v>4.7851890817382259</v>
      </c>
      <c r="J707" s="7">
        <v>4.7851890817382259</v>
      </c>
    </row>
    <row r="708" spans="1:10">
      <c r="A708">
        <v>6</v>
      </c>
      <c r="B708" t="s">
        <v>112</v>
      </c>
      <c r="C708" t="s">
        <v>11</v>
      </c>
      <c r="D708" t="s">
        <v>120</v>
      </c>
      <c r="E708" s="79">
        <v>0.03</v>
      </c>
      <c r="F708" s="7">
        <v>30127.676498116041</v>
      </c>
      <c r="G708" s="7">
        <v>2195.6086363918175</v>
      </c>
      <c r="H708" s="7">
        <v>32323.28513450786</v>
      </c>
      <c r="I708" s="7">
        <v>5.6476908766082117</v>
      </c>
      <c r="J708" s="7">
        <v>5.6476908766082117</v>
      </c>
    </row>
    <row r="709" spans="1:10">
      <c r="A709">
        <v>6</v>
      </c>
      <c r="B709" t="s">
        <v>112</v>
      </c>
      <c r="C709" t="s">
        <v>12</v>
      </c>
      <c r="D709" t="s">
        <v>120</v>
      </c>
      <c r="E709" s="79">
        <v>0.03</v>
      </c>
      <c r="F709" s="7">
        <v>3235.4645777370497</v>
      </c>
      <c r="G709" s="7">
        <v>892.35455435171093</v>
      </c>
      <c r="H709" s="7">
        <v>4127.8191320887609</v>
      </c>
      <c r="I709" s="7">
        <v>0.78574802761341356</v>
      </c>
      <c r="J709" s="7">
        <v>0.78574802761341356</v>
      </c>
    </row>
    <row r="710" spans="1:10">
      <c r="A710">
        <v>6</v>
      </c>
      <c r="B710" t="s">
        <v>112</v>
      </c>
      <c r="C710" t="s">
        <v>13</v>
      </c>
      <c r="D710" t="s">
        <v>120</v>
      </c>
      <c r="E710" s="79">
        <v>0.03</v>
      </c>
      <c r="F710" s="7">
        <v>17607.832543465178</v>
      </c>
      <c r="G710" s="7">
        <v>841.68207181041601</v>
      </c>
      <c r="H710" s="7">
        <v>18449.514615275595</v>
      </c>
      <c r="I710" s="7">
        <v>3.6019764603690319</v>
      </c>
      <c r="J710" s="7">
        <v>3.6019764603690319</v>
      </c>
    </row>
    <row r="711" spans="1:10">
      <c r="A711">
        <v>6</v>
      </c>
      <c r="B711" t="s">
        <v>112</v>
      </c>
      <c r="C711" t="s">
        <v>14</v>
      </c>
      <c r="D711" t="s">
        <v>120</v>
      </c>
      <c r="E711" s="79">
        <v>0.03</v>
      </c>
      <c r="F711" s="7">
        <v>6423.1774651183896</v>
      </c>
      <c r="G711" s="7">
        <v>2353.9854300363245</v>
      </c>
      <c r="H711" s="7">
        <v>8777.1628951547136</v>
      </c>
      <c r="I711" s="7">
        <v>1.7285913864039741</v>
      </c>
      <c r="J711" s="7">
        <v>1.7285913864039741</v>
      </c>
    </row>
    <row r="712" spans="1:10">
      <c r="A712">
        <v>6</v>
      </c>
      <c r="B712" t="s">
        <v>112</v>
      </c>
      <c r="C712" t="s">
        <v>125</v>
      </c>
      <c r="D712" t="s">
        <v>120</v>
      </c>
      <c r="E712" s="79">
        <v>7.0000000000000007E-2</v>
      </c>
      <c r="F712" s="7">
        <v>2559.9558362925004</v>
      </c>
      <c r="G712" s="7">
        <v>418.68436602009973</v>
      </c>
      <c r="H712" s="7">
        <v>2978.6402023126002</v>
      </c>
      <c r="I712" s="7">
        <v>1.7464205664328589</v>
      </c>
      <c r="J712" s="7">
        <v>1.7464205664328589</v>
      </c>
    </row>
    <row r="713" spans="1:10">
      <c r="A713">
        <v>6</v>
      </c>
      <c r="B713" t="s">
        <v>112</v>
      </c>
      <c r="C713" t="s">
        <v>9</v>
      </c>
      <c r="D713" t="s">
        <v>120</v>
      </c>
      <c r="E713" s="79">
        <v>7.0000000000000007E-2</v>
      </c>
      <c r="F713" s="7">
        <v>4309.9425769256968</v>
      </c>
      <c r="G713" s="7">
        <v>555.88645632453438</v>
      </c>
      <c r="H713" s="7">
        <v>4865.8290332502311</v>
      </c>
      <c r="I713" s="7">
        <v>2.6268059558532189</v>
      </c>
      <c r="J713" s="7">
        <v>2.6268059558532189</v>
      </c>
    </row>
    <row r="714" spans="1:10">
      <c r="A714">
        <v>6</v>
      </c>
      <c r="B714" t="s">
        <v>112</v>
      </c>
      <c r="C714" t="s">
        <v>10</v>
      </c>
      <c r="D714" t="s">
        <v>120</v>
      </c>
      <c r="E714" s="79">
        <v>7.0000000000000007E-2</v>
      </c>
      <c r="F714" s="7">
        <v>7848.5098343414029</v>
      </c>
      <c r="G714" s="7">
        <v>1797.6009138760892</v>
      </c>
      <c r="H714" s="7">
        <v>9646.1107482174921</v>
      </c>
      <c r="I714" s="7">
        <v>4.7851890817382259</v>
      </c>
      <c r="J714" s="7">
        <v>4.7851890817382259</v>
      </c>
    </row>
    <row r="715" spans="1:10">
      <c r="A715">
        <v>6</v>
      </c>
      <c r="B715" t="s">
        <v>112</v>
      </c>
      <c r="C715" t="s">
        <v>11</v>
      </c>
      <c r="D715" t="s">
        <v>120</v>
      </c>
      <c r="E715" s="79">
        <v>7.0000000000000007E-2</v>
      </c>
      <c r="F715" s="7">
        <v>10719.238907912995</v>
      </c>
      <c r="G715" s="7">
        <v>1124.4892953901576</v>
      </c>
      <c r="H715" s="7">
        <v>11843.728203303153</v>
      </c>
      <c r="I715" s="7">
        <v>5.6476908766082117</v>
      </c>
      <c r="J715" s="7">
        <v>5.6476908766082117</v>
      </c>
    </row>
    <row r="716" spans="1:10">
      <c r="A716">
        <v>6</v>
      </c>
      <c r="B716" t="s">
        <v>112</v>
      </c>
      <c r="C716" t="s">
        <v>12</v>
      </c>
      <c r="D716" t="s">
        <v>120</v>
      </c>
      <c r="E716" s="79">
        <v>7.0000000000000007E-2</v>
      </c>
      <c r="F716" s="7">
        <v>905.20636738848248</v>
      </c>
      <c r="G716" s="7">
        <v>457.02277146722059</v>
      </c>
      <c r="H716" s="7">
        <v>1362.229138855703</v>
      </c>
      <c r="I716" s="7">
        <v>0.78574802761341356</v>
      </c>
      <c r="J716" s="7">
        <v>0.78574802761341356</v>
      </c>
    </row>
    <row r="717" spans="1:10">
      <c r="A717">
        <v>6</v>
      </c>
      <c r="B717" t="s">
        <v>112</v>
      </c>
      <c r="C717" t="s">
        <v>13</v>
      </c>
      <c r="D717" t="s">
        <v>120</v>
      </c>
      <c r="E717" s="79">
        <v>7.0000000000000007E-2</v>
      </c>
      <c r="F717" s="7">
        <v>5421.7851595861421</v>
      </c>
      <c r="G717" s="7">
        <v>431.0706672333028</v>
      </c>
      <c r="H717" s="7">
        <v>5852.8558268194447</v>
      </c>
      <c r="I717" s="7">
        <v>3.6019764603690319</v>
      </c>
      <c r="J717" s="7">
        <v>3.6019764603690319</v>
      </c>
    </row>
    <row r="718" spans="1:10">
      <c r="A718">
        <v>6</v>
      </c>
      <c r="B718" t="s">
        <v>112</v>
      </c>
      <c r="C718" t="s">
        <v>14</v>
      </c>
      <c r="D718" t="s">
        <v>120</v>
      </c>
      <c r="E718" s="79">
        <v>7.0000000000000007E-2</v>
      </c>
      <c r="F718" s="7">
        <v>1593.0987408690264</v>
      </c>
      <c r="G718" s="7">
        <v>1205.6025712898806</v>
      </c>
      <c r="H718" s="7">
        <v>2798.7013121589071</v>
      </c>
      <c r="I718" s="7">
        <v>1.7285913864039741</v>
      </c>
      <c r="J718" s="7">
        <v>1.7285913864039741</v>
      </c>
    </row>
    <row r="719" spans="1:10">
      <c r="A719">
        <v>6</v>
      </c>
      <c r="B719" t="s">
        <v>111</v>
      </c>
      <c r="C719" t="s">
        <v>125</v>
      </c>
      <c r="D719" t="s">
        <v>39</v>
      </c>
      <c r="E719" s="79">
        <v>0.03</v>
      </c>
      <c r="F719" s="7">
        <v>6637.8185457689087</v>
      </c>
      <c r="G719" s="7">
        <v>1132.3417663686491</v>
      </c>
      <c r="H719" s="7">
        <v>7770.1603121375583</v>
      </c>
      <c r="I719" s="7">
        <v>1.5969804685675402</v>
      </c>
      <c r="J719" s="7">
        <v>1.5969804685675402</v>
      </c>
    </row>
    <row r="720" spans="1:10">
      <c r="A720">
        <v>6</v>
      </c>
      <c r="B720" t="s">
        <v>111</v>
      </c>
      <c r="C720" t="s">
        <v>9</v>
      </c>
      <c r="D720" t="s">
        <v>39</v>
      </c>
      <c r="E720" s="79">
        <v>0.03</v>
      </c>
      <c r="F720" s="7">
        <v>10663.110422227581</v>
      </c>
      <c r="G720" s="7">
        <v>1503.4080633063663</v>
      </c>
      <c r="H720" s="7">
        <v>12166.518485533947</v>
      </c>
      <c r="I720" s="7">
        <v>2.4020362959729926</v>
      </c>
      <c r="J720" s="7">
        <v>2.4020362959729926</v>
      </c>
    </row>
    <row r="721" spans="1:10">
      <c r="A721">
        <v>6</v>
      </c>
      <c r="B721" t="s">
        <v>111</v>
      </c>
      <c r="C721" t="s">
        <v>10</v>
      </c>
      <c r="D721" t="s">
        <v>39</v>
      </c>
      <c r="E721" s="79">
        <v>0.03</v>
      </c>
      <c r="F721" s="7">
        <v>18171.912277552085</v>
      </c>
      <c r="G721" s="7">
        <v>4861.6541701646202</v>
      </c>
      <c r="H721" s="7">
        <v>23033.566447716705</v>
      </c>
      <c r="I721" s="7">
        <v>4.3757503807605831</v>
      </c>
      <c r="J721" s="7">
        <v>4.3757503807605831</v>
      </c>
    </row>
    <row r="722" spans="1:10">
      <c r="A722">
        <v>6</v>
      </c>
      <c r="B722" t="s">
        <v>111</v>
      </c>
      <c r="C722" t="s">
        <v>11</v>
      </c>
      <c r="D722" t="s">
        <v>39</v>
      </c>
      <c r="E722" s="79">
        <v>0.03</v>
      </c>
      <c r="F722" s="7">
        <v>24690.778183121169</v>
      </c>
      <c r="G722" s="7">
        <v>3041.2078843746476</v>
      </c>
      <c r="H722" s="7">
        <v>27731.986067495814</v>
      </c>
      <c r="I722" s="7">
        <v>5.1644649766250623</v>
      </c>
      <c r="J722" s="7">
        <v>5.1644649766250623</v>
      </c>
    </row>
    <row r="723" spans="1:10">
      <c r="A723">
        <v>6</v>
      </c>
      <c r="B723" t="s">
        <v>111</v>
      </c>
      <c r="C723" t="s">
        <v>12</v>
      </c>
      <c r="D723" t="s">
        <v>39</v>
      </c>
      <c r="E723" s="79">
        <v>0.03</v>
      </c>
      <c r="F723" s="7">
        <v>2280.3319711614686</v>
      </c>
      <c r="G723" s="7">
        <v>1236.0288902906971</v>
      </c>
      <c r="H723" s="7">
        <v>3516.3608614521654</v>
      </c>
      <c r="I723" s="7">
        <v>0.71851171862792029</v>
      </c>
      <c r="J723" s="7">
        <v>0.71851171862792029</v>
      </c>
    </row>
    <row r="724" spans="1:10">
      <c r="A724">
        <v>6</v>
      </c>
      <c r="B724" t="s">
        <v>111</v>
      </c>
      <c r="C724" t="s">
        <v>13</v>
      </c>
      <c r="D724" t="s">
        <v>39</v>
      </c>
      <c r="E724" s="79">
        <v>0.03</v>
      </c>
      <c r="F724" s="7">
        <v>14503.279779295168</v>
      </c>
      <c r="G724" s="7">
        <v>1165.8408108346637</v>
      </c>
      <c r="H724" s="7">
        <v>15669.120590129831</v>
      </c>
      <c r="I724" s="7">
        <v>3.2937524321662881</v>
      </c>
      <c r="J724" s="7">
        <v>3.2937524321662881</v>
      </c>
    </row>
    <row r="725" spans="1:10">
      <c r="A725">
        <v>6</v>
      </c>
      <c r="B725" t="s">
        <v>111</v>
      </c>
      <c r="C725" t="s">
        <v>14</v>
      </c>
      <c r="D725" t="s">
        <v>39</v>
      </c>
      <c r="E725" s="79">
        <v>0.03</v>
      </c>
      <c r="F725" s="7">
        <v>4196.6086474640051</v>
      </c>
      <c r="G725" s="7">
        <v>3260.580656712249</v>
      </c>
      <c r="H725" s="7">
        <v>7457.1893041762542</v>
      </c>
      <c r="I725" s="7">
        <v>1.5806735692831881</v>
      </c>
      <c r="J725" s="7">
        <v>1.5806735692831881</v>
      </c>
    </row>
    <row r="726" spans="1:10">
      <c r="A726">
        <v>6</v>
      </c>
      <c r="B726" t="s">
        <v>111</v>
      </c>
      <c r="C726" t="s">
        <v>125</v>
      </c>
      <c r="D726" t="s">
        <v>39</v>
      </c>
      <c r="E726" s="79">
        <v>7.0000000000000007E-2</v>
      </c>
      <c r="F726" s="7">
        <v>2023.7628280732235</v>
      </c>
      <c r="G726" s="7">
        <v>553.05105884814543</v>
      </c>
      <c r="H726" s="7">
        <v>2576.813886921369</v>
      </c>
      <c r="I726" s="7">
        <v>1.5969804685675402</v>
      </c>
      <c r="J726" s="7">
        <v>1.5969804685675402</v>
      </c>
    </row>
    <row r="727" spans="1:10">
      <c r="A727">
        <v>6</v>
      </c>
      <c r="B727" t="s">
        <v>111</v>
      </c>
      <c r="C727" t="s">
        <v>9</v>
      </c>
      <c r="D727" t="s">
        <v>39</v>
      </c>
      <c r="E727" s="79">
        <v>7.0000000000000007E-2</v>
      </c>
      <c r="F727" s="7">
        <v>3481.8246295509666</v>
      </c>
      <c r="G727" s="7">
        <v>734.2848652124452</v>
      </c>
      <c r="H727" s="7">
        <v>4216.1094947634119</v>
      </c>
      <c r="I727" s="7">
        <v>2.4020362959729926</v>
      </c>
      <c r="J727" s="7">
        <v>2.4020362959729926</v>
      </c>
    </row>
    <row r="728" spans="1:10">
      <c r="A728">
        <v>6</v>
      </c>
      <c r="B728" t="s">
        <v>111</v>
      </c>
      <c r="C728" t="s">
        <v>10</v>
      </c>
      <c r="D728" t="s">
        <v>39</v>
      </c>
      <c r="E728" s="79">
        <v>7.0000000000000007E-2</v>
      </c>
      <c r="F728" s="7">
        <v>6000.92138805996</v>
      </c>
      <c r="G728" s="7">
        <v>2374.4977589104383</v>
      </c>
      <c r="H728" s="7">
        <v>8375.4191469703983</v>
      </c>
      <c r="I728" s="7">
        <v>4.3757503807605831</v>
      </c>
      <c r="J728" s="7">
        <v>4.3757503807605831</v>
      </c>
    </row>
    <row r="729" spans="1:10">
      <c r="A729">
        <v>6</v>
      </c>
      <c r="B729" t="s">
        <v>111</v>
      </c>
      <c r="C729" t="s">
        <v>11</v>
      </c>
      <c r="D729" t="s">
        <v>39</v>
      </c>
      <c r="E729" s="79">
        <v>7.0000000000000007E-2</v>
      </c>
      <c r="F729" s="7">
        <v>8807.0483571727746</v>
      </c>
      <c r="G729" s="7">
        <v>1485.3671308306643</v>
      </c>
      <c r="H729" s="7">
        <v>10292.415488003438</v>
      </c>
      <c r="I729" s="7">
        <v>5.1644649766250623</v>
      </c>
      <c r="J729" s="7">
        <v>5.1644649766250623</v>
      </c>
    </row>
    <row r="730" spans="1:10">
      <c r="A730">
        <v>6</v>
      </c>
      <c r="B730" t="s">
        <v>111</v>
      </c>
      <c r="C730" t="s">
        <v>12</v>
      </c>
      <c r="D730" t="s">
        <v>39</v>
      </c>
      <c r="E730" s="79">
        <v>7.0000000000000007E-2</v>
      </c>
      <c r="F730" s="7">
        <v>575.04288670578148</v>
      </c>
      <c r="G730" s="7">
        <v>603.69325485042395</v>
      </c>
      <c r="H730" s="7">
        <v>1178.7361415562054</v>
      </c>
      <c r="I730" s="7">
        <v>0.71851171862792029</v>
      </c>
      <c r="J730" s="7">
        <v>0.71851171862792029</v>
      </c>
    </row>
    <row r="731" spans="1:10">
      <c r="A731">
        <v>6</v>
      </c>
      <c r="B731" t="s">
        <v>111</v>
      </c>
      <c r="C731" t="s">
        <v>13</v>
      </c>
      <c r="D731" t="s">
        <v>39</v>
      </c>
      <c r="E731" s="79">
        <v>7.0000000000000007E-2</v>
      </c>
      <c r="F731" s="7">
        <v>4488.1753787412881</v>
      </c>
      <c r="G731" s="7">
        <v>569.41244598636251</v>
      </c>
      <c r="H731" s="7">
        <v>5057.5878247276505</v>
      </c>
      <c r="I731" s="7">
        <v>3.2937524321662881</v>
      </c>
      <c r="J731" s="7">
        <v>3.2937524321662881</v>
      </c>
    </row>
    <row r="732" spans="1:10">
      <c r="A732">
        <v>6</v>
      </c>
      <c r="B732" t="s">
        <v>111</v>
      </c>
      <c r="C732" t="s">
        <v>14</v>
      </c>
      <c r="D732" t="s">
        <v>39</v>
      </c>
      <c r="E732" s="79">
        <v>7.0000000000000007E-2</v>
      </c>
      <c r="F732" s="7">
        <v>826.35546550638924</v>
      </c>
      <c r="G732" s="7">
        <v>1592.5117647452491</v>
      </c>
      <c r="H732" s="7">
        <v>2418.8672302516384</v>
      </c>
      <c r="I732" s="7">
        <v>1.5806735692831881</v>
      </c>
      <c r="J732" s="7">
        <v>1.5806735692831881</v>
      </c>
    </row>
    <row r="733" spans="1:10">
      <c r="A733">
        <v>6</v>
      </c>
      <c r="B733" t="s">
        <v>111</v>
      </c>
      <c r="C733" t="s">
        <v>125</v>
      </c>
      <c r="D733" t="s">
        <v>119</v>
      </c>
      <c r="E733" s="79">
        <v>0.03</v>
      </c>
      <c r="F733" s="7">
        <v>5661.8769552128451</v>
      </c>
      <c r="G733" s="7">
        <v>1042.4424127715356</v>
      </c>
      <c r="H733" s="7">
        <v>6704.3193679843807</v>
      </c>
      <c r="I733" s="7">
        <v>1.4678167244414486</v>
      </c>
      <c r="J733" s="7">
        <v>1.4678167244414486</v>
      </c>
    </row>
    <row r="734" spans="1:10">
      <c r="A734">
        <v>6</v>
      </c>
      <c r="B734" t="s">
        <v>111</v>
      </c>
      <c r="C734" t="s">
        <v>9</v>
      </c>
      <c r="D734" t="s">
        <v>119</v>
      </c>
      <c r="E734" s="79">
        <v>0.03</v>
      </c>
      <c r="F734" s="7">
        <v>9134.1264308348818</v>
      </c>
      <c r="G734" s="7">
        <v>1384.0488582517246</v>
      </c>
      <c r="H734" s="7">
        <v>10518.175289086606</v>
      </c>
      <c r="I734" s="7">
        <v>2.207774724160501</v>
      </c>
      <c r="J734" s="7">
        <v>2.207774724160501</v>
      </c>
    </row>
    <row r="735" spans="1:10">
      <c r="A735">
        <v>6</v>
      </c>
      <c r="B735" t="s">
        <v>111</v>
      </c>
      <c r="C735" t="s">
        <v>10</v>
      </c>
      <c r="D735" t="s">
        <v>119</v>
      </c>
      <c r="E735" s="79">
        <v>0.03</v>
      </c>
      <c r="F735" s="7">
        <v>15474.802823832179</v>
      </c>
      <c r="G735" s="7">
        <v>4475.6756782538805</v>
      </c>
      <c r="H735" s="7">
        <v>19950.478502086058</v>
      </c>
      <c r="I735" s="7">
        <v>4.0219231235156112</v>
      </c>
      <c r="J735" s="7">
        <v>4.0219231235156112</v>
      </c>
    </row>
    <row r="736" spans="1:10">
      <c r="A736">
        <v>6</v>
      </c>
      <c r="B736" t="s">
        <v>111</v>
      </c>
      <c r="C736" t="s">
        <v>11</v>
      </c>
      <c r="D736" t="s">
        <v>119</v>
      </c>
      <c r="E736" s="79">
        <v>0.03</v>
      </c>
      <c r="F736" s="7">
        <v>21239.880712454564</v>
      </c>
      <c r="G736" s="7">
        <v>2799.7590293734652</v>
      </c>
      <c r="H736" s="7">
        <v>24039.639741828028</v>
      </c>
      <c r="I736" s="7">
        <v>4.7468951964778148</v>
      </c>
      <c r="J736" s="7">
        <v>4.7468951964778148</v>
      </c>
    </row>
    <row r="737" spans="1:10">
      <c r="A737">
        <v>6</v>
      </c>
      <c r="B737" t="s">
        <v>111</v>
      </c>
      <c r="C737" t="s">
        <v>12</v>
      </c>
      <c r="D737" t="s">
        <v>119</v>
      </c>
      <c r="E737" s="79">
        <v>0.03</v>
      </c>
      <c r="F737" s="7">
        <v>1898.0016372984139</v>
      </c>
      <c r="G737" s="7">
        <v>1137.8975649569682</v>
      </c>
      <c r="H737" s="7">
        <v>3035.8992022553821</v>
      </c>
      <c r="I737" s="7">
        <v>0.66039803828666033</v>
      </c>
      <c r="J737" s="7">
        <v>0.66039803828666033</v>
      </c>
    </row>
    <row r="738" spans="1:10">
      <c r="A738">
        <v>6</v>
      </c>
      <c r="B738" t="s">
        <v>111</v>
      </c>
      <c r="C738" t="s">
        <v>13</v>
      </c>
      <c r="D738" t="s">
        <v>119</v>
      </c>
      <c r="E738" s="79">
        <v>0.03</v>
      </c>
      <c r="F738" s="7">
        <v>12431.952707295315</v>
      </c>
      <c r="G738" s="7">
        <v>1073.2818870149717</v>
      </c>
      <c r="H738" s="7">
        <v>13505.234594310286</v>
      </c>
      <c r="I738" s="7">
        <v>3.0273377221698028</v>
      </c>
      <c r="J738" s="7">
        <v>3.0273377221698028</v>
      </c>
    </row>
    <row r="739" spans="1:10">
      <c r="A739">
        <v>6</v>
      </c>
      <c r="B739" t="s">
        <v>111</v>
      </c>
      <c r="C739" t="s">
        <v>14</v>
      </c>
      <c r="D739" t="s">
        <v>119</v>
      </c>
      <c r="E739" s="79">
        <v>0.03</v>
      </c>
      <c r="F739" s="7">
        <v>3426.9944488386755</v>
      </c>
      <c r="G739" s="7">
        <v>3001.7152663365887</v>
      </c>
      <c r="H739" s="7">
        <v>6428.7097151752641</v>
      </c>
      <c r="I739" s="7">
        <v>1.452819493557777</v>
      </c>
      <c r="J739" s="7">
        <v>1.452819493557777</v>
      </c>
    </row>
    <row r="740" spans="1:10">
      <c r="A740">
        <v>6</v>
      </c>
      <c r="B740" t="s">
        <v>111</v>
      </c>
      <c r="C740" t="s">
        <v>125</v>
      </c>
      <c r="D740" t="s">
        <v>119</v>
      </c>
      <c r="E740" s="79">
        <v>7.0000000000000007E-2</v>
      </c>
      <c r="F740" s="7">
        <v>1739.9109840706274</v>
      </c>
      <c r="G740" s="7">
        <v>511.9721375264557</v>
      </c>
      <c r="H740" s="7">
        <v>2251.8831215970831</v>
      </c>
      <c r="I740" s="7">
        <v>1.4678167244414486</v>
      </c>
      <c r="J740" s="7">
        <v>1.4678167244414486</v>
      </c>
    </row>
    <row r="741" spans="1:10">
      <c r="A741">
        <v>6</v>
      </c>
      <c r="B741" t="s">
        <v>111</v>
      </c>
      <c r="C741" t="s">
        <v>9</v>
      </c>
      <c r="D741" t="s">
        <v>119</v>
      </c>
      <c r="E741" s="79">
        <v>7.0000000000000007E-2</v>
      </c>
      <c r="F741" s="7">
        <v>3007.9955444526731</v>
      </c>
      <c r="G741" s="7">
        <v>679.7444575535352</v>
      </c>
      <c r="H741" s="7">
        <v>3687.7400020062082</v>
      </c>
      <c r="I741" s="7">
        <v>2.207774724160501</v>
      </c>
      <c r="J741" s="7">
        <v>2.207774724160501</v>
      </c>
    </row>
    <row r="742" spans="1:10">
      <c r="A742">
        <v>6</v>
      </c>
      <c r="B742" t="s">
        <v>111</v>
      </c>
      <c r="C742" t="s">
        <v>10</v>
      </c>
      <c r="D742" t="s">
        <v>119</v>
      </c>
      <c r="E742" s="79">
        <v>7.0000000000000007E-2</v>
      </c>
      <c r="F742" s="7">
        <v>5136.2857827262396</v>
      </c>
      <c r="G742" s="7">
        <v>2198.1274128885648</v>
      </c>
      <c r="H742" s="7">
        <v>7334.413195614804</v>
      </c>
      <c r="I742" s="7">
        <v>4.0219231235156112</v>
      </c>
      <c r="J742" s="7">
        <v>4.0219231235156112</v>
      </c>
    </row>
    <row r="743" spans="1:10">
      <c r="A743">
        <v>6</v>
      </c>
      <c r="B743" t="s">
        <v>111</v>
      </c>
      <c r="C743" t="s">
        <v>11</v>
      </c>
      <c r="D743" t="s">
        <v>119</v>
      </c>
      <c r="E743" s="79">
        <v>7.0000000000000007E-2</v>
      </c>
      <c r="F743" s="7">
        <v>7642.5077364953604</v>
      </c>
      <c r="G743" s="7">
        <v>1375.0386565876186</v>
      </c>
      <c r="H743" s="7">
        <v>9017.5463930829792</v>
      </c>
      <c r="I743" s="7">
        <v>4.7468951964778148</v>
      </c>
      <c r="J743" s="7">
        <v>4.7468951964778148</v>
      </c>
    </row>
    <row r="744" spans="1:10">
      <c r="A744">
        <v>6</v>
      </c>
      <c r="B744" t="s">
        <v>111</v>
      </c>
      <c r="C744" t="s">
        <v>12</v>
      </c>
      <c r="D744" t="s">
        <v>119</v>
      </c>
      <c r="E744" s="79">
        <v>7.0000000000000007E-2</v>
      </c>
      <c r="F744" s="7">
        <v>471.37416187556869</v>
      </c>
      <c r="G744" s="7">
        <v>558.85278791399855</v>
      </c>
      <c r="H744" s="7">
        <v>1030.2269497895672</v>
      </c>
      <c r="I744" s="7">
        <v>0.66039803828666033</v>
      </c>
      <c r="J744" s="7">
        <v>0.66039803828666033</v>
      </c>
    </row>
    <row r="745" spans="1:10">
      <c r="A745">
        <v>6</v>
      </c>
      <c r="B745" t="s">
        <v>111</v>
      </c>
      <c r="C745" t="s">
        <v>13</v>
      </c>
      <c r="D745" t="s">
        <v>119</v>
      </c>
      <c r="E745" s="79">
        <v>7.0000000000000007E-2</v>
      </c>
      <c r="F745" s="7">
        <v>3889.9029952146761</v>
      </c>
      <c r="G745" s="7">
        <v>527.11825145578644</v>
      </c>
      <c r="H745" s="7">
        <v>4417.0212466704625</v>
      </c>
      <c r="I745" s="7">
        <v>3.0273377221698028</v>
      </c>
      <c r="J745" s="7">
        <v>3.0273377221698028</v>
      </c>
    </row>
    <row r="746" spans="1:10">
      <c r="A746">
        <v>6</v>
      </c>
      <c r="B746" t="s">
        <v>111</v>
      </c>
      <c r="C746" t="s">
        <v>14</v>
      </c>
      <c r="D746" t="s">
        <v>119</v>
      </c>
      <c r="E746" s="79">
        <v>7.0000000000000007E-2</v>
      </c>
      <c r="F746" s="7">
        <v>638.49906049070955</v>
      </c>
      <c r="G746" s="7">
        <v>1474.224918637253</v>
      </c>
      <c r="H746" s="7">
        <v>2112.7239791279626</v>
      </c>
      <c r="I746" s="7">
        <v>1.452819493557777</v>
      </c>
      <c r="J746" s="7">
        <v>1.452819493557777</v>
      </c>
    </row>
    <row r="747" spans="1:10">
      <c r="A747">
        <v>6</v>
      </c>
      <c r="B747" t="s">
        <v>111</v>
      </c>
      <c r="C747" t="s">
        <v>125</v>
      </c>
      <c r="D747" t="s">
        <v>120</v>
      </c>
      <c r="E747" s="79">
        <v>0.03</v>
      </c>
      <c r="F747" s="7">
        <v>7894.6586586856847</v>
      </c>
      <c r="G747" s="7">
        <v>1236.9429663476203</v>
      </c>
      <c r="H747" s="7">
        <v>9131.601625033305</v>
      </c>
      <c r="I747" s="7">
        <v>1.7464205664328589</v>
      </c>
      <c r="J747" s="7">
        <v>1.7464205664328589</v>
      </c>
    </row>
    <row r="748" spans="1:10">
      <c r="A748">
        <v>6</v>
      </c>
      <c r="B748" t="s">
        <v>111</v>
      </c>
      <c r="C748" t="s">
        <v>9</v>
      </c>
      <c r="D748" t="s">
        <v>120</v>
      </c>
      <c r="E748" s="79">
        <v>0.03</v>
      </c>
      <c r="F748" s="7">
        <v>12606.251574572294</v>
      </c>
      <c r="G748" s="7">
        <v>1642.2868825379705</v>
      </c>
      <c r="H748" s="7">
        <v>14248.538457110264</v>
      </c>
      <c r="I748" s="7">
        <v>2.6268059558532189</v>
      </c>
      <c r="J748" s="7">
        <v>2.6268059558532189</v>
      </c>
    </row>
    <row r="749" spans="1:10">
      <c r="A749">
        <v>6</v>
      </c>
      <c r="B749" t="s">
        <v>111</v>
      </c>
      <c r="C749" t="s">
        <v>10</v>
      </c>
      <c r="D749" t="s">
        <v>120</v>
      </c>
      <c r="E749" s="79">
        <v>0.03</v>
      </c>
      <c r="F749" s="7">
        <v>21575.031359981094</v>
      </c>
      <c r="G749" s="7">
        <v>5310.7543227738688</v>
      </c>
      <c r="H749" s="7">
        <v>26885.785682754962</v>
      </c>
      <c r="I749" s="7">
        <v>4.7851890817382259</v>
      </c>
      <c r="J749" s="7">
        <v>4.7851890817382259</v>
      </c>
    </row>
    <row r="750" spans="1:10">
      <c r="A750">
        <v>6</v>
      </c>
      <c r="B750" t="s">
        <v>111</v>
      </c>
      <c r="C750" t="s">
        <v>11</v>
      </c>
      <c r="D750" t="s">
        <v>120</v>
      </c>
      <c r="E750" s="79">
        <v>0.03</v>
      </c>
      <c r="F750" s="7">
        <v>29001.142638747053</v>
      </c>
      <c r="G750" s="7">
        <v>3322.1424957608069</v>
      </c>
      <c r="H750" s="7">
        <v>32323.28513450786</v>
      </c>
      <c r="I750" s="7">
        <v>5.6476908766082117</v>
      </c>
      <c r="J750" s="7">
        <v>5.6476908766082117</v>
      </c>
    </row>
    <row r="751" spans="1:10">
      <c r="A751">
        <v>6</v>
      </c>
      <c r="B751" t="s">
        <v>111</v>
      </c>
      <c r="C751" t="s">
        <v>12</v>
      </c>
      <c r="D751" t="s">
        <v>120</v>
      </c>
      <c r="E751" s="79">
        <v>0.03</v>
      </c>
      <c r="F751" s="7">
        <v>2777.6108403372236</v>
      </c>
      <c r="G751" s="7">
        <v>1350.2082917515374</v>
      </c>
      <c r="H751" s="7">
        <v>4127.8191320887609</v>
      </c>
      <c r="I751" s="7">
        <v>0.78574802761341356</v>
      </c>
      <c r="J751" s="7">
        <v>0.78574802761341356</v>
      </c>
    </row>
    <row r="752" spans="1:10">
      <c r="A752">
        <v>6</v>
      </c>
      <c r="B752" t="s">
        <v>111</v>
      </c>
      <c r="C752" t="s">
        <v>13</v>
      </c>
      <c r="D752" t="s">
        <v>120</v>
      </c>
      <c r="E752" s="79">
        <v>0.03</v>
      </c>
      <c r="F752" s="7">
        <v>17175.978096820039</v>
      </c>
      <c r="G752" s="7">
        <v>1273.5365184555556</v>
      </c>
      <c r="H752" s="7">
        <v>18449.514615275595</v>
      </c>
      <c r="I752" s="7">
        <v>3.6019764603690319</v>
      </c>
      <c r="J752" s="7">
        <v>3.6019764603690319</v>
      </c>
    </row>
    <row r="753" spans="1:10">
      <c r="A753">
        <v>6</v>
      </c>
      <c r="B753" t="s">
        <v>111</v>
      </c>
      <c r="C753" t="s">
        <v>14</v>
      </c>
      <c r="D753" t="s">
        <v>120</v>
      </c>
      <c r="E753" s="79">
        <v>0.03</v>
      </c>
      <c r="F753" s="7">
        <v>5215.3828484260703</v>
      </c>
      <c r="G753" s="7">
        <v>3561.7800467286438</v>
      </c>
      <c r="H753" s="7">
        <v>8777.1628951547136</v>
      </c>
      <c r="I753" s="7">
        <v>1.7285913864039741</v>
      </c>
      <c r="J753" s="7">
        <v>1.7285913864039741</v>
      </c>
    </row>
    <row r="754" spans="1:10">
      <c r="A754">
        <v>6</v>
      </c>
      <c r="B754" t="s">
        <v>111</v>
      </c>
      <c r="C754" t="s">
        <v>125</v>
      </c>
      <c r="D754" t="s">
        <v>120</v>
      </c>
      <c r="E754" s="79">
        <v>7.0000000000000007E-2</v>
      </c>
      <c r="F754" s="7">
        <v>2376.6532068942984</v>
      </c>
      <c r="G754" s="7">
        <v>601.98699541830172</v>
      </c>
      <c r="H754" s="7">
        <v>2978.6402023126002</v>
      </c>
      <c r="I754" s="7">
        <v>1.7464205664328589</v>
      </c>
      <c r="J754" s="7">
        <v>1.7464205664328589</v>
      </c>
    </row>
    <row r="755" spans="1:10">
      <c r="A755">
        <v>6</v>
      </c>
      <c r="B755" t="s">
        <v>111</v>
      </c>
      <c r="C755" t="s">
        <v>9</v>
      </c>
      <c r="D755" t="s">
        <v>120</v>
      </c>
      <c r="E755" s="79">
        <v>7.0000000000000007E-2</v>
      </c>
      <c r="F755" s="7">
        <v>4066.5720158041377</v>
      </c>
      <c r="G755" s="7">
        <v>799.25701744609341</v>
      </c>
      <c r="H755" s="7">
        <v>4865.8290332502311</v>
      </c>
      <c r="I755" s="7">
        <v>2.6268059558532189</v>
      </c>
      <c r="J755" s="7">
        <v>2.6268059558532189</v>
      </c>
    </row>
    <row r="756" spans="1:10">
      <c r="A756">
        <v>6</v>
      </c>
      <c r="B756" t="s">
        <v>111</v>
      </c>
      <c r="C756" t="s">
        <v>10</v>
      </c>
      <c r="D756" t="s">
        <v>120</v>
      </c>
      <c r="E756" s="79">
        <v>7.0000000000000007E-2</v>
      </c>
      <c r="F756" s="7">
        <v>7061.5089313598019</v>
      </c>
      <c r="G756" s="7">
        <v>2584.6018168576902</v>
      </c>
      <c r="H756" s="7">
        <v>9646.1107482174921</v>
      </c>
      <c r="I756" s="7">
        <v>4.7851890817382259</v>
      </c>
      <c r="J756" s="7">
        <v>4.7851890817382259</v>
      </c>
    </row>
    <row r="757" spans="1:10">
      <c r="A757">
        <v>6</v>
      </c>
      <c r="B757" t="s">
        <v>111</v>
      </c>
      <c r="C757" t="s">
        <v>11</v>
      </c>
      <c r="D757" t="s">
        <v>120</v>
      </c>
      <c r="E757" s="79">
        <v>7.0000000000000007E-2</v>
      </c>
      <c r="F757" s="7">
        <v>10226.93047391417</v>
      </c>
      <c r="G757" s="7">
        <v>1616.7977293889833</v>
      </c>
      <c r="H757" s="7">
        <v>11843.728203303153</v>
      </c>
      <c r="I757" s="7">
        <v>5.6476908766082117</v>
      </c>
      <c r="J757" s="7">
        <v>5.6476908766082117</v>
      </c>
    </row>
    <row r="758" spans="1:10">
      <c r="A758">
        <v>6</v>
      </c>
      <c r="B758" t="s">
        <v>111</v>
      </c>
      <c r="C758" t="s">
        <v>12</v>
      </c>
      <c r="D758" t="s">
        <v>120</v>
      </c>
      <c r="E758" s="79">
        <v>7.0000000000000007E-2</v>
      </c>
      <c r="F758" s="7">
        <v>705.11894472896665</v>
      </c>
      <c r="G758" s="7">
        <v>657.11019412673636</v>
      </c>
      <c r="H758" s="7">
        <v>1362.229138855703</v>
      </c>
      <c r="I758" s="7">
        <v>0.78574802761341356</v>
      </c>
      <c r="J758" s="7">
        <v>0.78574802761341356</v>
      </c>
    </row>
    <row r="759" spans="1:10">
      <c r="A759">
        <v>6</v>
      </c>
      <c r="B759" t="s">
        <v>111</v>
      </c>
      <c r="C759" t="s">
        <v>13</v>
      </c>
      <c r="D759" t="s">
        <v>120</v>
      </c>
      <c r="E759" s="79">
        <v>7.0000000000000007E-2</v>
      </c>
      <c r="F759" s="7">
        <v>5233.0597301859234</v>
      </c>
      <c r="G759" s="7">
        <v>619.79609663352164</v>
      </c>
      <c r="H759" s="7">
        <v>5852.8558268194447</v>
      </c>
      <c r="I759" s="7">
        <v>3.6019764603690319</v>
      </c>
      <c r="J759" s="7">
        <v>3.6019764603690319</v>
      </c>
    </row>
    <row r="760" spans="1:10">
      <c r="A760">
        <v>6</v>
      </c>
      <c r="B760" t="s">
        <v>111</v>
      </c>
      <c r="C760" t="s">
        <v>14</v>
      </c>
      <c r="D760" t="s">
        <v>120</v>
      </c>
      <c r="E760" s="79">
        <v>7.0000000000000007E-2</v>
      </c>
      <c r="F760" s="7">
        <v>1065.2784082701749</v>
      </c>
      <c r="G760" s="7">
        <v>1733.4229038887322</v>
      </c>
      <c r="H760" s="7">
        <v>2798.7013121589071</v>
      </c>
      <c r="I760" s="7">
        <v>1.7285913864039741</v>
      </c>
      <c r="J760" s="7">
        <v>1.7285913864039741</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enableFormatConditionsCalculation="0"/>
  <dimension ref="B2:AM190"/>
  <sheetViews>
    <sheetView zoomScale="85" zoomScaleNormal="85" zoomScalePageLayoutView="85" workbookViewId="0">
      <selection activeCell="C2" sqref="C2"/>
    </sheetView>
  </sheetViews>
  <sheetFormatPr defaultColWidth="8.77734375" defaultRowHeight="14.4"/>
  <cols>
    <col min="1" max="1" width="8.77734375" style="9"/>
    <col min="2" max="2" width="3.6640625" style="9" customWidth="1"/>
    <col min="3" max="3" width="28.44140625" style="9" bestFit="1" customWidth="1"/>
    <col min="4" max="4" width="9.33203125" style="9" bestFit="1" customWidth="1"/>
    <col min="5" max="7" width="8" style="9" bestFit="1" customWidth="1"/>
    <col min="8" max="9" width="9" style="9" bestFit="1" customWidth="1"/>
    <col min="10" max="12" width="8" style="9" bestFit="1" customWidth="1"/>
    <col min="13" max="38" width="9" style="9" bestFit="1" customWidth="1"/>
    <col min="39" max="39" width="3.6640625" style="9" customWidth="1"/>
    <col min="40" max="16384" width="8.77734375" style="9"/>
  </cols>
  <sheetData>
    <row r="2" spans="2:39" ht="15">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row>
    <row r="3" spans="2:39" ht="15">
      <c r="B3" s="10"/>
      <c r="C3" s="22" t="s">
        <v>97</v>
      </c>
      <c r="D3" s="23"/>
      <c r="E3" s="24">
        <f t="array" ref="E3:AL3">_yS</f>
        <v>2019</v>
      </c>
      <c r="F3" s="24">
        <v>2020</v>
      </c>
      <c r="G3" s="24">
        <v>2021</v>
      </c>
      <c r="H3" s="24">
        <v>2022</v>
      </c>
      <c r="I3" s="24">
        <v>2023</v>
      </c>
      <c r="J3" s="24">
        <v>2024</v>
      </c>
      <c r="K3" s="24">
        <v>2025</v>
      </c>
      <c r="L3" s="24">
        <v>2026</v>
      </c>
      <c r="M3" s="24">
        <v>2027</v>
      </c>
      <c r="N3" s="24">
        <v>2028</v>
      </c>
      <c r="O3" s="24">
        <v>2029</v>
      </c>
      <c r="P3" s="24">
        <v>2030</v>
      </c>
      <c r="Q3" s="24">
        <v>2031</v>
      </c>
      <c r="R3" s="24">
        <v>2032</v>
      </c>
      <c r="S3" s="24">
        <v>2033</v>
      </c>
      <c r="T3" s="24">
        <v>2034</v>
      </c>
      <c r="U3" s="24">
        <v>2035</v>
      </c>
      <c r="V3" s="24">
        <v>2036</v>
      </c>
      <c r="W3" s="24">
        <v>2037</v>
      </c>
      <c r="X3" s="24">
        <v>2038</v>
      </c>
      <c r="Y3" s="24">
        <v>2039</v>
      </c>
      <c r="Z3" s="24">
        <v>2040</v>
      </c>
      <c r="AA3" s="24">
        <v>2041</v>
      </c>
      <c r="AB3" s="24">
        <v>2042</v>
      </c>
      <c r="AC3" s="24">
        <v>2043</v>
      </c>
      <c r="AD3" s="24">
        <v>2044</v>
      </c>
      <c r="AE3" s="24">
        <v>2045</v>
      </c>
      <c r="AF3" s="24">
        <v>2046</v>
      </c>
      <c r="AG3" s="24">
        <v>2047</v>
      </c>
      <c r="AH3" s="24">
        <v>2048</v>
      </c>
      <c r="AI3" s="24">
        <v>2049</v>
      </c>
      <c r="AJ3" s="24">
        <v>2050</v>
      </c>
      <c r="AK3" s="24">
        <v>2051</v>
      </c>
      <c r="AL3" s="25">
        <v>2052</v>
      </c>
      <c r="AM3" s="10"/>
    </row>
    <row r="4" spans="2:39" ht="15">
      <c r="B4" s="10"/>
      <c r="C4" s="57" t="str">
        <f ca="1">"Stds Case (CSL " &amp; stdCSL &amp; "): " &amp; INDEX(_doName,1,stdCSL+1)</f>
        <v>Stds Case (CSL 5): EL 5</v>
      </c>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3"/>
      <c r="AM4" s="10"/>
    </row>
    <row r="5" spans="2:39" ht="15">
      <c r="B5" s="10"/>
      <c r="C5" s="16" t="s">
        <v>94</v>
      </c>
      <c r="D5" s="12" t="str">
        <f>"th " &amp; _yearDol &amp; "$"</f>
        <v>th 2015$</v>
      </c>
      <c r="E5" s="13">
        <f t="array" aca="1" ref="E5:AL5" ca="1">tecs-tiec</f>
        <v>0</v>
      </c>
      <c r="F5" s="13">
        <f ca="1"/>
        <v>0</v>
      </c>
      <c r="G5" s="13">
        <f ca="1"/>
        <v>0</v>
      </c>
      <c r="H5" s="13">
        <f ca="1"/>
        <v>68850.277068698837</v>
      </c>
      <c r="I5" s="13">
        <f ca="1"/>
        <v>69444.547620912606</v>
      </c>
      <c r="J5" s="13">
        <f ca="1"/>
        <v>67455.512775465613</v>
      </c>
      <c r="K5" s="13">
        <f ca="1"/>
        <v>68021.321162247739</v>
      </c>
      <c r="L5" s="13">
        <f ca="1"/>
        <v>68550.672056565585</v>
      </c>
      <c r="M5" s="13">
        <f ca="1"/>
        <v>69061.198250654037</v>
      </c>
      <c r="N5" s="13">
        <f ca="1"/>
        <v>69508.849906841933</v>
      </c>
      <c r="O5" s="13">
        <f ca="1"/>
        <v>69958.129583726113</v>
      </c>
      <c r="P5" s="13">
        <f ca="1"/>
        <v>70463.681212134077</v>
      </c>
      <c r="Q5" s="13">
        <f ca="1"/>
        <v>70967.719824707194</v>
      </c>
      <c r="R5" s="13">
        <f ca="1"/>
        <v>74148.379534899665</v>
      </c>
      <c r="S5" s="13">
        <f ca="1"/>
        <v>77448.744984800462</v>
      </c>
      <c r="T5" s="13">
        <f ca="1"/>
        <v>78029.203792848391</v>
      </c>
      <c r="U5" s="13">
        <f ca="1"/>
        <v>81438.948914823472</v>
      </c>
      <c r="V5" s="13">
        <f ca="1"/>
        <v>84914.402391499432</v>
      </c>
      <c r="W5" s="13">
        <f ca="1"/>
        <v>85566.275810259103</v>
      </c>
      <c r="X5" s="13">
        <f ca="1"/>
        <v>86217.145317039278</v>
      </c>
      <c r="Y5" s="13">
        <f ca="1"/>
        <v>86868.772742818692</v>
      </c>
      <c r="Z5" s="13">
        <f ca="1"/>
        <v>87545.384119981551</v>
      </c>
      <c r="AA5" s="13">
        <f ca="1"/>
        <v>88473.469338581199</v>
      </c>
      <c r="AB5" s="13">
        <f ca="1"/>
        <v>89584.306748888048</v>
      </c>
      <c r="AC5" s="13">
        <f ca="1"/>
        <v>90708.214052281342</v>
      </c>
      <c r="AD5" s="13">
        <f ca="1"/>
        <v>91842.240423404204</v>
      </c>
      <c r="AE5" s="13">
        <f ca="1"/>
        <v>92988.515382274869</v>
      </c>
      <c r="AF5" s="13">
        <f ca="1"/>
        <v>94146.540744616534</v>
      </c>
      <c r="AG5" s="13">
        <f ca="1"/>
        <v>95317.554252337024</v>
      </c>
      <c r="AH5" s="13">
        <f ca="1"/>
        <v>96502.488949543855</v>
      </c>
      <c r="AI5" s="13">
        <f ca="1"/>
        <v>97704.433890397835</v>
      </c>
      <c r="AJ5" s="13">
        <f ca="1"/>
        <v>98923.268711901561</v>
      </c>
      <c r="AK5" s="13">
        <f ca="1"/>
        <v>100156.58391372848</v>
      </c>
      <c r="AL5" s="56">
        <f ca="1"/>
        <v>101404.18613981921</v>
      </c>
      <c r="AM5" s="10"/>
    </row>
    <row r="6" spans="2:39" ht="15">
      <c r="B6" s="10"/>
      <c r="C6" s="16" t="s">
        <v>95</v>
      </c>
      <c r="D6" s="12" t="str">
        <f>"th " &amp; _yearDol &amp; "$"</f>
        <v>th 2015$</v>
      </c>
      <c r="E6" s="13">
        <f t="array" aca="1" ref="E6:AL6" ca="1">tlccQmPol*tShpAxHStd-tlccQmBC*IF(bStdShipm,tShpAxHStd,tShpAxHBC)</f>
        <v>0</v>
      </c>
      <c r="F6" s="13">
        <f ca="1"/>
        <v>0</v>
      </c>
      <c r="G6" s="13">
        <f ca="1"/>
        <v>0</v>
      </c>
      <c r="H6" s="13">
        <f ca="1"/>
        <v>24270.137640576286</v>
      </c>
      <c r="I6" s="13">
        <f ca="1"/>
        <v>24272.846498881408</v>
      </c>
      <c r="J6" s="13">
        <f ca="1"/>
        <v>23378.87459604675</v>
      </c>
      <c r="K6" s="13">
        <f ca="1"/>
        <v>23376.652358993946</v>
      </c>
      <c r="L6" s="13">
        <f ca="1"/>
        <v>23360.788506164856</v>
      </c>
      <c r="M6" s="13">
        <f ca="1"/>
        <v>23337.57667242398</v>
      </c>
      <c r="N6" s="13">
        <f ca="1"/>
        <v>23292.434440907149</v>
      </c>
      <c r="O6" s="13">
        <f ca="1"/>
        <v>23247.340871515509</v>
      </c>
      <c r="P6" s="13">
        <f ca="1"/>
        <v>23220.300950589008</v>
      </c>
      <c r="Q6" s="13">
        <f ca="1"/>
        <v>23191.979593697644</v>
      </c>
      <c r="R6" s="13">
        <f ca="1"/>
        <v>24030.346908088366</v>
      </c>
      <c r="S6" s="13">
        <f ca="1"/>
        <v>24892.072042595595</v>
      </c>
      <c r="T6" s="13">
        <f ca="1"/>
        <v>24871.32575653377</v>
      </c>
      <c r="U6" s="13">
        <f ca="1"/>
        <v>25743.983648512163</v>
      </c>
      <c r="V6" s="13">
        <f ca="1"/>
        <v>26621.556415140105</v>
      </c>
      <c r="W6" s="13">
        <f ca="1"/>
        <v>26605.400589559518</v>
      </c>
      <c r="X6" s="13">
        <f ca="1"/>
        <v>26587.80112093006</v>
      </c>
      <c r="Y6" s="13">
        <f ca="1"/>
        <v>26569.325734046171</v>
      </c>
      <c r="Z6" s="13">
        <f ca="1"/>
        <v>26557.338630528073</v>
      </c>
      <c r="AA6" s="13">
        <f ca="1"/>
        <v>26619.820799339795</v>
      </c>
      <c r="AB6" s="13">
        <f ca="1"/>
        <v>26734.436324994953</v>
      </c>
      <c r="AC6" s="13">
        <f ca="1"/>
        <v>26849.668237569742</v>
      </c>
      <c r="AD6" s="13">
        <f ca="1"/>
        <v>26964.608177393151</v>
      </c>
      <c r="AE6" s="13">
        <f ca="1"/>
        <v>27079.856310676434</v>
      </c>
      <c r="AF6" s="13">
        <f ca="1"/>
        <v>27195.234209627029</v>
      </c>
      <c r="AG6" s="13">
        <f ca="1"/>
        <v>27311.066288413189</v>
      </c>
      <c r="AH6" s="13">
        <f ca="1"/>
        <v>27427.579636952782</v>
      </c>
      <c r="AI6" s="13">
        <f ca="1"/>
        <v>27545.601511374873</v>
      </c>
      <c r="AJ6" s="13">
        <f ca="1"/>
        <v>27665.03458742908</v>
      </c>
      <c r="AK6" s="13">
        <f ca="1"/>
        <v>27785.148933236604</v>
      </c>
      <c r="AL6" s="56">
        <f ca="1"/>
        <v>27905.847224547062</v>
      </c>
      <c r="AM6" s="10"/>
    </row>
    <row r="7" spans="2:39" ht="15">
      <c r="B7" s="10"/>
      <c r="C7" s="16" t="str">
        <f>zEO&amp;" Costs Savings"</f>
        <v>Operating Costs Savings</v>
      </c>
      <c r="D7" s="12" t="str">
        <f>"th " &amp; _yearDol &amp; "$"</f>
        <v>th 2015$</v>
      </c>
      <c r="E7" s="13">
        <f t="array" aca="1" ref="E7:AL7" ca="1">tlccEmBC*IF(bStdShipm,tShpAxHStd,tShpAxHBC)-tlccEmPol*tShpAxHStd</f>
        <v>0</v>
      </c>
      <c r="F7" s="13">
        <f ca="1"/>
        <v>0</v>
      </c>
      <c r="G7" s="13">
        <f ca="1"/>
        <v>0</v>
      </c>
      <c r="H7" s="13">
        <f ca="1"/>
        <v>93120.414709275123</v>
      </c>
      <c r="I7" s="13">
        <f ca="1"/>
        <v>93717.394119794015</v>
      </c>
      <c r="J7" s="13">
        <f ca="1"/>
        <v>90834.387371512363</v>
      </c>
      <c r="K7" s="13">
        <f ca="1"/>
        <v>91397.973521241685</v>
      </c>
      <c r="L7" s="13">
        <f ca="1"/>
        <v>91911.460562730441</v>
      </c>
      <c r="M7" s="13">
        <f ca="1"/>
        <v>92398.774923078017</v>
      </c>
      <c r="N7" s="13">
        <f ca="1"/>
        <v>92801.284347749082</v>
      </c>
      <c r="O7" s="13">
        <f ca="1"/>
        <v>93205.470455241622</v>
      </c>
      <c r="P7" s="13">
        <f ca="1"/>
        <v>93683.982162723085</v>
      </c>
      <c r="Q7" s="13">
        <f ca="1"/>
        <v>94159.699418404838</v>
      </c>
      <c r="R7" s="13">
        <f ca="1"/>
        <v>98178.726442988031</v>
      </c>
      <c r="S7" s="13">
        <f ca="1"/>
        <v>102340.81702739606</v>
      </c>
      <c r="T7" s="13">
        <f ca="1"/>
        <v>102900.52954938216</v>
      </c>
      <c r="U7" s="13">
        <f ca="1"/>
        <v>107182.93256333563</v>
      </c>
      <c r="V7" s="13">
        <f ca="1"/>
        <v>111535.95880663954</v>
      </c>
      <c r="W7" s="13">
        <f ca="1"/>
        <v>112171.67639981862</v>
      </c>
      <c r="X7" s="13">
        <f ca="1"/>
        <v>112804.94643796934</v>
      </c>
      <c r="Y7" s="13">
        <f ca="1"/>
        <v>113438.09847686486</v>
      </c>
      <c r="Z7" s="13">
        <f ca="1"/>
        <v>114102.72275050962</v>
      </c>
      <c r="AA7" s="13">
        <f ca="1"/>
        <v>115093.29013792099</v>
      </c>
      <c r="AB7" s="13">
        <f ca="1"/>
        <v>116318.743073883</v>
      </c>
      <c r="AC7" s="13">
        <f ca="1"/>
        <v>117557.88228985108</v>
      </c>
      <c r="AD7" s="13">
        <f ca="1"/>
        <v>118806.84860079736</v>
      </c>
      <c r="AE7" s="13">
        <f ca="1"/>
        <v>120068.3716929513</v>
      </c>
      <c r="AF7" s="13">
        <f ca="1"/>
        <v>121341.77495424356</v>
      </c>
      <c r="AG7" s="13">
        <f ca="1"/>
        <v>122628.62054075021</v>
      </c>
      <c r="AH7" s="13">
        <f ca="1"/>
        <v>123930.06858649664</v>
      </c>
      <c r="AI7" s="13">
        <f ca="1"/>
        <v>125250.03540177271</v>
      </c>
      <c r="AJ7" s="13">
        <f ca="1"/>
        <v>126588.30329933064</v>
      </c>
      <c r="AK7" s="13">
        <f ca="1"/>
        <v>127941.73284696508</v>
      </c>
      <c r="AL7" s="56">
        <f ca="1"/>
        <v>129310.03336436627</v>
      </c>
      <c r="AM7" s="10"/>
    </row>
    <row r="8" spans="2:39" ht="15">
      <c r="B8" s="10"/>
      <c r="C8" s="16" t="s">
        <v>96</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5"/>
      <c r="AM8" s="10"/>
    </row>
    <row r="9" spans="2:39" ht="15">
      <c r="B9" s="10"/>
      <c r="C9" s="45" t="str">
        <f>INDEX(_fuel,1)</f>
        <v>Electricity</v>
      </c>
      <c r="D9" s="18" t="s">
        <v>98</v>
      </c>
      <c r="E9" s="49">
        <f t="array" aca="1" ref="E9:AL9" ca="1">tlccFmElecBC*IF(bStdShipm,tShpAxHStd,tShpAxHBC)-tlccFmElecPol*tShpAxHStd</f>
        <v>0</v>
      </c>
      <c r="F9" s="49">
        <f ca="1"/>
        <v>0</v>
      </c>
      <c r="G9" s="49">
        <f ca="1"/>
        <v>0</v>
      </c>
      <c r="H9" s="49">
        <f ca="1"/>
        <v>17976.836597039655</v>
      </c>
      <c r="I9" s="49">
        <f ca="1"/>
        <v>17880.419204038859</v>
      </c>
      <c r="J9" s="49">
        <f ca="1"/>
        <v>17147.895787859743</v>
      </c>
      <c r="K9" s="49">
        <f ca="1"/>
        <v>17084.85148708761</v>
      </c>
      <c r="L9" s="49">
        <f ca="1"/>
        <v>17011.256672018499</v>
      </c>
      <c r="M9" s="49">
        <f ca="1"/>
        <v>16944.354351096437</v>
      </c>
      <c r="N9" s="49">
        <f ca="1"/>
        <v>16876.749447993585</v>
      </c>
      <c r="O9" s="49">
        <f ca="1"/>
        <v>16818.248801464099</v>
      </c>
      <c r="P9" s="49">
        <f ca="1"/>
        <v>16776.778865687374</v>
      </c>
      <c r="Q9" s="49">
        <f ca="1"/>
        <v>16739.990573654708</v>
      </c>
      <c r="R9" s="49">
        <f ca="1"/>
        <v>17332.104387304978</v>
      </c>
      <c r="S9" s="49">
        <f ca="1"/>
        <v>17951.161297199142</v>
      </c>
      <c r="T9" s="49">
        <f ca="1"/>
        <v>17938.447787920129</v>
      </c>
      <c r="U9" s="49">
        <f ca="1"/>
        <v>18571.715143266192</v>
      </c>
      <c r="V9" s="49">
        <f ca="1"/>
        <v>19210.952477347513</v>
      </c>
      <c r="W9" s="49">
        <f ca="1"/>
        <v>19205.282589172013</v>
      </c>
      <c r="X9" s="49">
        <f ca="1"/>
        <v>19197.56962683954</v>
      </c>
      <c r="Y9" s="49">
        <f ca="1"/>
        <v>19187.551302917593</v>
      </c>
      <c r="Z9" s="49">
        <f ca="1"/>
        <v>19181.164683897106</v>
      </c>
      <c r="AA9" s="49">
        <f ca="1"/>
        <v>19226.292728783563</v>
      </c>
      <c r="AB9" s="49">
        <f ca="1"/>
        <v>19309.074339678744</v>
      </c>
      <c r="AC9" s="49">
        <f ca="1"/>
        <v>19392.301138971001</v>
      </c>
      <c r="AD9" s="49">
        <f ca="1"/>
        <v>19475.317059548746</v>
      </c>
      <c r="AE9" s="49">
        <f ca="1"/>
        <v>19558.555574325146</v>
      </c>
      <c r="AF9" s="49">
        <f ca="1"/>
        <v>19641.887812974572</v>
      </c>
      <c r="AG9" s="49">
        <f ca="1"/>
        <v>19725.54808517982</v>
      </c>
      <c r="AH9" s="49">
        <f ca="1"/>
        <v>19809.700407718658</v>
      </c>
      <c r="AI9" s="49">
        <f ca="1"/>
        <v>19894.942270282016</v>
      </c>
      <c r="AJ9" s="49">
        <f ca="1"/>
        <v>19981.203379965154</v>
      </c>
      <c r="AK9" s="49">
        <f ca="1"/>
        <v>20067.956539981824</v>
      </c>
      <c r="AL9" s="50">
        <f ca="1"/>
        <v>20155.131457427517</v>
      </c>
      <c r="AM9" s="10"/>
    </row>
    <row r="10" spans="2:39" ht="15">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2:39" ht="15">
      <c r="B11" s="10"/>
      <c r="C11" s="22" t="s">
        <v>93</v>
      </c>
      <c r="D11" s="23"/>
      <c r="E11" s="24">
        <f t="array" ref="E11:AL11">_yS</f>
        <v>2019</v>
      </c>
      <c r="F11" s="24">
        <v>2020</v>
      </c>
      <c r="G11" s="24">
        <v>2021</v>
      </c>
      <c r="H11" s="24">
        <v>2022</v>
      </c>
      <c r="I11" s="24">
        <v>2023</v>
      </c>
      <c r="J11" s="24">
        <v>2024</v>
      </c>
      <c r="K11" s="24">
        <v>2025</v>
      </c>
      <c r="L11" s="24">
        <v>2026</v>
      </c>
      <c r="M11" s="24">
        <v>2027</v>
      </c>
      <c r="N11" s="24">
        <v>2028</v>
      </c>
      <c r="O11" s="24">
        <v>2029</v>
      </c>
      <c r="P11" s="24">
        <v>2030</v>
      </c>
      <c r="Q11" s="24">
        <v>2031</v>
      </c>
      <c r="R11" s="24">
        <v>2032</v>
      </c>
      <c r="S11" s="24">
        <v>2033</v>
      </c>
      <c r="T11" s="24">
        <v>2034</v>
      </c>
      <c r="U11" s="24">
        <v>2035</v>
      </c>
      <c r="V11" s="24">
        <v>2036</v>
      </c>
      <c r="W11" s="24">
        <v>2037</v>
      </c>
      <c r="X11" s="24">
        <v>2038</v>
      </c>
      <c r="Y11" s="24">
        <v>2039</v>
      </c>
      <c r="Z11" s="24">
        <v>2040</v>
      </c>
      <c r="AA11" s="24">
        <v>2041</v>
      </c>
      <c r="AB11" s="24">
        <v>2042</v>
      </c>
      <c r="AC11" s="24">
        <v>2043</v>
      </c>
      <c r="AD11" s="24">
        <v>2044</v>
      </c>
      <c r="AE11" s="24">
        <v>2045</v>
      </c>
      <c r="AF11" s="24">
        <v>2046</v>
      </c>
      <c r="AG11" s="24">
        <v>2047</v>
      </c>
      <c r="AH11" s="24">
        <v>2048</v>
      </c>
      <c r="AI11" s="24">
        <v>2049</v>
      </c>
      <c r="AJ11" s="24">
        <v>2050</v>
      </c>
      <c r="AK11" s="24">
        <v>2051</v>
      </c>
      <c r="AL11" s="25">
        <v>2052</v>
      </c>
      <c r="AM11" s="10"/>
    </row>
    <row r="12" spans="2:39" ht="15">
      <c r="B12" s="10"/>
      <c r="C12" s="57" t="str">
        <f ca="1">"Stds Case (CSL " &amp; stdCSL &amp; "): " &amp; INDEX(_doName,1,stdCSL+1)</f>
        <v>Stds Case (CSL 5): EL 5</v>
      </c>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3"/>
      <c r="AM12" s="10"/>
    </row>
    <row r="13" spans="2:39" ht="15">
      <c r="B13" s="10"/>
      <c r="C13" s="16" t="s">
        <v>94</v>
      </c>
      <c r="D13" s="12" t="str">
        <f>_yearDol &amp; "$"</f>
        <v>2015$</v>
      </c>
      <c r="E13" s="13">
        <f t="array" aca="1" ref="E13:AL13" ca="1">tecsU-tiecU</f>
        <v>0</v>
      </c>
      <c r="F13" s="13">
        <f ca="1"/>
        <v>0</v>
      </c>
      <c r="G13" s="13">
        <f ca="1"/>
        <v>0</v>
      </c>
      <c r="H13" s="13">
        <f ca="1"/>
        <v>1576.3439885549751</v>
      </c>
      <c r="I13" s="13">
        <f ca="1"/>
        <v>1589.7725196940091</v>
      </c>
      <c r="J13" s="13">
        <f ca="1"/>
        <v>1603.2874331321736</v>
      </c>
      <c r="K13" s="13">
        <f ca="1"/>
        <v>1616.8892976933212</v>
      </c>
      <c r="L13" s="13">
        <f ca="1"/>
        <v>1630.578686040958</v>
      </c>
      <c r="M13" s="13">
        <f ca="1"/>
        <v>1644.3561747047579</v>
      </c>
      <c r="N13" s="13">
        <f ca="1"/>
        <v>1658.222344107221</v>
      </c>
      <c r="O13" s="13">
        <f ca="1"/>
        <v>1672.1777785909007</v>
      </c>
      <c r="P13" s="13">
        <f ca="1"/>
        <v>1686.2230664452081</v>
      </c>
      <c r="Q13" s="13">
        <f ca="1"/>
        <v>1700.3587999340607</v>
      </c>
      <c r="R13" s="13">
        <f ca="1"/>
        <v>1714.5855753231599</v>
      </c>
      <c r="S13" s="13">
        <f ca="1"/>
        <v>1728.9039929078363</v>
      </c>
      <c r="T13" s="13">
        <f ca="1"/>
        <v>1743.3146570410108</v>
      </c>
      <c r="U13" s="13">
        <f ca="1"/>
        <v>1757.8181761611568</v>
      </c>
      <c r="V13" s="13">
        <f ca="1"/>
        <v>1772.4151628208283</v>
      </c>
      <c r="W13" s="13">
        <f ca="1"/>
        <v>1787.1062337149715</v>
      </c>
      <c r="X13" s="13">
        <f ca="1"/>
        <v>1801.8920097098171</v>
      </c>
      <c r="Y13" s="13">
        <f ca="1"/>
        <v>1816.7731158717006</v>
      </c>
      <c r="Z13" s="13">
        <f ca="1"/>
        <v>1831.7501814961443</v>
      </c>
      <c r="AA13" s="13">
        <f ca="1"/>
        <v>1846.8238401373901</v>
      </c>
      <c r="AB13" s="13">
        <f ca="1"/>
        <v>1861.9947296377732</v>
      </c>
      <c r="AC13" s="13">
        <f ca="1"/>
        <v>1877.2634921575745</v>
      </c>
      <c r="AD13" s="13">
        <f ca="1"/>
        <v>1892.6307742049185</v>
      </c>
      <c r="AE13" s="13">
        <f ca="1"/>
        <v>1908.0972266660256</v>
      </c>
      <c r="AF13" s="13">
        <f ca="1"/>
        <v>1923.6635048354083</v>
      </c>
      <c r="AG13" s="13">
        <f ca="1"/>
        <v>1939.3302684468881</v>
      </c>
      <c r="AH13" s="13">
        <f ca="1"/>
        <v>1955.0981817039292</v>
      </c>
      <c r="AI13" s="13">
        <f ca="1"/>
        <v>1970.9679133111649</v>
      </c>
      <c r="AJ13" s="13">
        <f ca="1"/>
        <v>1986.9401365052554</v>
      </c>
      <c r="AK13" s="13">
        <f ca="1"/>
        <v>2003.0155290866105</v>
      </c>
      <c r="AL13" s="56">
        <f ca="1"/>
        <v>2019.1947734511423</v>
      </c>
      <c r="AM13" s="10"/>
    </row>
    <row r="14" spans="2:39" ht="15">
      <c r="B14" s="10"/>
      <c r="C14" s="16" t="s">
        <v>95</v>
      </c>
      <c r="D14" s="12" t="str">
        <f>_yearDol &amp; "$"</f>
        <v>2015$</v>
      </c>
      <c r="E14" s="13">
        <f t="array" ref="E14:AL14">tlccQmPol-tlccQmBC</f>
        <v>0</v>
      </c>
      <c r="F14" s="13">
        <v>0</v>
      </c>
      <c r="G14" s="13">
        <v>0</v>
      </c>
      <c r="H14" s="13">
        <f ca="1"/>
        <v>555.67075689398098</v>
      </c>
      <c r="I14" s="13">
        <f ca="1"/>
        <v>555.67075689398098</v>
      </c>
      <c r="J14" s="13">
        <f ca="1"/>
        <v>555.67075689398098</v>
      </c>
      <c r="K14" s="13">
        <f ca="1"/>
        <v>555.67075689398098</v>
      </c>
      <c r="L14" s="13">
        <f ca="1"/>
        <v>555.67075689398098</v>
      </c>
      <c r="M14" s="13">
        <f ca="1"/>
        <v>555.67075689398098</v>
      </c>
      <c r="N14" s="13">
        <f ca="1"/>
        <v>555.67075689398098</v>
      </c>
      <c r="O14" s="13">
        <f ca="1"/>
        <v>555.67075689398098</v>
      </c>
      <c r="P14" s="13">
        <f ca="1"/>
        <v>555.67075689398098</v>
      </c>
      <c r="Q14" s="13">
        <f ca="1"/>
        <v>555.67075689398098</v>
      </c>
      <c r="R14" s="13">
        <f ca="1"/>
        <v>555.67075689398098</v>
      </c>
      <c r="S14" s="13">
        <f ca="1"/>
        <v>555.67075689398098</v>
      </c>
      <c r="T14" s="13">
        <f ca="1"/>
        <v>555.67075689398098</v>
      </c>
      <c r="U14" s="13">
        <f ca="1"/>
        <v>555.67075689398098</v>
      </c>
      <c r="V14" s="13">
        <f ca="1"/>
        <v>555.67075689398098</v>
      </c>
      <c r="W14" s="13">
        <f ca="1"/>
        <v>555.67075689398098</v>
      </c>
      <c r="X14" s="13">
        <f ca="1"/>
        <v>555.67075689398098</v>
      </c>
      <c r="Y14" s="13">
        <f ca="1"/>
        <v>555.67075689398098</v>
      </c>
      <c r="Z14" s="13">
        <f ca="1"/>
        <v>555.67075689398098</v>
      </c>
      <c r="AA14" s="13">
        <f ca="1"/>
        <v>555.67075689398098</v>
      </c>
      <c r="AB14" s="13">
        <f ca="1"/>
        <v>555.67075689398098</v>
      </c>
      <c r="AC14" s="13">
        <f ca="1"/>
        <v>555.67075689398098</v>
      </c>
      <c r="AD14" s="13">
        <f ca="1"/>
        <v>555.67075689398098</v>
      </c>
      <c r="AE14" s="13">
        <f ca="1"/>
        <v>555.67075689398098</v>
      </c>
      <c r="AF14" s="13">
        <f ca="1"/>
        <v>555.67075689398098</v>
      </c>
      <c r="AG14" s="13">
        <f ca="1"/>
        <v>555.67075689398098</v>
      </c>
      <c r="AH14" s="13">
        <f ca="1"/>
        <v>555.67075689398098</v>
      </c>
      <c r="AI14" s="13">
        <f ca="1"/>
        <v>555.67075689398098</v>
      </c>
      <c r="AJ14" s="13">
        <f ca="1"/>
        <v>555.67075689398098</v>
      </c>
      <c r="AK14" s="13">
        <f ca="1"/>
        <v>555.67075689398098</v>
      </c>
      <c r="AL14" s="56">
        <f ca="1"/>
        <v>555.67075689398098</v>
      </c>
      <c r="AM14" s="10"/>
    </row>
    <row r="15" spans="2:39" ht="15">
      <c r="B15" s="10"/>
      <c r="C15" s="16" t="str">
        <f>zEO&amp;" Costs Savings"</f>
        <v>Operating Costs Savings</v>
      </c>
      <c r="D15" s="12" t="str">
        <f>_yearDol &amp; "$"</f>
        <v>2015$</v>
      </c>
      <c r="E15" s="13">
        <f t="array" aca="1" ref="E15:AL15" ca="1">tlccEmBC-tlccEmPol</f>
        <v>0</v>
      </c>
      <c r="F15" s="13">
        <f ca="1"/>
        <v>0</v>
      </c>
      <c r="G15" s="13">
        <f ca="1"/>
        <v>0</v>
      </c>
      <c r="H15" s="13">
        <f ca="1"/>
        <v>2132.0147454489561</v>
      </c>
      <c r="I15" s="13">
        <f ca="1"/>
        <v>2145.4432765879901</v>
      </c>
      <c r="J15" s="13">
        <f ca="1"/>
        <v>2158.9581900261546</v>
      </c>
      <c r="K15" s="13">
        <f ca="1"/>
        <v>2172.5600545873021</v>
      </c>
      <c r="L15" s="13">
        <f ca="1"/>
        <v>2186.249442934939</v>
      </c>
      <c r="M15" s="13">
        <f ca="1"/>
        <v>2200.0269315987389</v>
      </c>
      <c r="N15" s="13">
        <f ca="1"/>
        <v>2213.893101001202</v>
      </c>
      <c r="O15" s="13">
        <f ca="1"/>
        <v>2227.8485354848817</v>
      </c>
      <c r="P15" s="13">
        <f ca="1"/>
        <v>2241.8938233391891</v>
      </c>
      <c r="Q15" s="13">
        <f ca="1"/>
        <v>2256.0295568280417</v>
      </c>
      <c r="R15" s="13">
        <f ca="1"/>
        <v>2270.2563322171409</v>
      </c>
      <c r="S15" s="13">
        <f ca="1"/>
        <v>2284.5747498018172</v>
      </c>
      <c r="T15" s="13">
        <f ca="1"/>
        <v>2298.9854139349918</v>
      </c>
      <c r="U15" s="13">
        <f ca="1"/>
        <v>2313.4889330551377</v>
      </c>
      <c r="V15" s="13">
        <f ca="1"/>
        <v>2328.0859197148093</v>
      </c>
      <c r="W15" s="13">
        <f ca="1"/>
        <v>2342.7769906089525</v>
      </c>
      <c r="X15" s="13">
        <f ca="1"/>
        <v>2357.5627666037981</v>
      </c>
      <c r="Y15" s="13">
        <f ca="1"/>
        <v>2372.4438727656816</v>
      </c>
      <c r="Z15" s="13">
        <f ca="1"/>
        <v>2387.4209383901252</v>
      </c>
      <c r="AA15" s="13">
        <f ca="1"/>
        <v>2402.4945970313711</v>
      </c>
      <c r="AB15" s="13">
        <f ca="1"/>
        <v>2417.6654865317541</v>
      </c>
      <c r="AC15" s="13">
        <f ca="1"/>
        <v>2432.9342490515555</v>
      </c>
      <c r="AD15" s="13">
        <f ca="1"/>
        <v>2448.3015310988994</v>
      </c>
      <c r="AE15" s="13">
        <f ca="1"/>
        <v>2463.7679835600065</v>
      </c>
      <c r="AF15" s="13">
        <f ca="1"/>
        <v>2479.3342617293893</v>
      </c>
      <c r="AG15" s="13">
        <f ca="1"/>
        <v>2495.0010253408691</v>
      </c>
      <c r="AH15" s="13">
        <f ca="1"/>
        <v>2510.7689385979102</v>
      </c>
      <c r="AI15" s="13">
        <f ca="1"/>
        <v>2526.6386702051459</v>
      </c>
      <c r="AJ15" s="13">
        <f ca="1"/>
        <v>2542.6108933992364</v>
      </c>
      <c r="AK15" s="13">
        <f ca="1"/>
        <v>2558.6862859805915</v>
      </c>
      <c r="AL15" s="56">
        <f ca="1"/>
        <v>2574.8655303451233</v>
      </c>
      <c r="AM15" s="10"/>
    </row>
    <row r="16" spans="2:39" ht="15">
      <c r="B16" s="10"/>
      <c r="C16" s="16" t="s">
        <v>96</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5"/>
      <c r="AM16" s="10"/>
    </row>
    <row r="17" spans="2:39" ht="15">
      <c r="B17" s="10"/>
      <c r="C17" s="45" t="str">
        <f>INDEX(_fuel,1)</f>
        <v>Electricity</v>
      </c>
      <c r="D17" s="18" t="s">
        <v>83</v>
      </c>
      <c r="E17" s="49">
        <f t="array" aca="1" ref="E17:AL17" ca="1">tlccFmElecBC-tlccFmElecPol</f>
        <v>0</v>
      </c>
      <c r="F17" s="49">
        <f ca="1"/>
        <v>0</v>
      </c>
      <c r="G17" s="49">
        <f ca="1"/>
        <v>0</v>
      </c>
      <c r="H17" s="49">
        <f ca="1"/>
        <v>411.58408519842487</v>
      </c>
      <c r="I17" s="49">
        <f ca="1"/>
        <v>409.33089875337828</v>
      </c>
      <c r="J17" s="49">
        <f ca="1"/>
        <v>407.57240869029738</v>
      </c>
      <c r="K17" s="49">
        <f ca="1"/>
        <v>406.11256956125544</v>
      </c>
      <c r="L17" s="49">
        <f ca="1"/>
        <v>404.63779157813042</v>
      </c>
      <c r="M17" s="49">
        <f ca="1"/>
        <v>403.44729615731922</v>
      </c>
      <c r="N17" s="49">
        <f ca="1"/>
        <v>402.61640162467484</v>
      </c>
      <c r="O17" s="49">
        <f ca="1"/>
        <v>401.99905411941472</v>
      </c>
      <c r="P17" s="49">
        <f ca="1"/>
        <v>401.47478839213727</v>
      </c>
      <c r="Q17" s="49">
        <f ca="1"/>
        <v>401.08362440041856</v>
      </c>
      <c r="R17" s="49">
        <f ca="1"/>
        <v>400.7825438515647</v>
      </c>
      <c r="S17" s="49">
        <f ca="1"/>
        <v>400.72740300893201</v>
      </c>
      <c r="T17" s="49">
        <f ca="1"/>
        <v>400.77762469892332</v>
      </c>
      <c r="U17" s="49">
        <f ca="1"/>
        <v>400.86099926786301</v>
      </c>
      <c r="V17" s="49">
        <f ca="1"/>
        <v>400.98949652962256</v>
      </c>
      <c r="W17" s="49">
        <f ca="1"/>
        <v>401.11457359059023</v>
      </c>
      <c r="X17" s="49">
        <f ca="1"/>
        <v>401.21888969123029</v>
      </c>
      <c r="Y17" s="49">
        <f ca="1"/>
        <v>401.28836019997107</v>
      </c>
      <c r="Z17" s="49">
        <f ca="1"/>
        <v>401.33585847179711</v>
      </c>
      <c r="AA17" s="49">
        <f ca="1"/>
        <v>401.33585847179711</v>
      </c>
      <c r="AB17" s="49">
        <f ca="1"/>
        <v>401.33585847179711</v>
      </c>
      <c r="AC17" s="49">
        <f ca="1"/>
        <v>401.33585847179711</v>
      </c>
      <c r="AD17" s="49">
        <f ca="1"/>
        <v>401.33585847179711</v>
      </c>
      <c r="AE17" s="49">
        <f ca="1"/>
        <v>401.33585847179711</v>
      </c>
      <c r="AF17" s="49">
        <f ca="1"/>
        <v>401.33585847179711</v>
      </c>
      <c r="AG17" s="49">
        <f ca="1"/>
        <v>401.33585847179711</v>
      </c>
      <c r="AH17" s="49">
        <f ca="1"/>
        <v>401.33585847179711</v>
      </c>
      <c r="AI17" s="49">
        <f ca="1"/>
        <v>401.33585847179711</v>
      </c>
      <c r="AJ17" s="49">
        <f ca="1"/>
        <v>401.33585847179711</v>
      </c>
      <c r="AK17" s="49">
        <f ca="1"/>
        <v>401.33585847179711</v>
      </c>
      <c r="AL17" s="50">
        <f ca="1"/>
        <v>401.33585847179711</v>
      </c>
      <c r="AM17" s="10"/>
    </row>
    <row r="18" spans="2:39" ht="15">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2:39" ht="15">
      <c r="B19" s="10"/>
      <c r="C19" s="22" t="s">
        <v>92</v>
      </c>
      <c r="D19" s="23"/>
      <c r="E19" s="24">
        <f t="array" ref="E19:AL19">_yS</f>
        <v>2019</v>
      </c>
      <c r="F19" s="24">
        <v>2020</v>
      </c>
      <c r="G19" s="24">
        <v>2021</v>
      </c>
      <c r="H19" s="24">
        <v>2022</v>
      </c>
      <c r="I19" s="24">
        <v>2023</v>
      </c>
      <c r="J19" s="24">
        <v>2024</v>
      </c>
      <c r="K19" s="24">
        <v>2025</v>
      </c>
      <c r="L19" s="24">
        <v>2026</v>
      </c>
      <c r="M19" s="24">
        <v>2027</v>
      </c>
      <c r="N19" s="24">
        <v>2028</v>
      </c>
      <c r="O19" s="24">
        <v>2029</v>
      </c>
      <c r="P19" s="24">
        <v>2030</v>
      </c>
      <c r="Q19" s="24">
        <v>2031</v>
      </c>
      <c r="R19" s="24">
        <v>2032</v>
      </c>
      <c r="S19" s="24">
        <v>2033</v>
      </c>
      <c r="T19" s="24">
        <v>2034</v>
      </c>
      <c r="U19" s="24">
        <v>2035</v>
      </c>
      <c r="V19" s="24">
        <v>2036</v>
      </c>
      <c r="W19" s="24">
        <v>2037</v>
      </c>
      <c r="X19" s="24">
        <v>2038</v>
      </c>
      <c r="Y19" s="24">
        <v>2039</v>
      </c>
      <c r="Z19" s="24">
        <v>2040</v>
      </c>
      <c r="AA19" s="24">
        <v>2041</v>
      </c>
      <c r="AB19" s="24">
        <v>2042</v>
      </c>
      <c r="AC19" s="24">
        <v>2043</v>
      </c>
      <c r="AD19" s="24">
        <v>2044</v>
      </c>
      <c r="AE19" s="24">
        <v>2045</v>
      </c>
      <c r="AF19" s="24">
        <v>2046</v>
      </c>
      <c r="AG19" s="24">
        <v>2047</v>
      </c>
      <c r="AH19" s="24">
        <v>2048</v>
      </c>
      <c r="AI19" s="24">
        <v>2049</v>
      </c>
      <c r="AJ19" s="24">
        <v>2050</v>
      </c>
      <c r="AK19" s="24">
        <v>2051</v>
      </c>
      <c r="AL19" s="25">
        <v>2052</v>
      </c>
      <c r="AM19" s="10"/>
    </row>
    <row r="20" spans="2:39" ht="15">
      <c r="B20" s="10"/>
      <c r="C20" s="27" t="str">
        <f>"No-Stds Case (CSL 0): " &amp; INDEX(_doName,1,1)</f>
        <v>No-Stds Case (CSL 0): EL 0</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5"/>
      <c r="AM20" s="10"/>
    </row>
    <row r="21" spans="2:39" ht="15">
      <c r="B21" s="10"/>
      <c r="C21" s="16" t="s">
        <v>69</v>
      </c>
      <c r="D21" s="12" t="str">
        <f>_yearDol &amp; "$"</f>
        <v>2015$</v>
      </c>
      <c r="E21" s="13">
        <f>SUMPRODUCT(INDEX(bcEff,,1),INDEX(tlccQubc,,1))</f>
        <v>6294.5104559401598</v>
      </c>
      <c r="F21" s="13">
        <f>SUMPRODUCT(INDEX(bcEff,,2),INDEX(tlccQubc,,2))</f>
        <v>6294.5104559401598</v>
      </c>
      <c r="G21" s="13">
        <f>SUMPRODUCT(INDEX(bcEff,,3),INDEX(tlccQubc,,3))</f>
        <v>6294.5104559401598</v>
      </c>
      <c r="H21" s="13">
        <f>SUMPRODUCT(INDEX(bcEff,,4),INDEX(tlccQubc,,4))</f>
        <v>6294.5104559401598</v>
      </c>
      <c r="I21" s="13">
        <f>SUMPRODUCT(INDEX(bcEff,,5),INDEX(tlccQubc,,5))</f>
        <v>6294.5104559401598</v>
      </c>
      <c r="J21" s="13">
        <f>SUMPRODUCT(INDEX(bcEff,,6),INDEX(tlccQubc,,6))</f>
        <v>6294.5104559401598</v>
      </c>
      <c r="K21" s="13">
        <f>SUMPRODUCT(INDEX(bcEff,,7),INDEX(tlccQubc,,7))</f>
        <v>6294.5104559401598</v>
      </c>
      <c r="L21" s="13">
        <f>SUMPRODUCT(INDEX(bcEff,,8),INDEX(tlccQubc,,8))</f>
        <v>6294.5104559401598</v>
      </c>
      <c r="M21" s="13">
        <f>SUMPRODUCT(INDEX(bcEff,,9),INDEX(tlccQubc,,9))</f>
        <v>6294.5104559401598</v>
      </c>
      <c r="N21" s="13">
        <f>SUMPRODUCT(INDEX(bcEff,,10),INDEX(tlccQubc,,10))</f>
        <v>6294.5104559401598</v>
      </c>
      <c r="O21" s="13">
        <f>SUMPRODUCT(INDEX(bcEff,,11),INDEX(tlccQubc,,11))</f>
        <v>6294.5104559401598</v>
      </c>
      <c r="P21" s="13">
        <f>SUMPRODUCT(INDEX(bcEff,,12),INDEX(tlccQubc,,12))</f>
        <v>6294.5104559401598</v>
      </c>
      <c r="Q21" s="13">
        <f>SUMPRODUCT(INDEX(bcEff,,13),INDEX(tlccQubc,,13))</f>
        <v>6294.5104559401598</v>
      </c>
      <c r="R21" s="13">
        <f>SUMPRODUCT(INDEX(bcEff,,14),INDEX(tlccQubc,,14))</f>
        <v>6294.5104559401598</v>
      </c>
      <c r="S21" s="13">
        <f>SUMPRODUCT(INDEX(bcEff,,15),INDEX(tlccQubc,,15))</f>
        <v>6294.5104559401598</v>
      </c>
      <c r="T21" s="13">
        <f>SUMPRODUCT(INDEX(bcEff,,16),INDEX(tlccQubc,,16))</f>
        <v>6294.5104559401598</v>
      </c>
      <c r="U21" s="13">
        <f>SUMPRODUCT(INDEX(bcEff,,17),INDEX(tlccQubc,,17))</f>
        <v>6294.5104559401598</v>
      </c>
      <c r="V21" s="13">
        <f>SUMPRODUCT(INDEX(bcEff,,18),INDEX(tlccQubc,,18))</f>
        <v>6294.5104559401598</v>
      </c>
      <c r="W21" s="13">
        <f>SUMPRODUCT(INDEX(bcEff,,19),INDEX(tlccQubc,,19))</f>
        <v>6294.5104559401598</v>
      </c>
      <c r="X21" s="13">
        <f>SUMPRODUCT(INDEX(bcEff,,20),INDEX(tlccQubc,,20))</f>
        <v>6294.5104559401598</v>
      </c>
      <c r="Y21" s="13">
        <f>SUMPRODUCT(INDEX(bcEff,,21),INDEX(tlccQubc,,21))</f>
        <v>6294.5104559401598</v>
      </c>
      <c r="Z21" s="13">
        <f>SUMPRODUCT(INDEX(bcEff,,22),INDEX(tlccQubc,,22))</f>
        <v>6294.5104559401598</v>
      </c>
      <c r="AA21" s="13">
        <f>SUMPRODUCT(INDEX(bcEff,,23),INDEX(tlccQubc,,23))</f>
        <v>6294.5104559401598</v>
      </c>
      <c r="AB21" s="13">
        <f>SUMPRODUCT(INDEX(bcEff,,24),INDEX(tlccQubc,,24))</f>
        <v>6294.5104559401598</v>
      </c>
      <c r="AC21" s="13">
        <f>SUMPRODUCT(INDEX(bcEff,,25),INDEX(tlccQubc,,25))</f>
        <v>6294.5104559401598</v>
      </c>
      <c r="AD21" s="13">
        <f>SUMPRODUCT(INDEX(bcEff,,26),INDEX(tlccQubc,,26))</f>
        <v>6294.5104559401598</v>
      </c>
      <c r="AE21" s="13">
        <f>SUMPRODUCT(INDEX(bcEff,,27),INDEX(tlccQubc,,27))</f>
        <v>6294.5104559401598</v>
      </c>
      <c r="AF21" s="13">
        <f>SUMPRODUCT(INDEX(bcEff,,28),INDEX(tlccQubc,,28))</f>
        <v>6294.5104559401598</v>
      </c>
      <c r="AG21" s="13">
        <f>SUMPRODUCT(INDEX(bcEff,,29),INDEX(tlccQubc,,29))</f>
        <v>6294.5104559401598</v>
      </c>
      <c r="AH21" s="13">
        <f>SUMPRODUCT(INDEX(bcEff,,30),INDEX(tlccQubc,,30))</f>
        <v>6294.5104559401598</v>
      </c>
      <c r="AI21" s="13">
        <f>SUMPRODUCT(INDEX(bcEff,,31),INDEX(tlccQubc,,31))</f>
        <v>6294.5104559401598</v>
      </c>
      <c r="AJ21" s="13">
        <f>SUMPRODUCT(INDEX(bcEff,,32),INDEX(tlccQubc,,32))</f>
        <v>6294.5104559401598</v>
      </c>
      <c r="AK21" s="13">
        <f>SUMPRODUCT(INDEX(bcEff,,33),INDEX(tlccQubc,,33))</f>
        <v>6294.5104559401598</v>
      </c>
      <c r="AL21" s="56">
        <f>SUMPRODUCT(INDEX(bcEff,,34),INDEX(tlccQubc,,34))</f>
        <v>6294.5104559401598</v>
      </c>
      <c r="AM21" s="10"/>
    </row>
    <row r="22" spans="2:39" ht="15">
      <c r="B22" s="10"/>
      <c r="C22" s="16" t="str">
        <f>zEO&amp;" Costs"</f>
        <v>Operating Costs</v>
      </c>
      <c r="D22" s="12" t="str">
        <f>_yearDol &amp; "$"</f>
        <v>2015$</v>
      </c>
      <c r="E22" s="13">
        <f ca="1">SUMPRODUCT(INDEX(bcEff,,1),INDEX(tlccEubc,,1))</f>
        <v>48327.206344999635</v>
      </c>
      <c r="F22" s="13">
        <f ca="1">SUMPRODUCT(INDEX(bcEff,,2),INDEX(tlccEubc,,2))</f>
        <v>48722.674137434282</v>
      </c>
      <c r="G22" s="13">
        <f ca="1">SUMPRODUCT(INDEX(bcEff,,3),INDEX(tlccEubc,,3))</f>
        <v>49105.872253082569</v>
      </c>
      <c r="H22" s="13">
        <f ca="1">SUMPRODUCT(INDEX(bcEff,,4),INDEX(tlccEubc,,4))</f>
        <v>49450.408309676852</v>
      </c>
      <c r="I22" s="13">
        <f ca="1">SUMPRODUCT(INDEX(bcEff,,5),INDEX(tlccEubc,,5))</f>
        <v>49761.872547549385</v>
      </c>
      <c r="J22" s="13">
        <f ca="1">SUMPRODUCT(INDEX(bcEff,,6),INDEX(tlccEubc,,6))</f>
        <v>50075.340355036766</v>
      </c>
      <c r="K22" s="13">
        <f ca="1">SUMPRODUCT(INDEX(bcEff,,7),INDEX(tlccEubc,,7))</f>
        <v>50390.824925562338</v>
      </c>
      <c r="L22" s="13">
        <f ca="1">SUMPRODUCT(INDEX(bcEff,,8),INDEX(tlccEubc,,8))</f>
        <v>50708.339541605957</v>
      </c>
      <c r="M22" s="13">
        <f ca="1">SUMPRODUCT(INDEX(bcEff,,9),INDEX(tlccEubc,,9))</f>
        <v>51027.897575320269</v>
      </c>
      <c r="N22" s="13">
        <f ca="1">SUMPRODUCT(INDEX(bcEff,,10),INDEX(tlccEubc,,10))</f>
        <v>51349.512489151311</v>
      </c>
      <c r="O22" s="13">
        <f ca="1">SUMPRODUCT(INDEX(bcEff,,11),INDEX(tlccEubc,,11))</f>
        <v>51673.197836463863</v>
      </c>
      <c r="P22" s="13">
        <f ca="1">SUMPRODUCT(INDEX(bcEff,,12),INDEX(tlccEubc,,12))</f>
        <v>51998.967262170743</v>
      </c>
      <c r="Q22" s="13">
        <f ca="1">SUMPRODUCT(INDEX(bcEff,,13),INDEX(tlccEubc,,13))</f>
        <v>52326.834503366961</v>
      </c>
      <c r="R22" s="13">
        <f ca="1">SUMPRODUCT(INDEX(bcEff,,14),INDEX(tlccEubc,,14))</f>
        <v>52656.813389968185</v>
      </c>
      <c r="S22" s="13">
        <f ca="1">SUMPRODUCT(INDEX(bcEff,,15),INDEX(tlccEubc,,15))</f>
        <v>52988.917845353717</v>
      </c>
      <c r="T22" s="13">
        <f ca="1">SUMPRODUCT(INDEX(bcEff,,16),INDEX(tlccEubc,,16))</f>
        <v>53323.161887014139</v>
      </c>
      <c r="U22" s="13">
        <f ca="1">SUMPRODUCT(INDEX(bcEff,,17),INDEX(tlccEubc,,17))</f>
        <v>53659.559627203518</v>
      </c>
      <c r="V22" s="13">
        <f ca="1">SUMPRODUCT(INDEX(bcEff,,18),INDEX(tlccEubc,,18))</f>
        <v>53998.125273596117</v>
      </c>
      <c r="W22" s="13">
        <f ca="1">SUMPRODUCT(INDEX(bcEff,,19),INDEX(tlccEubc,,19))</f>
        <v>54338.873129948028</v>
      </c>
      <c r="X22" s="13">
        <f ca="1">SUMPRODUCT(INDEX(bcEff,,20),INDEX(tlccEubc,,20))</f>
        <v>54681.817596763198</v>
      </c>
      <c r="Y22" s="13">
        <f ca="1">SUMPRODUCT(INDEX(bcEff,,21),INDEX(tlccEubc,,21))</f>
        <v>55026.973171964462</v>
      </c>
      <c r="Z22" s="13">
        <f ca="1">SUMPRODUCT(INDEX(bcEff,,22),INDEX(tlccEubc,,22))</f>
        <v>55374.354451569103</v>
      </c>
      <c r="AA22" s="13">
        <f ca="1">SUMPRODUCT(INDEX(bcEff,,23),INDEX(tlccEubc,,23))</f>
        <v>55723.976130369352</v>
      </c>
      <c r="AB22" s="13">
        <f ca="1">SUMPRODUCT(INDEX(bcEff,,24),INDEX(tlccEubc,,24))</f>
        <v>56075.853002617776</v>
      </c>
      <c r="AC22" s="13">
        <f ca="1">SUMPRODUCT(INDEX(bcEff,,25),INDEX(tlccEubc,,25))</f>
        <v>56429.999962717353</v>
      </c>
      <c r="AD22" s="13">
        <f ca="1">SUMPRODUCT(INDEX(bcEff,,26),INDEX(tlccEubc,,26))</f>
        <v>56786.432005916577</v>
      </c>
      <c r="AE22" s="13">
        <f ca="1">SUMPRODUCT(INDEX(bcEff,,27),INDEX(tlccEubc,,27))</f>
        <v>57145.16422900949</v>
      </c>
      <c r="AF22" s="13">
        <f ca="1">SUMPRODUCT(INDEX(bcEff,,28),INDEX(tlccEubc,,28))</f>
        <v>57506.211831040579</v>
      </c>
      <c r="AG22" s="13">
        <f ca="1">SUMPRODUCT(INDEX(bcEff,,29),INDEX(tlccEubc,,29))</f>
        <v>57869.590114015002</v>
      </c>
      <c r="AH22" s="13">
        <f ca="1">SUMPRODUCT(INDEX(bcEff,,30),INDEX(tlccEubc,,30))</f>
        <v>58235.314483613358</v>
      </c>
      <c r="AI22" s="13">
        <f ca="1">SUMPRODUCT(INDEX(bcEff,,31),INDEX(tlccEubc,,31))</f>
        <v>58603.400449912151</v>
      </c>
      <c r="AJ22" s="13">
        <f ca="1">SUMPRODUCT(INDEX(bcEff,,32),INDEX(tlccEubc,,32))</f>
        <v>58973.863628108695</v>
      </c>
      <c r="AK22" s="13">
        <f ca="1">SUMPRODUCT(INDEX(bcEff,,33),INDEX(tlccEubc,,33))</f>
        <v>59346.719739251763</v>
      </c>
      <c r="AL22" s="56">
        <f ca="1">SUMPRODUCT(INDEX(bcEff,,34),INDEX(tlccEubc,,34))</f>
        <v>59721.984610977248</v>
      </c>
      <c r="AM22" s="10"/>
    </row>
    <row r="23" spans="2:39" ht="15">
      <c r="B23" s="10"/>
      <c r="C23" s="16" t="s">
        <v>79</v>
      </c>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5"/>
      <c r="AM23" s="10"/>
    </row>
    <row r="24" spans="2:39" ht="15">
      <c r="B24" s="10"/>
      <c r="C24" s="28" t="str">
        <f>INDEX(_fuel,1)</f>
        <v>Electricity</v>
      </c>
      <c r="D24" s="12" t="s">
        <v>83</v>
      </c>
      <c r="E24" s="39">
        <f ca="1">SUMPRODUCT(INDEX(bcEff,,1),INDEX(tlccFubcElec,,1))</f>
        <v>9738.2639400613371</v>
      </c>
      <c r="F24" s="39">
        <f ca="1">SUMPRODUCT(INDEX(bcEff,,2),INDEX(tlccFubcElec,,2))</f>
        <v>9668.0475616571639</v>
      </c>
      <c r="G24" s="39">
        <f ca="1">SUMPRODUCT(INDEX(bcEff,,3),INDEX(tlccFubcElec,,3))</f>
        <v>9605.8187891824127</v>
      </c>
      <c r="H24" s="39">
        <f ca="1">SUMPRODUCT(INDEX(bcEff,,4),INDEX(tlccFubcElec,,4))</f>
        <v>9546.3697473353604</v>
      </c>
      <c r="I24" s="39">
        <f ca="1">SUMPRODUCT(INDEX(bcEff,,5),INDEX(tlccFubcElec,,5))</f>
        <v>9494.1088565777463</v>
      </c>
      <c r="J24" s="39">
        <f ca="1">SUMPRODUCT(INDEX(bcEff,,6),INDEX(tlccFubcElec,,6))</f>
        <v>9453.3220600448894</v>
      </c>
      <c r="K24" s="39">
        <f ca="1">SUMPRODUCT(INDEX(bcEff,,7),INDEX(tlccFubcElec,,7))</f>
        <v>9419.4622374748396</v>
      </c>
      <c r="L24" s="39">
        <f ca="1">SUMPRODUCT(INDEX(bcEff,,8),INDEX(tlccFubcElec,,8))</f>
        <v>9385.2559199119351</v>
      </c>
      <c r="M24" s="39">
        <f ca="1">SUMPRODUCT(INDEX(bcEff,,9),INDEX(tlccFubcElec,,9))</f>
        <v>9357.6433132094571</v>
      </c>
      <c r="N24" s="39">
        <f ca="1">SUMPRODUCT(INDEX(bcEff,,10),INDEX(tlccFubcElec,,10))</f>
        <v>9338.3713668079654</v>
      </c>
      <c r="O24" s="39">
        <f ca="1">SUMPRODUCT(INDEX(bcEff,,11),INDEX(tlccFubcElec,,11))</f>
        <v>9324.052476064222</v>
      </c>
      <c r="P24" s="39">
        <f ca="1">SUMPRODUCT(INDEX(bcEff,,12),INDEX(tlccFubcElec,,12))</f>
        <v>9311.8925440881721</v>
      </c>
      <c r="Q24" s="39">
        <f ca="1">SUMPRODUCT(INDEX(bcEff,,13),INDEX(tlccFubcElec,,13))</f>
        <v>9302.8198023785608</v>
      </c>
      <c r="R24" s="39">
        <f ca="1">SUMPRODUCT(INDEX(bcEff,,14),INDEX(tlccFubcElec,,14))</f>
        <v>9295.8364754073791</v>
      </c>
      <c r="S24" s="39">
        <f ca="1">SUMPRODUCT(INDEX(bcEff,,15),INDEX(tlccFubcElec,,15))</f>
        <v>9294.5575268500834</v>
      </c>
      <c r="T24" s="39">
        <f ca="1">SUMPRODUCT(INDEX(bcEff,,16),INDEX(tlccFubcElec,,16))</f>
        <v>9295.7223795235768</v>
      </c>
      <c r="U24" s="39">
        <f ca="1">SUMPRODUCT(INDEX(bcEff,,17),INDEX(tlccFubcElec,,17))</f>
        <v>9297.6561871979266</v>
      </c>
      <c r="V24" s="39">
        <f ca="1">SUMPRODUCT(INDEX(bcEff,,18),INDEX(tlccFubcElec,,18))</f>
        <v>9300.6365803093322</v>
      </c>
      <c r="W24" s="39">
        <f ca="1">SUMPRODUCT(INDEX(bcEff,,19),INDEX(tlccFubcElec,,19))</f>
        <v>9303.5376445483453</v>
      </c>
      <c r="X24" s="39">
        <f ca="1">SUMPRODUCT(INDEX(bcEff,,20),INDEX(tlccFubcElec,,20))</f>
        <v>9305.9571746106449</v>
      </c>
      <c r="Y24" s="39">
        <f ca="1">SUMPRODUCT(INDEX(bcEff,,21),INDEX(tlccFubcElec,,21))</f>
        <v>9307.5684885239516</v>
      </c>
      <c r="Z24" s="39">
        <f ca="1">SUMPRODUCT(INDEX(bcEff,,22),INDEX(tlccFubcElec,,22))</f>
        <v>9308.6701736510058</v>
      </c>
      <c r="AA24" s="39">
        <f ca="1">SUMPRODUCT(INDEX(bcEff,,23),INDEX(tlccFubcElec,,23))</f>
        <v>9308.6701736510058</v>
      </c>
      <c r="AB24" s="39">
        <f ca="1">SUMPRODUCT(INDEX(bcEff,,24),INDEX(tlccFubcElec,,24))</f>
        <v>9308.6701736510058</v>
      </c>
      <c r="AC24" s="39">
        <f ca="1">SUMPRODUCT(INDEX(bcEff,,25),INDEX(tlccFubcElec,,25))</f>
        <v>9308.6701736510058</v>
      </c>
      <c r="AD24" s="39">
        <f ca="1">SUMPRODUCT(INDEX(bcEff,,26),INDEX(tlccFubcElec,,26))</f>
        <v>9308.6701736510058</v>
      </c>
      <c r="AE24" s="39">
        <f ca="1">SUMPRODUCT(INDEX(bcEff,,27),INDEX(tlccFubcElec,,27))</f>
        <v>9308.6701736510058</v>
      </c>
      <c r="AF24" s="39">
        <f ca="1">SUMPRODUCT(INDEX(bcEff,,28),INDEX(tlccFubcElec,,28))</f>
        <v>9308.6701736510058</v>
      </c>
      <c r="AG24" s="39">
        <f ca="1">SUMPRODUCT(INDEX(bcEff,,29),INDEX(tlccFubcElec,,29))</f>
        <v>9308.6701736510058</v>
      </c>
      <c r="AH24" s="39">
        <f ca="1">SUMPRODUCT(INDEX(bcEff,,30),INDEX(tlccFubcElec,,30))</f>
        <v>9308.6701736510058</v>
      </c>
      <c r="AI24" s="39">
        <f ca="1">SUMPRODUCT(INDEX(bcEff,,31),INDEX(tlccFubcElec,,31))</f>
        <v>9308.6701736510058</v>
      </c>
      <c r="AJ24" s="39">
        <f ca="1">SUMPRODUCT(INDEX(bcEff,,32),INDEX(tlccFubcElec,,32))</f>
        <v>9308.6701736510058</v>
      </c>
      <c r="AK24" s="39">
        <f ca="1">SUMPRODUCT(INDEX(bcEff,,33),INDEX(tlccFubcElec,,33))</f>
        <v>9308.6701736510058</v>
      </c>
      <c r="AL24" s="40">
        <f ca="1">SUMPRODUCT(INDEX(bcEff,,34),INDEX(tlccFubcElec,,34))</f>
        <v>9308.6701736510058</v>
      </c>
      <c r="AM24" s="10"/>
    </row>
    <row r="25" spans="2:39" ht="15">
      <c r="B25" s="10"/>
      <c r="C25" s="41" t="str">
        <f ca="1">"Stds Case (CSL " &amp; stdCSL &amp; "): " &amp; INDEX(_doName,1,stdCSL+1)</f>
        <v>Stds Case (CSL 5): EL 5</v>
      </c>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3"/>
      <c r="AM25" s="10"/>
    </row>
    <row r="26" spans="2:39" ht="15">
      <c r="B26" s="10"/>
      <c r="C26" s="16" t="s">
        <v>69</v>
      </c>
      <c r="D26" s="12" t="str">
        <f>_yearDol &amp; "$"</f>
        <v>2015$</v>
      </c>
      <c r="E26" s="13">
        <f>SUMPRODUCT(INDEX(polEff,,1),INDEX(IF(E$31&lt;yearC,tlccQubc,IF($E$19&lt;yearC,tlccQubc,tlccQupol)),,1))</f>
        <v>6294.5104559401598</v>
      </c>
      <c r="F26" s="13">
        <f>SUMPRODUCT(INDEX(polEff,,2),INDEX(IF($F$19&lt;yearC,tlccQubc,tlccQupol),,2))</f>
        <v>6294.5104559401598</v>
      </c>
      <c r="G26" s="13">
        <f>SUMPRODUCT(INDEX(polEff,,3),INDEX(IF($G$19&lt;yearC,tlccQubc,tlccQupol),,3))</f>
        <v>6294.5104559401598</v>
      </c>
      <c r="H26" s="13">
        <f ca="1">SUMPRODUCT(INDEX(polEff,,4),INDEX(IF($H$19&lt;yearC,tlccQubc,tlccQupol),,4))</f>
        <v>6850.1812128341408</v>
      </c>
      <c r="I26" s="13">
        <f ca="1">SUMPRODUCT(INDEX(polEff,,5),INDEX(IF($I$19&lt;yearC,tlccQubc,tlccQupol),,5))</f>
        <v>6850.1812128341408</v>
      </c>
      <c r="J26" s="13">
        <f ca="1">SUMPRODUCT(INDEX(polEff,,6),INDEX(tlccQupol,,6))</f>
        <v>6850.1812128341408</v>
      </c>
      <c r="K26" s="13">
        <f ca="1">SUMPRODUCT(INDEX(polEff,,7),INDEX(tlccQupol,,7))</f>
        <v>6850.1812128341408</v>
      </c>
      <c r="L26" s="13">
        <f ca="1">SUMPRODUCT(INDEX(polEff,,8),INDEX(tlccQupol,,8))</f>
        <v>6850.1812128341408</v>
      </c>
      <c r="M26" s="13">
        <f ca="1">SUMPRODUCT(INDEX(polEff,,9),INDEX(tlccQupol,,9))</f>
        <v>6850.1812128341408</v>
      </c>
      <c r="N26" s="13">
        <f ca="1">SUMPRODUCT(INDEX(polEff,,10),INDEX(tlccQupol,,10))</f>
        <v>6850.1812128341408</v>
      </c>
      <c r="O26" s="13">
        <f ca="1">SUMPRODUCT(INDEX(polEff,,11),INDEX(tlccQupol,,11))</f>
        <v>6850.1812128341408</v>
      </c>
      <c r="P26" s="13">
        <f ca="1">SUMPRODUCT(INDEX(polEff,,12),INDEX(tlccQupol,,12))</f>
        <v>6850.1812128341408</v>
      </c>
      <c r="Q26" s="13">
        <f ca="1">SUMPRODUCT(INDEX(polEff,,13),INDEX(tlccQupol,,13))</f>
        <v>6850.1812128341408</v>
      </c>
      <c r="R26" s="13">
        <f ca="1">SUMPRODUCT(INDEX(polEff,,14),INDEX(tlccQupol,,14))</f>
        <v>6850.1812128341408</v>
      </c>
      <c r="S26" s="13">
        <f ca="1">SUMPRODUCT(INDEX(polEff,,15),INDEX(tlccQupol,,15))</f>
        <v>6850.1812128341408</v>
      </c>
      <c r="T26" s="13">
        <f ca="1">SUMPRODUCT(INDEX(polEff,,16),INDEX(tlccQupol,,16))</f>
        <v>6850.1812128341408</v>
      </c>
      <c r="U26" s="13">
        <f ca="1">SUMPRODUCT(INDEX(polEff,,17),INDEX(tlccQupol,,17))</f>
        <v>6850.1812128341408</v>
      </c>
      <c r="V26" s="13">
        <f ca="1">SUMPRODUCT(INDEX(polEff,,18),INDEX(tlccQupol,,18))</f>
        <v>6850.1812128341408</v>
      </c>
      <c r="W26" s="13">
        <f ca="1">SUMPRODUCT(INDEX(polEff,,19),INDEX(tlccQupol,,19))</f>
        <v>6850.1812128341408</v>
      </c>
      <c r="X26" s="13">
        <f ca="1">SUMPRODUCT(INDEX(polEff,,20),INDEX(tlccQupol,,20))</f>
        <v>6850.1812128341408</v>
      </c>
      <c r="Y26" s="13">
        <f ca="1">SUMPRODUCT(INDEX(polEff,,21),INDEX(tlccQupol,,21))</f>
        <v>6850.1812128341408</v>
      </c>
      <c r="Z26" s="13">
        <f ca="1">SUMPRODUCT(INDEX(polEff,,22),INDEX(tlccQupol,,22))</f>
        <v>6850.1812128341408</v>
      </c>
      <c r="AA26" s="13">
        <f ca="1">SUMPRODUCT(INDEX(polEff,,23),INDEX(tlccQupol,,23))</f>
        <v>6850.1812128341408</v>
      </c>
      <c r="AB26" s="13">
        <f ca="1">SUMPRODUCT(INDEX(polEff,,24),INDEX(tlccQupol,,24))</f>
        <v>6850.1812128341408</v>
      </c>
      <c r="AC26" s="13">
        <f ca="1">SUMPRODUCT(INDEX(polEff,,25),INDEX(tlccQupol,,25))</f>
        <v>6850.1812128341408</v>
      </c>
      <c r="AD26" s="13">
        <f ca="1">SUMPRODUCT(INDEX(polEff,,26),INDEX(tlccQupol,,26))</f>
        <v>6850.1812128341408</v>
      </c>
      <c r="AE26" s="13">
        <f ca="1">SUMPRODUCT(INDEX(polEff,,27),INDEX(tlccQupol,,27))</f>
        <v>6850.1812128341408</v>
      </c>
      <c r="AF26" s="13">
        <f ca="1">SUMPRODUCT(INDEX(polEff,,28),INDEX(tlccQupol,,28))</f>
        <v>6850.1812128341408</v>
      </c>
      <c r="AG26" s="13">
        <f ca="1">SUMPRODUCT(INDEX(polEff,,29),INDEX(tlccQupol,,29))</f>
        <v>6850.1812128341408</v>
      </c>
      <c r="AH26" s="13">
        <f ca="1">SUMPRODUCT(INDEX(polEff,,30),INDEX(tlccQupol,,30))</f>
        <v>6850.1812128341408</v>
      </c>
      <c r="AI26" s="13">
        <f ca="1">SUMPRODUCT(INDEX(polEff,,31),INDEX(tlccQupol,,31))</f>
        <v>6850.1812128341408</v>
      </c>
      <c r="AJ26" s="13">
        <f ca="1">SUMPRODUCT(INDEX(polEff,,32),INDEX(tlccQupol,,32))</f>
        <v>6850.1812128341408</v>
      </c>
      <c r="AK26" s="13">
        <f ca="1">SUMPRODUCT(INDEX(polEff,,33),INDEX(tlccQupol,,33))</f>
        <v>6850.1812128341408</v>
      </c>
      <c r="AL26" s="56">
        <f ca="1">SUMPRODUCT(INDEX(polEff,,34),INDEX(tlccQupol,,34))</f>
        <v>6850.1812128341408</v>
      </c>
      <c r="AM26" s="10"/>
    </row>
    <row r="27" spans="2:39" ht="15">
      <c r="B27" s="10"/>
      <c r="C27" s="16" t="str">
        <f>zEO&amp;" Costs"</f>
        <v>Operating Costs</v>
      </c>
      <c r="D27" s="12" t="str">
        <f>_yearDol &amp; "$"</f>
        <v>2015$</v>
      </c>
      <c r="E27" s="13">
        <f ca="1">SUMPRODUCT(INDEX(polEff,,1),INDEX(IF($E$19&lt;yearC,tlccEubc,tlccEupol),,1))</f>
        <v>48327.206344999635</v>
      </c>
      <c r="F27" s="13">
        <f ca="1">SUMPRODUCT(INDEX(polEff,,2),INDEX(IF($F$19&lt;yearC,tlccEubc,tlccEupol),,2))</f>
        <v>48722.674137434282</v>
      </c>
      <c r="G27" s="13">
        <f ca="1">SUMPRODUCT(INDEX(polEff,,3),INDEX(IF($G$19&lt;yearC,tlccEubc,tlccEupol),,3))</f>
        <v>49105.872253082569</v>
      </c>
      <c r="H27" s="13">
        <f ca="1">SUMPRODUCT(INDEX(polEff,,4),INDEX(IF($H$19&lt;yearC,tlccEubc,tlccEupol),,4))</f>
        <v>47318.393564227896</v>
      </c>
      <c r="I27" s="13">
        <f ca="1">SUMPRODUCT(INDEX(polEff,,5),INDEX(IF($I$19&lt;yearC,tlccEubc,tlccEupol),,5))</f>
        <v>47616.429270961395</v>
      </c>
      <c r="J27" s="13">
        <f ca="1">SUMPRODUCT(INDEX(polEff,,6),INDEX(tlccEupol,,6))</f>
        <v>47916.382165010611</v>
      </c>
      <c r="K27" s="13">
        <f ca="1">SUMPRODUCT(INDEX(polEff,,7),INDEX(tlccEupol,,7))</f>
        <v>48218.264870975036</v>
      </c>
      <c r="L27" s="13">
        <f ca="1">SUMPRODUCT(INDEX(polEff,,8),INDEX(tlccEupol,,8))</f>
        <v>48522.090098671018</v>
      </c>
      <c r="M27" s="13">
        <f ca="1">SUMPRODUCT(INDEX(polEff,,9),INDEX(tlccEupol,,9))</f>
        <v>48827.87064372153</v>
      </c>
      <c r="N27" s="13">
        <f ca="1">SUMPRODUCT(INDEX(polEff,,10),INDEX(tlccEupol,,10))</f>
        <v>49135.619388150109</v>
      </c>
      <c r="O27" s="13">
        <f ca="1">SUMPRODUCT(INDEX(polEff,,11),INDEX(tlccEupol,,11))</f>
        <v>49445.349300978982</v>
      </c>
      <c r="P27" s="13">
        <f ca="1">SUMPRODUCT(INDEX(polEff,,12),INDEX(tlccEupol,,12))</f>
        <v>49757.073438831554</v>
      </c>
      <c r="Q27" s="13">
        <f ca="1">SUMPRODUCT(INDEX(polEff,,13),INDEX(tlccEupol,,13))</f>
        <v>50070.804946538919</v>
      </c>
      <c r="R27" s="13">
        <f ca="1">SUMPRODUCT(INDEX(polEff,,14),INDEX(tlccEupol,,14))</f>
        <v>50386.557057751044</v>
      </c>
      <c r="S27" s="13">
        <f ca="1">SUMPRODUCT(INDEX(polEff,,15),INDEX(tlccEupol,,15))</f>
        <v>50704.3430955519</v>
      </c>
      <c r="T27" s="13">
        <f ca="1">SUMPRODUCT(INDEX(polEff,,16),INDEX(tlccEupol,,16))</f>
        <v>51024.176473079147</v>
      </c>
      <c r="U27" s="13">
        <f ca="1">SUMPRODUCT(INDEX(polEff,,17),INDEX(tlccEupol,,17))</f>
        <v>51346.07069414838</v>
      </c>
      <c r="V27" s="13">
        <f ca="1">SUMPRODUCT(INDEX(polEff,,18),INDEX(tlccEupol,,18))</f>
        <v>51670.039353881308</v>
      </c>
      <c r="W27" s="13">
        <f ca="1">SUMPRODUCT(INDEX(polEff,,19),INDEX(tlccEupol,,19))</f>
        <v>51996.096139339075</v>
      </c>
      <c r="X27" s="13">
        <f ca="1">SUMPRODUCT(INDEX(polEff,,20),INDEX(tlccEupol,,20))</f>
        <v>52324.2548301594</v>
      </c>
      <c r="Y27" s="13">
        <f ca="1">SUMPRODUCT(INDEX(polEff,,21),INDEX(tlccEupol,,21))</f>
        <v>52654.529299198781</v>
      </c>
      <c r="Z27" s="13">
        <f ca="1">SUMPRODUCT(INDEX(polEff,,22),INDEX(tlccEupol,,22))</f>
        <v>52986.933513178978</v>
      </c>
      <c r="AA27" s="13">
        <f ca="1">SUMPRODUCT(INDEX(polEff,,23),INDEX(tlccEupol,,23))</f>
        <v>53321.481533337981</v>
      </c>
      <c r="AB27" s="13">
        <f ca="1">SUMPRODUCT(INDEX(polEff,,24),INDEX(tlccEupol,,24))</f>
        <v>53658.187516086022</v>
      </c>
      <c r="AC27" s="13">
        <f ca="1">SUMPRODUCT(INDEX(polEff,,25),INDEX(tlccEupol,,25))</f>
        <v>53997.065713665797</v>
      </c>
      <c r="AD27" s="13">
        <f ca="1">SUMPRODUCT(INDEX(polEff,,26),INDEX(tlccEupol,,26))</f>
        <v>54338.130474817677</v>
      </c>
      <c r="AE27" s="13">
        <f ca="1">SUMPRODUCT(INDEX(polEff,,27),INDEX(tlccEupol,,27))</f>
        <v>54681.396245449483</v>
      </c>
      <c r="AF27" s="13">
        <f ca="1">SUMPRODUCT(INDEX(polEff,,28),INDEX(tlccEupol,,28))</f>
        <v>55026.877569311189</v>
      </c>
      <c r="AG27" s="13">
        <f ca="1">SUMPRODUCT(INDEX(polEff,,29),INDEX(tlccEupol,,29))</f>
        <v>55374.589088674133</v>
      </c>
      <c r="AH27" s="13">
        <f ca="1">SUMPRODUCT(INDEX(polEff,,30),INDEX(tlccEupol,,30))</f>
        <v>55724.545545015448</v>
      </c>
      <c r="AI27" s="13">
        <f ca="1">SUMPRODUCT(INDEX(polEff,,31),INDEX(tlccEupol,,31))</f>
        <v>56076.761779707005</v>
      </c>
      <c r="AJ27" s="13">
        <f ca="1">SUMPRODUCT(INDEX(polEff,,32),INDEX(tlccEupol,,32))</f>
        <v>56431.252734709458</v>
      </c>
      <c r="AK27" s="13">
        <f ca="1">SUMPRODUCT(INDEX(polEff,,33),INDEX(tlccEupol,,33))</f>
        <v>56788.033453271171</v>
      </c>
      <c r="AL27" s="56">
        <f ca="1">SUMPRODUCT(INDEX(polEff,,34),INDEX(tlccEupol,,34))</f>
        <v>57147.119080632125</v>
      </c>
      <c r="AM27" s="10"/>
    </row>
    <row r="28" spans="2:39" ht="15">
      <c r="B28" s="10"/>
      <c r="C28" s="16" t="s">
        <v>79</v>
      </c>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5"/>
      <c r="AM28" s="10"/>
    </row>
    <row r="29" spans="2:39" ht="15">
      <c r="B29" s="10"/>
      <c r="C29" s="45" t="str">
        <f>INDEX(_fuel,1)</f>
        <v>Electricity</v>
      </c>
      <c r="D29" s="18" t="s">
        <v>83</v>
      </c>
      <c r="E29" s="49">
        <f ca="1">SUMPRODUCT(INDEX(polEff,,1),INDEX(IF($E$19&lt;yearC,tlccFubcElec,tlccFupolElec),,1))</f>
        <v>9738.2639400613371</v>
      </c>
      <c r="F29" s="49">
        <f ca="1">SUMPRODUCT(INDEX(polEff,,2),INDEX(IF($F$19&lt;yearC,tlccFubcElec,tlccFupolElec),,2))</f>
        <v>9668.0475616571639</v>
      </c>
      <c r="G29" s="49">
        <f ca="1">SUMPRODUCT(INDEX(polEff,,3),INDEX(IF($G$19&lt;yearC,tlccFubcElec,tlccFupolElec),,3))</f>
        <v>9605.8187891824127</v>
      </c>
      <c r="H29" s="49">
        <f ca="1">SUMPRODUCT(INDEX(polEff,,4),INDEX(IF($H$19&lt;yearC,tlccFubcElec,tlccFupolElec),,4))</f>
        <v>9134.7856621369356</v>
      </c>
      <c r="I29" s="49">
        <f ca="1">SUMPRODUCT(INDEX(polEff,,5),INDEX(IF($I$19&lt;yearC,tlccFubcElec,tlccFupolElec),,5))</f>
        <v>9084.7779578243681</v>
      </c>
      <c r="J29" s="49">
        <f ca="1">SUMPRODUCT(INDEX(polEff,,6),INDEX(tlccFupolElec,,6))</f>
        <v>9045.7496513545921</v>
      </c>
      <c r="K29" s="49">
        <f ca="1">SUMPRODUCT(INDEX(polEff,,7),INDEX(tlccFupolElec,,7))</f>
        <v>9013.3496679135842</v>
      </c>
      <c r="L29" s="49">
        <f ca="1">SUMPRODUCT(INDEX(polEff,,8),INDEX(tlccFupolElec,,8))</f>
        <v>8980.6181283338046</v>
      </c>
      <c r="M29" s="49">
        <f ca="1">SUMPRODUCT(INDEX(polEff,,9),INDEX(tlccFupolElec,,9))</f>
        <v>8954.1960170521379</v>
      </c>
      <c r="N29" s="49">
        <f ca="1">SUMPRODUCT(INDEX(polEff,,10),INDEX(tlccFupolElec,,10))</f>
        <v>8935.7549651832906</v>
      </c>
      <c r="O29" s="49">
        <f ca="1">SUMPRODUCT(INDEX(polEff,,11),INDEX(tlccFupolElec,,11))</f>
        <v>8922.0534219448073</v>
      </c>
      <c r="P29" s="49">
        <f ca="1">SUMPRODUCT(INDEX(polEff,,12),INDEX(tlccFupolElec,,12))</f>
        <v>8910.4177556960349</v>
      </c>
      <c r="Q29" s="49">
        <f ca="1">SUMPRODUCT(INDEX(polEff,,13),INDEX(tlccFupolElec,,13))</f>
        <v>8901.7361779781422</v>
      </c>
      <c r="R29" s="49">
        <f ca="1">SUMPRODUCT(INDEX(polEff,,14),INDEX(tlccFupolElec,,14))</f>
        <v>8895.0539315558144</v>
      </c>
      <c r="S29" s="49">
        <f ca="1">SUMPRODUCT(INDEX(polEff,,15),INDEX(tlccFupolElec,,15))</f>
        <v>8893.8301238411514</v>
      </c>
      <c r="T29" s="49">
        <f ca="1">SUMPRODUCT(INDEX(polEff,,16),INDEX(tlccFupolElec,,16))</f>
        <v>8894.9447548246535</v>
      </c>
      <c r="U29" s="49">
        <f ca="1">SUMPRODUCT(INDEX(polEff,,17),INDEX(tlccFupolElec,,17))</f>
        <v>8896.7951879300635</v>
      </c>
      <c r="V29" s="49">
        <f ca="1">SUMPRODUCT(INDEX(polEff,,18),INDEX(tlccFupolElec,,18))</f>
        <v>8899.6470837797096</v>
      </c>
      <c r="W29" s="49">
        <f ca="1">SUMPRODUCT(INDEX(polEff,,19),INDEX(tlccFupolElec,,19))</f>
        <v>8902.423070957755</v>
      </c>
      <c r="X29" s="49">
        <f ca="1">SUMPRODUCT(INDEX(polEff,,20),INDEX(tlccFupolElec,,20))</f>
        <v>8904.7382849194146</v>
      </c>
      <c r="Y29" s="49">
        <f ca="1">SUMPRODUCT(INDEX(polEff,,21),INDEX(tlccFupolElec,,21))</f>
        <v>8906.2801283239805</v>
      </c>
      <c r="Z29" s="49">
        <f ca="1">SUMPRODUCT(INDEX(polEff,,22),INDEX(tlccFupolElec,,22))</f>
        <v>8907.3343151792087</v>
      </c>
      <c r="AA29" s="49">
        <f ca="1">SUMPRODUCT(INDEX(polEff,,23),INDEX(tlccFupolElec,,23))</f>
        <v>8907.3343151792087</v>
      </c>
      <c r="AB29" s="49">
        <f ca="1">SUMPRODUCT(INDEX(polEff,,24),INDEX(tlccFupolElec,,24))</f>
        <v>8907.3343151792087</v>
      </c>
      <c r="AC29" s="49">
        <f ca="1">SUMPRODUCT(INDEX(polEff,,25),INDEX(tlccFupolElec,,25))</f>
        <v>8907.3343151792087</v>
      </c>
      <c r="AD29" s="49">
        <f ca="1">SUMPRODUCT(INDEX(polEff,,26),INDEX(tlccFupolElec,,26))</f>
        <v>8907.3343151792087</v>
      </c>
      <c r="AE29" s="49">
        <f ca="1">SUMPRODUCT(INDEX(polEff,,27),INDEX(tlccFupolElec,,27))</f>
        <v>8907.3343151792087</v>
      </c>
      <c r="AF29" s="49">
        <f ca="1">SUMPRODUCT(INDEX(polEff,,28),INDEX(tlccFupolElec,,28))</f>
        <v>8907.3343151792087</v>
      </c>
      <c r="AG29" s="49">
        <f ca="1">SUMPRODUCT(INDEX(polEff,,29),INDEX(tlccFupolElec,,29))</f>
        <v>8907.3343151792087</v>
      </c>
      <c r="AH29" s="49">
        <f ca="1">SUMPRODUCT(INDEX(polEff,,30),INDEX(tlccFupolElec,,30))</f>
        <v>8907.3343151792087</v>
      </c>
      <c r="AI29" s="49">
        <f ca="1">SUMPRODUCT(INDEX(polEff,,31),INDEX(tlccFupolElec,,31))</f>
        <v>8907.3343151792087</v>
      </c>
      <c r="AJ29" s="49">
        <f ca="1">SUMPRODUCT(INDEX(polEff,,32),INDEX(tlccFupolElec,,32))</f>
        <v>8907.3343151792087</v>
      </c>
      <c r="AK29" s="49">
        <f ca="1">SUMPRODUCT(INDEX(polEff,,33),INDEX(tlccFupolElec,,33))</f>
        <v>8907.3343151792087</v>
      </c>
      <c r="AL29" s="50">
        <f ca="1">SUMPRODUCT(INDEX(polEff,,34),INDEX(tlccFupolElec,,34))</f>
        <v>8907.3343151792087</v>
      </c>
      <c r="AM29" s="10"/>
    </row>
    <row r="30" spans="2:39" ht="15">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row>
    <row r="31" spans="2:39" ht="15">
      <c r="B31" s="10"/>
      <c r="C31" s="22" t="s">
        <v>91</v>
      </c>
      <c r="D31" s="23"/>
      <c r="E31" s="24">
        <f t="array" ref="E31:AL31">_yS</f>
        <v>2019</v>
      </c>
      <c r="F31" s="24">
        <v>2020</v>
      </c>
      <c r="G31" s="24">
        <v>2021</v>
      </c>
      <c r="H31" s="24">
        <v>2022</v>
      </c>
      <c r="I31" s="24">
        <v>2023</v>
      </c>
      <c r="J31" s="24">
        <v>2024</v>
      </c>
      <c r="K31" s="24">
        <v>2025</v>
      </c>
      <c r="L31" s="24">
        <v>2026</v>
      </c>
      <c r="M31" s="24">
        <v>2027</v>
      </c>
      <c r="N31" s="24">
        <v>2028</v>
      </c>
      <c r="O31" s="24">
        <v>2029</v>
      </c>
      <c r="P31" s="24">
        <v>2030</v>
      </c>
      <c r="Q31" s="24">
        <v>2031</v>
      </c>
      <c r="R31" s="24">
        <v>2032</v>
      </c>
      <c r="S31" s="24">
        <v>2033</v>
      </c>
      <c r="T31" s="24">
        <v>2034</v>
      </c>
      <c r="U31" s="24">
        <v>2035</v>
      </c>
      <c r="V31" s="24">
        <v>2036</v>
      </c>
      <c r="W31" s="24">
        <v>2037</v>
      </c>
      <c r="X31" s="24">
        <v>2038</v>
      </c>
      <c r="Y31" s="24">
        <v>2039</v>
      </c>
      <c r="Z31" s="24">
        <v>2040</v>
      </c>
      <c r="AA31" s="24">
        <v>2041</v>
      </c>
      <c r="AB31" s="24">
        <v>2042</v>
      </c>
      <c r="AC31" s="24">
        <v>2043</v>
      </c>
      <c r="AD31" s="24">
        <v>2044</v>
      </c>
      <c r="AE31" s="24">
        <v>2045</v>
      </c>
      <c r="AF31" s="24">
        <v>2046</v>
      </c>
      <c r="AG31" s="24">
        <v>2047</v>
      </c>
      <c r="AH31" s="24">
        <v>2048</v>
      </c>
      <c r="AI31" s="24">
        <v>2049</v>
      </c>
      <c r="AJ31" s="24">
        <v>2050</v>
      </c>
      <c r="AK31" s="24">
        <v>2051</v>
      </c>
      <c r="AL31" s="25">
        <v>2052</v>
      </c>
      <c r="AM31" s="10"/>
    </row>
    <row r="32" spans="2:39" ht="15">
      <c r="B32" s="10"/>
      <c r="C32" s="11" t="str">
        <f>"EL 0: " &amp; INDEX(_doName,1,1)</f>
        <v>EL 0: EL 0</v>
      </c>
      <c r="D32" s="12" t="s">
        <v>47</v>
      </c>
      <c r="E32" s="29">
        <f t="array" ref="E32:E38">IF($E$31&lt;yearC,INDEX(refEff,,1),MMULT(mRoll,INDEX(refEff,,1))+INDEX(elastAdjust,,1))</f>
        <v>8.2000000000000003E-2</v>
      </c>
      <c r="F32" s="29">
        <f t="array" ref="F32:F38">IF($F$31&lt;yearC,INDEX(refEff,,2),MMULT(mRoll,INDEX(refEff,,2))+INDEX(elastAdjust,,2))</f>
        <v>8.2000000000000003E-2</v>
      </c>
      <c r="G32" s="29">
        <f t="array" ref="G32:G38">IF($G$31&lt;yearC,INDEX(refEff,,3),MMULT(mRoll,INDEX(refEff,,3))+INDEX(elastAdjust,,3))</f>
        <v>8.2000000000000003E-2</v>
      </c>
      <c r="H32" s="29">
        <f t="array" aca="1" ref="H32:H38" ca="1">IF($H$31&lt;yearC,INDEX(refEff,,4),MMULT(mRoll,INDEX(refEff,,4))+INDEX(elastAdjust,,4))</f>
        <v>0</v>
      </c>
      <c r="I32" s="29">
        <f t="array" aca="1" ref="I32:I38" ca="1">IF($I$31&lt;yearC,INDEX(refEff,,5),MMULT(mRoll,INDEX(refEff,,5))+INDEX(elastAdjust,,5))</f>
        <v>0</v>
      </c>
      <c r="J32" s="29">
        <f t="array" aca="1" ref="J32:J38" ca="1">MMULT(mRoll,INDEX(refEff,,6))+INDEX(elastAdjust,,6)</f>
        <v>0</v>
      </c>
      <c r="K32" s="29">
        <f t="array" aca="1" ref="K32:K38" ca="1">MMULT(mRoll,INDEX(refEff,,7))+INDEX(elastAdjust,,7)</f>
        <v>0</v>
      </c>
      <c r="L32" s="29">
        <f t="array" aca="1" ref="L32:L38" ca="1">MMULT(mRoll,INDEX(refEff,,8))+INDEX(elastAdjust,,8)</f>
        <v>0</v>
      </c>
      <c r="M32" s="29">
        <f t="array" aca="1" ref="M32:M38" ca="1">MMULT(mRoll,INDEX(refEff,,9))+INDEX(elastAdjust,,9)</f>
        <v>0</v>
      </c>
      <c r="N32" s="29">
        <f t="array" aca="1" ref="N32:N38" ca="1">MMULT(mRoll,INDEX(refEff,,10))+INDEX(elastAdjust,,10)</f>
        <v>0</v>
      </c>
      <c r="O32" s="29">
        <f t="array" aca="1" ref="O32:O38" ca="1">MMULT(mRoll,INDEX(refEff,,11))+INDEX(elastAdjust,,11)</f>
        <v>0</v>
      </c>
      <c r="P32" s="29">
        <f t="array" aca="1" ref="P32:P38" ca="1">MMULT(mRoll,INDEX(refEff,,12))+INDEX(elastAdjust,,12)</f>
        <v>0</v>
      </c>
      <c r="Q32" s="29">
        <f t="array" aca="1" ref="Q32:Q38" ca="1">MMULT(mRoll,INDEX(refEff,,13))+INDEX(elastAdjust,,13)</f>
        <v>0</v>
      </c>
      <c r="R32" s="29">
        <f t="array" aca="1" ref="R32:R38" ca="1">MMULT(mRoll,INDEX(refEff,,14))+INDEX(elastAdjust,,14)</f>
        <v>0</v>
      </c>
      <c r="S32" s="29">
        <f t="array" aca="1" ref="S32:S38" ca="1">MMULT(mRoll,INDEX(refEff,,15))+INDEX(elastAdjust,,15)</f>
        <v>0</v>
      </c>
      <c r="T32" s="29">
        <f t="array" aca="1" ref="T32:T38" ca="1">MMULT(mRoll,INDEX(refEff,,16))+INDEX(elastAdjust,,16)</f>
        <v>0</v>
      </c>
      <c r="U32" s="29">
        <f t="array" aca="1" ref="U32:U38" ca="1">MMULT(mRoll,INDEX(refEff,,17))+INDEX(elastAdjust,,17)</f>
        <v>0</v>
      </c>
      <c r="V32" s="29">
        <f t="array" aca="1" ref="V32:V38" ca="1">MMULT(mRoll,INDEX(refEff,,18))+INDEX(elastAdjust,,18)</f>
        <v>0</v>
      </c>
      <c r="W32" s="29">
        <f t="array" aca="1" ref="W32:W38" ca="1">MMULT(mRoll,INDEX(refEff,,19))+INDEX(elastAdjust,,19)</f>
        <v>0</v>
      </c>
      <c r="X32" s="29">
        <f t="array" aca="1" ref="X32:X38" ca="1">MMULT(mRoll,INDEX(refEff,,20))+INDEX(elastAdjust,,20)</f>
        <v>0</v>
      </c>
      <c r="Y32" s="29">
        <f t="array" aca="1" ref="Y32:Y38" ca="1">MMULT(mRoll,INDEX(refEff,,21))+INDEX(elastAdjust,,21)</f>
        <v>0</v>
      </c>
      <c r="Z32" s="29">
        <f t="array" aca="1" ref="Z32:Z38" ca="1">MMULT(mRoll,INDEX(refEff,,22))+INDEX(elastAdjust,,22)</f>
        <v>0</v>
      </c>
      <c r="AA32" s="29">
        <f t="array" aca="1" ref="AA32:AA38" ca="1">MMULT(mRoll,INDEX(refEff,,23))+INDEX(elastAdjust,,23)</f>
        <v>0</v>
      </c>
      <c r="AB32" s="29">
        <f t="array" aca="1" ref="AB32:AB38" ca="1">MMULT(mRoll,INDEX(refEff,,24))+INDEX(elastAdjust,,24)</f>
        <v>0</v>
      </c>
      <c r="AC32" s="29">
        <f t="array" aca="1" ref="AC32:AC38" ca="1">MMULT(mRoll,INDEX(refEff,,25))+INDEX(elastAdjust,,25)</f>
        <v>0</v>
      </c>
      <c r="AD32" s="29">
        <f t="array" aca="1" ref="AD32:AD38" ca="1">MMULT(mRoll,INDEX(refEff,,26))+INDEX(elastAdjust,,26)</f>
        <v>0</v>
      </c>
      <c r="AE32" s="29">
        <f t="array" aca="1" ref="AE32:AE38" ca="1">MMULT(mRoll,INDEX(refEff,,27))+INDEX(elastAdjust,,27)</f>
        <v>0</v>
      </c>
      <c r="AF32" s="29">
        <f t="array" aca="1" ref="AF32:AF38" ca="1">MMULT(mRoll,INDEX(refEff,,28))+INDEX(elastAdjust,,28)</f>
        <v>0</v>
      </c>
      <c r="AG32" s="29">
        <f t="array" aca="1" ref="AG32:AG38" ca="1">MMULT(mRoll,INDEX(refEff,,29))+INDEX(elastAdjust,,29)</f>
        <v>0</v>
      </c>
      <c r="AH32" s="29">
        <f t="array" aca="1" ref="AH32:AH38" ca="1">MMULT(mRoll,INDEX(refEff,,30))+INDEX(elastAdjust,,30)</f>
        <v>0</v>
      </c>
      <c r="AI32" s="29">
        <f t="array" aca="1" ref="AI32:AI38" ca="1">MMULT(mRoll,INDEX(refEff,,31))+INDEX(elastAdjust,,31)</f>
        <v>0</v>
      </c>
      <c r="AJ32" s="29">
        <f t="array" aca="1" ref="AJ32:AJ38" ca="1">MMULT(mRoll,INDEX(refEff,,32))+INDEX(elastAdjust,,32)</f>
        <v>0</v>
      </c>
      <c r="AK32" s="29">
        <f t="array" aca="1" ref="AK32:AK38" ca="1">MMULT(mRoll,INDEX(refEff,,33))+INDEX(elastAdjust,,33)</f>
        <v>0</v>
      </c>
      <c r="AL32" s="44">
        <f t="array" aca="1" ref="AL32:AL38" ca="1">MMULT(mRoll,INDEX(refEff,,34))+INDEX(elastAdjust,,34)</f>
        <v>0</v>
      </c>
      <c r="AM32" s="10"/>
    </row>
    <row r="33" spans="2:39" ht="15">
      <c r="B33" s="10"/>
      <c r="C33" s="11" t="str">
        <f>"EL 1: " &amp; INDEX(_doName,1,2)</f>
        <v>EL 1: EL 1</v>
      </c>
      <c r="D33" s="12" t="s">
        <v>47</v>
      </c>
      <c r="E33" s="29">
        <v>2.1000000000000001E-2</v>
      </c>
      <c r="F33" s="29">
        <v>2.1000000000000001E-2</v>
      </c>
      <c r="G33" s="29">
        <v>2.1000000000000001E-2</v>
      </c>
      <c r="H33" s="29">
        <f ca="1"/>
        <v>0</v>
      </c>
      <c r="I33" s="29">
        <f ca="1"/>
        <v>0</v>
      </c>
      <c r="J33" s="29">
        <f ca="1"/>
        <v>0</v>
      </c>
      <c r="K33" s="29">
        <f ca="1"/>
        <v>0</v>
      </c>
      <c r="L33" s="29">
        <f ca="1"/>
        <v>0</v>
      </c>
      <c r="M33" s="29">
        <f ca="1"/>
        <v>0</v>
      </c>
      <c r="N33" s="29">
        <f ca="1"/>
        <v>0</v>
      </c>
      <c r="O33" s="29">
        <f ca="1"/>
        <v>0</v>
      </c>
      <c r="P33" s="29">
        <f ca="1"/>
        <v>0</v>
      </c>
      <c r="Q33" s="29">
        <f ca="1"/>
        <v>0</v>
      </c>
      <c r="R33" s="29">
        <f ca="1"/>
        <v>0</v>
      </c>
      <c r="S33" s="29">
        <f ca="1"/>
        <v>0</v>
      </c>
      <c r="T33" s="29">
        <f ca="1"/>
        <v>0</v>
      </c>
      <c r="U33" s="29">
        <f ca="1"/>
        <v>0</v>
      </c>
      <c r="V33" s="29">
        <f ca="1"/>
        <v>0</v>
      </c>
      <c r="W33" s="29">
        <f ca="1"/>
        <v>0</v>
      </c>
      <c r="X33" s="29">
        <f ca="1"/>
        <v>0</v>
      </c>
      <c r="Y33" s="29">
        <f ca="1"/>
        <v>0</v>
      </c>
      <c r="Z33" s="29">
        <f ca="1"/>
        <v>0</v>
      </c>
      <c r="AA33" s="29">
        <f ca="1"/>
        <v>0</v>
      </c>
      <c r="AB33" s="29">
        <f ca="1"/>
        <v>0</v>
      </c>
      <c r="AC33" s="29">
        <f ca="1"/>
        <v>0</v>
      </c>
      <c r="AD33" s="29">
        <f ca="1"/>
        <v>0</v>
      </c>
      <c r="AE33" s="29">
        <f ca="1"/>
        <v>0</v>
      </c>
      <c r="AF33" s="29">
        <f ca="1"/>
        <v>0</v>
      </c>
      <c r="AG33" s="29">
        <f ca="1"/>
        <v>0</v>
      </c>
      <c r="AH33" s="29">
        <f ca="1"/>
        <v>0</v>
      </c>
      <c r="AI33" s="29">
        <f ca="1"/>
        <v>0</v>
      </c>
      <c r="AJ33" s="29">
        <f ca="1"/>
        <v>0</v>
      </c>
      <c r="AK33" s="29">
        <f ca="1"/>
        <v>0</v>
      </c>
      <c r="AL33" s="44">
        <f ca="1"/>
        <v>0</v>
      </c>
      <c r="AM33" s="10"/>
    </row>
    <row r="34" spans="2:39" ht="15">
      <c r="B34" s="10"/>
      <c r="C34" s="11" t="str">
        <f>"EL 2: " &amp; INDEX(_doName,1,3)</f>
        <v>EL 2: EL 2</v>
      </c>
      <c r="D34" s="12" t="s">
        <v>47</v>
      </c>
      <c r="E34" s="29">
        <v>3.6999999999999998E-2</v>
      </c>
      <c r="F34" s="29">
        <v>3.6999999999999998E-2</v>
      </c>
      <c r="G34" s="29">
        <v>3.6999999999999998E-2</v>
      </c>
      <c r="H34" s="29">
        <f ca="1"/>
        <v>0</v>
      </c>
      <c r="I34" s="29">
        <f ca="1"/>
        <v>0</v>
      </c>
      <c r="J34" s="29">
        <f ca="1"/>
        <v>0</v>
      </c>
      <c r="K34" s="29">
        <f ca="1"/>
        <v>0</v>
      </c>
      <c r="L34" s="29">
        <f ca="1"/>
        <v>0</v>
      </c>
      <c r="M34" s="29">
        <f ca="1"/>
        <v>0</v>
      </c>
      <c r="N34" s="29">
        <f ca="1"/>
        <v>0</v>
      </c>
      <c r="O34" s="29">
        <f ca="1"/>
        <v>0</v>
      </c>
      <c r="P34" s="29">
        <f ca="1"/>
        <v>0</v>
      </c>
      <c r="Q34" s="29">
        <f ca="1"/>
        <v>0</v>
      </c>
      <c r="R34" s="29">
        <f ca="1"/>
        <v>0</v>
      </c>
      <c r="S34" s="29">
        <f ca="1"/>
        <v>0</v>
      </c>
      <c r="T34" s="29">
        <f ca="1"/>
        <v>0</v>
      </c>
      <c r="U34" s="29">
        <f ca="1"/>
        <v>0</v>
      </c>
      <c r="V34" s="29">
        <f ca="1"/>
        <v>0</v>
      </c>
      <c r="W34" s="29">
        <f ca="1"/>
        <v>0</v>
      </c>
      <c r="X34" s="29">
        <f ca="1"/>
        <v>0</v>
      </c>
      <c r="Y34" s="29">
        <f ca="1"/>
        <v>0</v>
      </c>
      <c r="Z34" s="29">
        <f ca="1"/>
        <v>0</v>
      </c>
      <c r="AA34" s="29">
        <f ca="1"/>
        <v>0</v>
      </c>
      <c r="AB34" s="29">
        <f ca="1"/>
        <v>0</v>
      </c>
      <c r="AC34" s="29">
        <f ca="1"/>
        <v>0</v>
      </c>
      <c r="AD34" s="29">
        <f ca="1"/>
        <v>0</v>
      </c>
      <c r="AE34" s="29">
        <f ca="1"/>
        <v>0</v>
      </c>
      <c r="AF34" s="29">
        <f ca="1"/>
        <v>0</v>
      </c>
      <c r="AG34" s="29">
        <f ca="1"/>
        <v>0</v>
      </c>
      <c r="AH34" s="29">
        <f ca="1"/>
        <v>0</v>
      </c>
      <c r="AI34" s="29">
        <f ca="1"/>
        <v>0</v>
      </c>
      <c r="AJ34" s="29">
        <f ca="1"/>
        <v>0</v>
      </c>
      <c r="AK34" s="29">
        <f ca="1"/>
        <v>0</v>
      </c>
      <c r="AL34" s="44">
        <f ca="1"/>
        <v>0</v>
      </c>
      <c r="AM34" s="10"/>
    </row>
    <row r="35" spans="2:39" ht="15">
      <c r="B35" s="10"/>
      <c r="C35" s="11" t="str">
        <f>"EL 3: " &amp; INDEX(_doName,1,4)</f>
        <v>EL 3: EL 3</v>
      </c>
      <c r="D35" s="12" t="s">
        <v>47</v>
      </c>
      <c r="E35" s="29">
        <v>4.4999999999999998E-2</v>
      </c>
      <c r="F35" s="29">
        <v>4.4999999999999998E-2</v>
      </c>
      <c r="G35" s="29">
        <v>4.4999999999999998E-2</v>
      </c>
      <c r="H35" s="29">
        <f ca="1"/>
        <v>0</v>
      </c>
      <c r="I35" s="29">
        <f ca="1"/>
        <v>0</v>
      </c>
      <c r="J35" s="29">
        <f ca="1"/>
        <v>0</v>
      </c>
      <c r="K35" s="29">
        <f ca="1"/>
        <v>0</v>
      </c>
      <c r="L35" s="29">
        <f ca="1"/>
        <v>0</v>
      </c>
      <c r="M35" s="29">
        <f ca="1"/>
        <v>0</v>
      </c>
      <c r="N35" s="29">
        <f ca="1"/>
        <v>0</v>
      </c>
      <c r="O35" s="29">
        <f ca="1"/>
        <v>0</v>
      </c>
      <c r="P35" s="29">
        <f ca="1"/>
        <v>0</v>
      </c>
      <c r="Q35" s="29">
        <f ca="1"/>
        <v>0</v>
      </c>
      <c r="R35" s="29">
        <f ca="1"/>
        <v>0</v>
      </c>
      <c r="S35" s="29">
        <f ca="1"/>
        <v>0</v>
      </c>
      <c r="T35" s="29">
        <f ca="1"/>
        <v>0</v>
      </c>
      <c r="U35" s="29">
        <f ca="1"/>
        <v>0</v>
      </c>
      <c r="V35" s="29">
        <f ca="1"/>
        <v>0</v>
      </c>
      <c r="W35" s="29">
        <f ca="1"/>
        <v>0</v>
      </c>
      <c r="X35" s="29">
        <f ca="1"/>
        <v>0</v>
      </c>
      <c r="Y35" s="29">
        <f ca="1"/>
        <v>0</v>
      </c>
      <c r="Z35" s="29">
        <f ca="1"/>
        <v>0</v>
      </c>
      <c r="AA35" s="29">
        <f ca="1"/>
        <v>0</v>
      </c>
      <c r="AB35" s="29">
        <f ca="1"/>
        <v>0</v>
      </c>
      <c r="AC35" s="29">
        <f ca="1"/>
        <v>0</v>
      </c>
      <c r="AD35" s="29">
        <f ca="1"/>
        <v>0</v>
      </c>
      <c r="AE35" s="29">
        <f ca="1"/>
        <v>0</v>
      </c>
      <c r="AF35" s="29">
        <f ca="1"/>
        <v>0</v>
      </c>
      <c r="AG35" s="29">
        <f ca="1"/>
        <v>0</v>
      </c>
      <c r="AH35" s="29">
        <f ca="1"/>
        <v>0</v>
      </c>
      <c r="AI35" s="29">
        <f ca="1"/>
        <v>0</v>
      </c>
      <c r="AJ35" s="29">
        <f ca="1"/>
        <v>0</v>
      </c>
      <c r="AK35" s="29">
        <f ca="1"/>
        <v>0</v>
      </c>
      <c r="AL35" s="44">
        <f ca="1"/>
        <v>0</v>
      </c>
      <c r="AM35" s="10"/>
    </row>
    <row r="36" spans="2:39" ht="15">
      <c r="B36" s="10"/>
      <c r="C36" s="11" t="str">
        <f>"EL 4: " &amp; INDEX(_doName,1,5)</f>
        <v>EL 4: EL 4</v>
      </c>
      <c r="D36" s="12" t="s">
        <v>47</v>
      </c>
      <c r="E36" s="29">
        <v>6.6000000000000003E-2</v>
      </c>
      <c r="F36" s="29">
        <v>6.6000000000000003E-2</v>
      </c>
      <c r="G36" s="29">
        <v>6.6000000000000003E-2</v>
      </c>
      <c r="H36" s="29">
        <f ca="1"/>
        <v>0</v>
      </c>
      <c r="I36" s="29">
        <f ca="1"/>
        <v>0</v>
      </c>
      <c r="J36" s="29">
        <f ca="1"/>
        <v>0</v>
      </c>
      <c r="K36" s="29">
        <f ca="1"/>
        <v>0</v>
      </c>
      <c r="L36" s="29">
        <f ca="1"/>
        <v>0</v>
      </c>
      <c r="M36" s="29">
        <f ca="1"/>
        <v>0</v>
      </c>
      <c r="N36" s="29">
        <f ca="1"/>
        <v>0</v>
      </c>
      <c r="O36" s="29">
        <f ca="1"/>
        <v>0</v>
      </c>
      <c r="P36" s="29">
        <f ca="1"/>
        <v>0</v>
      </c>
      <c r="Q36" s="29">
        <f ca="1"/>
        <v>0</v>
      </c>
      <c r="R36" s="29">
        <f ca="1"/>
        <v>0</v>
      </c>
      <c r="S36" s="29">
        <f ca="1"/>
        <v>0</v>
      </c>
      <c r="T36" s="29">
        <f ca="1"/>
        <v>0</v>
      </c>
      <c r="U36" s="29">
        <f ca="1"/>
        <v>0</v>
      </c>
      <c r="V36" s="29">
        <f ca="1"/>
        <v>0</v>
      </c>
      <c r="W36" s="29">
        <f ca="1"/>
        <v>0</v>
      </c>
      <c r="X36" s="29">
        <f ca="1"/>
        <v>0</v>
      </c>
      <c r="Y36" s="29">
        <f ca="1"/>
        <v>0</v>
      </c>
      <c r="Z36" s="29">
        <f ca="1"/>
        <v>0</v>
      </c>
      <c r="AA36" s="29">
        <f ca="1"/>
        <v>0</v>
      </c>
      <c r="AB36" s="29">
        <f ca="1"/>
        <v>0</v>
      </c>
      <c r="AC36" s="29">
        <f ca="1"/>
        <v>0</v>
      </c>
      <c r="AD36" s="29">
        <f ca="1"/>
        <v>0</v>
      </c>
      <c r="AE36" s="29">
        <f ca="1"/>
        <v>0</v>
      </c>
      <c r="AF36" s="29">
        <f ca="1"/>
        <v>0</v>
      </c>
      <c r="AG36" s="29">
        <f ca="1"/>
        <v>0</v>
      </c>
      <c r="AH36" s="29">
        <f ca="1"/>
        <v>0</v>
      </c>
      <c r="AI36" s="29">
        <f ca="1"/>
        <v>0</v>
      </c>
      <c r="AJ36" s="29">
        <f ca="1"/>
        <v>0</v>
      </c>
      <c r="AK36" s="29">
        <f ca="1"/>
        <v>0</v>
      </c>
      <c r="AL36" s="44">
        <f ca="1"/>
        <v>0</v>
      </c>
      <c r="AM36" s="10"/>
    </row>
    <row r="37" spans="2:39" ht="15">
      <c r="B37" s="10"/>
      <c r="C37" s="11" t="str">
        <f>"EL 5: " &amp; INDEX(_doName,1,6)</f>
        <v>EL 5: EL 5</v>
      </c>
      <c r="D37" s="12" t="s">
        <v>47</v>
      </c>
      <c r="E37" s="29">
        <v>0.33200000000000002</v>
      </c>
      <c r="F37" s="29">
        <v>0.33200000000000002</v>
      </c>
      <c r="G37" s="29">
        <v>0.33200000000000002</v>
      </c>
      <c r="H37" s="29">
        <f ca="1"/>
        <v>0.58299999999999996</v>
      </c>
      <c r="I37" s="29">
        <f ca="1"/>
        <v>0.58299999999999996</v>
      </c>
      <c r="J37" s="29">
        <f ca="1"/>
        <v>0.58299999999999996</v>
      </c>
      <c r="K37" s="29">
        <f ca="1"/>
        <v>0.58299999999999996</v>
      </c>
      <c r="L37" s="29">
        <f ca="1"/>
        <v>0.58299999999999996</v>
      </c>
      <c r="M37" s="29">
        <f ca="1"/>
        <v>0.58299999999999996</v>
      </c>
      <c r="N37" s="29">
        <f ca="1"/>
        <v>0.58299999999999996</v>
      </c>
      <c r="O37" s="29">
        <f ca="1"/>
        <v>0.58299999999999996</v>
      </c>
      <c r="P37" s="29">
        <f ca="1"/>
        <v>0.58299999999999996</v>
      </c>
      <c r="Q37" s="29">
        <f ca="1"/>
        <v>0.58299999999999996</v>
      </c>
      <c r="R37" s="29">
        <f ca="1"/>
        <v>0.58299999999999996</v>
      </c>
      <c r="S37" s="29">
        <f ca="1"/>
        <v>0.58299999999999996</v>
      </c>
      <c r="T37" s="29">
        <f ca="1"/>
        <v>0.58299999999999996</v>
      </c>
      <c r="U37" s="29">
        <f ca="1"/>
        <v>0.58299999999999996</v>
      </c>
      <c r="V37" s="29">
        <f ca="1"/>
        <v>0.58299999999999996</v>
      </c>
      <c r="W37" s="29">
        <f ca="1"/>
        <v>0.58299999999999996</v>
      </c>
      <c r="X37" s="29">
        <f ca="1"/>
        <v>0.58299999999999996</v>
      </c>
      <c r="Y37" s="29">
        <f ca="1"/>
        <v>0.58299999999999996</v>
      </c>
      <c r="Z37" s="29">
        <f ca="1"/>
        <v>0.58299999999999996</v>
      </c>
      <c r="AA37" s="29">
        <f ca="1"/>
        <v>0.58299999999999996</v>
      </c>
      <c r="AB37" s="29">
        <f ca="1"/>
        <v>0.58299999999999996</v>
      </c>
      <c r="AC37" s="29">
        <f ca="1"/>
        <v>0.58299999999999996</v>
      </c>
      <c r="AD37" s="29">
        <f ca="1"/>
        <v>0.58299999999999996</v>
      </c>
      <c r="AE37" s="29">
        <f ca="1"/>
        <v>0.58299999999999996</v>
      </c>
      <c r="AF37" s="29">
        <f ca="1"/>
        <v>0.58299999999999996</v>
      </c>
      <c r="AG37" s="29">
        <f ca="1"/>
        <v>0.58299999999999996</v>
      </c>
      <c r="AH37" s="29">
        <f ca="1"/>
        <v>0.58299999999999996</v>
      </c>
      <c r="AI37" s="29">
        <f ca="1"/>
        <v>0.58299999999999996</v>
      </c>
      <c r="AJ37" s="29">
        <f ca="1"/>
        <v>0.58299999999999996</v>
      </c>
      <c r="AK37" s="29">
        <f ca="1"/>
        <v>0.58299999999999996</v>
      </c>
      <c r="AL37" s="44">
        <f ca="1"/>
        <v>0.58299999999999996</v>
      </c>
      <c r="AM37" s="10"/>
    </row>
    <row r="38" spans="2:39" ht="15">
      <c r="B38" s="10"/>
      <c r="C38" s="21" t="str">
        <f>"EL 6: " &amp; INDEX(_doName,1,7)</f>
        <v>EL 6: EL 6</v>
      </c>
      <c r="D38" s="18" t="s">
        <v>47</v>
      </c>
      <c r="E38" s="46">
        <v>0.41699999999999998</v>
      </c>
      <c r="F38" s="46">
        <v>0.41699999999999998</v>
      </c>
      <c r="G38" s="46">
        <v>0.41699999999999998</v>
      </c>
      <c r="H38" s="46">
        <f ca="1"/>
        <v>0.41699999999999998</v>
      </c>
      <c r="I38" s="46">
        <f ca="1"/>
        <v>0.41699999999999998</v>
      </c>
      <c r="J38" s="46">
        <f ca="1"/>
        <v>0.41699999999999998</v>
      </c>
      <c r="K38" s="46">
        <f ca="1"/>
        <v>0.41699999999999998</v>
      </c>
      <c r="L38" s="46">
        <f ca="1"/>
        <v>0.41699999999999998</v>
      </c>
      <c r="M38" s="46">
        <f ca="1"/>
        <v>0.41699999999999998</v>
      </c>
      <c r="N38" s="46">
        <f ca="1"/>
        <v>0.41699999999999998</v>
      </c>
      <c r="O38" s="46">
        <f ca="1"/>
        <v>0.41699999999999998</v>
      </c>
      <c r="P38" s="46">
        <f ca="1"/>
        <v>0.41699999999999998</v>
      </c>
      <c r="Q38" s="46">
        <f ca="1"/>
        <v>0.41699999999999998</v>
      </c>
      <c r="R38" s="46">
        <f ca="1"/>
        <v>0.41699999999999998</v>
      </c>
      <c r="S38" s="46">
        <f ca="1"/>
        <v>0.41699999999999998</v>
      </c>
      <c r="T38" s="46">
        <f ca="1"/>
        <v>0.41699999999999998</v>
      </c>
      <c r="U38" s="46">
        <f ca="1"/>
        <v>0.41699999999999998</v>
      </c>
      <c r="V38" s="46">
        <f ca="1"/>
        <v>0.41699999999999998</v>
      </c>
      <c r="W38" s="46">
        <f ca="1"/>
        <v>0.41699999999999998</v>
      </c>
      <c r="X38" s="46">
        <f ca="1"/>
        <v>0.41699999999999998</v>
      </c>
      <c r="Y38" s="46">
        <f ca="1"/>
        <v>0.41699999999999998</v>
      </c>
      <c r="Z38" s="46">
        <f ca="1"/>
        <v>0.41699999999999998</v>
      </c>
      <c r="AA38" s="46">
        <f ca="1"/>
        <v>0.41699999999999998</v>
      </c>
      <c r="AB38" s="46">
        <f ca="1"/>
        <v>0.41699999999999998</v>
      </c>
      <c r="AC38" s="46">
        <f ca="1"/>
        <v>0.41699999999999998</v>
      </c>
      <c r="AD38" s="46">
        <f ca="1"/>
        <v>0.41699999999999998</v>
      </c>
      <c r="AE38" s="46">
        <f ca="1"/>
        <v>0.41699999999999998</v>
      </c>
      <c r="AF38" s="46">
        <f ca="1"/>
        <v>0.41699999999999998</v>
      </c>
      <c r="AG38" s="46">
        <f ca="1"/>
        <v>0.41699999999999998</v>
      </c>
      <c r="AH38" s="46">
        <f ca="1"/>
        <v>0.41699999999999998</v>
      </c>
      <c r="AI38" s="46">
        <f ca="1"/>
        <v>0.41699999999999998</v>
      </c>
      <c r="AJ38" s="46">
        <f ca="1"/>
        <v>0.41699999999999998</v>
      </c>
      <c r="AK38" s="46">
        <f ca="1"/>
        <v>0.41699999999999998</v>
      </c>
      <c r="AL38" s="47">
        <f ca="1"/>
        <v>0.41699999999999998</v>
      </c>
      <c r="AM38" s="10"/>
    </row>
    <row r="39" spans="2:39" ht="15">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2:39" ht="15">
      <c r="B40" s="10"/>
      <c r="C40" s="22" t="s">
        <v>90</v>
      </c>
      <c r="D40" s="23"/>
      <c r="E40" s="24">
        <f t="array" ref="E40:AL40">_yS</f>
        <v>2019</v>
      </c>
      <c r="F40" s="24">
        <v>2020</v>
      </c>
      <c r="G40" s="24">
        <v>2021</v>
      </c>
      <c r="H40" s="24">
        <v>2022</v>
      </c>
      <c r="I40" s="24">
        <v>2023</v>
      </c>
      <c r="J40" s="24">
        <v>2024</v>
      </c>
      <c r="K40" s="24">
        <v>2025</v>
      </c>
      <c r="L40" s="24">
        <v>2026</v>
      </c>
      <c r="M40" s="24">
        <v>2027</v>
      </c>
      <c r="N40" s="24">
        <v>2028</v>
      </c>
      <c r="O40" s="24">
        <v>2029</v>
      </c>
      <c r="P40" s="24">
        <v>2030</v>
      </c>
      <c r="Q40" s="24">
        <v>2031</v>
      </c>
      <c r="R40" s="24">
        <v>2032</v>
      </c>
      <c r="S40" s="24">
        <v>2033</v>
      </c>
      <c r="T40" s="24">
        <v>2034</v>
      </c>
      <c r="U40" s="24">
        <v>2035</v>
      </c>
      <c r="V40" s="24">
        <v>2036</v>
      </c>
      <c r="W40" s="24">
        <v>2037</v>
      </c>
      <c r="X40" s="24">
        <v>2038</v>
      </c>
      <c r="Y40" s="24">
        <v>2039</v>
      </c>
      <c r="Z40" s="24">
        <v>2040</v>
      </c>
      <c r="AA40" s="24">
        <v>2041</v>
      </c>
      <c r="AB40" s="24">
        <v>2042</v>
      </c>
      <c r="AC40" s="24">
        <v>2043</v>
      </c>
      <c r="AD40" s="24">
        <v>2044</v>
      </c>
      <c r="AE40" s="24">
        <v>2045</v>
      </c>
      <c r="AF40" s="24">
        <v>2046</v>
      </c>
      <c r="AG40" s="24">
        <v>2047</v>
      </c>
      <c r="AH40" s="24">
        <v>2048</v>
      </c>
      <c r="AI40" s="24">
        <v>2049</v>
      </c>
      <c r="AJ40" s="24">
        <v>2050</v>
      </c>
      <c r="AK40" s="24">
        <v>2051</v>
      </c>
      <c r="AL40" s="25">
        <v>2052</v>
      </c>
      <c r="AM40" s="10"/>
    </row>
    <row r="41" spans="2:39" ht="15">
      <c r="B41" s="10"/>
      <c r="C41" s="11" t="str">
        <f>"EL 0: " &amp; INDEX(_doName,1,1)</f>
        <v>EL 0: EL 0</v>
      </c>
      <c r="D41" s="12" t="s">
        <v>47</v>
      </c>
      <c r="E41" s="29">
        <f t="array" ref="E41:E47">TRANSPOSE(bcAxH)</f>
        <v>8.2000000000000003E-2</v>
      </c>
      <c r="F41" s="29">
        <f t="array" ref="F41:AL41">$E$41</f>
        <v>8.2000000000000003E-2</v>
      </c>
      <c r="G41" s="29">
        <v>8.2000000000000003E-2</v>
      </c>
      <c r="H41" s="29">
        <v>8.2000000000000003E-2</v>
      </c>
      <c r="I41" s="29">
        <v>8.2000000000000003E-2</v>
      </c>
      <c r="J41" s="29">
        <v>8.2000000000000003E-2</v>
      </c>
      <c r="K41" s="29">
        <v>8.2000000000000003E-2</v>
      </c>
      <c r="L41" s="29">
        <v>8.2000000000000003E-2</v>
      </c>
      <c r="M41" s="29">
        <v>8.2000000000000003E-2</v>
      </c>
      <c r="N41" s="29">
        <v>8.2000000000000003E-2</v>
      </c>
      <c r="O41" s="29">
        <v>8.2000000000000003E-2</v>
      </c>
      <c r="P41" s="29">
        <v>8.2000000000000003E-2</v>
      </c>
      <c r="Q41" s="29">
        <v>8.2000000000000003E-2</v>
      </c>
      <c r="R41" s="29">
        <v>8.2000000000000003E-2</v>
      </c>
      <c r="S41" s="29">
        <v>8.2000000000000003E-2</v>
      </c>
      <c r="T41" s="29">
        <v>8.2000000000000003E-2</v>
      </c>
      <c r="U41" s="29">
        <v>8.2000000000000003E-2</v>
      </c>
      <c r="V41" s="29">
        <v>8.2000000000000003E-2</v>
      </c>
      <c r="W41" s="29">
        <v>8.2000000000000003E-2</v>
      </c>
      <c r="X41" s="29">
        <v>8.2000000000000003E-2</v>
      </c>
      <c r="Y41" s="29">
        <v>8.2000000000000003E-2</v>
      </c>
      <c r="Z41" s="29">
        <v>8.2000000000000003E-2</v>
      </c>
      <c r="AA41" s="29">
        <v>8.2000000000000003E-2</v>
      </c>
      <c r="AB41" s="29">
        <v>8.2000000000000003E-2</v>
      </c>
      <c r="AC41" s="29">
        <v>8.2000000000000003E-2</v>
      </c>
      <c r="AD41" s="29">
        <v>8.2000000000000003E-2</v>
      </c>
      <c r="AE41" s="29">
        <v>8.2000000000000003E-2</v>
      </c>
      <c r="AF41" s="29">
        <v>8.2000000000000003E-2</v>
      </c>
      <c r="AG41" s="29">
        <v>8.2000000000000003E-2</v>
      </c>
      <c r="AH41" s="29">
        <v>8.2000000000000003E-2</v>
      </c>
      <c r="AI41" s="29">
        <v>8.2000000000000003E-2</v>
      </c>
      <c r="AJ41" s="29">
        <v>8.2000000000000003E-2</v>
      </c>
      <c r="AK41" s="29">
        <v>8.2000000000000003E-2</v>
      </c>
      <c r="AL41" s="44">
        <v>8.2000000000000003E-2</v>
      </c>
      <c r="AM41" s="10"/>
    </row>
    <row r="42" spans="2:39" ht="15">
      <c r="B42" s="10"/>
      <c r="C42" s="11" t="str">
        <f>"EL 1: " &amp; INDEX(_doName,1,2)</f>
        <v>EL 1: EL 1</v>
      </c>
      <c r="D42" s="12" t="s">
        <v>47</v>
      </c>
      <c r="E42" s="29">
        <v>2.1000000000000001E-2</v>
      </c>
      <c r="F42" s="29">
        <f t="array" ref="F42:AL42">$E$42</f>
        <v>2.1000000000000001E-2</v>
      </c>
      <c r="G42" s="29">
        <v>2.1000000000000001E-2</v>
      </c>
      <c r="H42" s="29">
        <v>2.1000000000000001E-2</v>
      </c>
      <c r="I42" s="29">
        <v>2.1000000000000001E-2</v>
      </c>
      <c r="J42" s="29">
        <v>2.1000000000000001E-2</v>
      </c>
      <c r="K42" s="29">
        <v>2.1000000000000001E-2</v>
      </c>
      <c r="L42" s="29">
        <v>2.1000000000000001E-2</v>
      </c>
      <c r="M42" s="29">
        <v>2.1000000000000001E-2</v>
      </c>
      <c r="N42" s="29">
        <v>2.1000000000000001E-2</v>
      </c>
      <c r="O42" s="29">
        <v>2.1000000000000001E-2</v>
      </c>
      <c r="P42" s="29">
        <v>2.1000000000000001E-2</v>
      </c>
      <c r="Q42" s="29">
        <v>2.1000000000000001E-2</v>
      </c>
      <c r="R42" s="29">
        <v>2.1000000000000001E-2</v>
      </c>
      <c r="S42" s="29">
        <v>2.1000000000000001E-2</v>
      </c>
      <c r="T42" s="29">
        <v>2.1000000000000001E-2</v>
      </c>
      <c r="U42" s="29">
        <v>2.1000000000000001E-2</v>
      </c>
      <c r="V42" s="29">
        <v>2.1000000000000001E-2</v>
      </c>
      <c r="W42" s="29">
        <v>2.1000000000000001E-2</v>
      </c>
      <c r="X42" s="29">
        <v>2.1000000000000001E-2</v>
      </c>
      <c r="Y42" s="29">
        <v>2.1000000000000001E-2</v>
      </c>
      <c r="Z42" s="29">
        <v>2.1000000000000001E-2</v>
      </c>
      <c r="AA42" s="29">
        <v>2.1000000000000001E-2</v>
      </c>
      <c r="AB42" s="29">
        <v>2.1000000000000001E-2</v>
      </c>
      <c r="AC42" s="29">
        <v>2.1000000000000001E-2</v>
      </c>
      <c r="AD42" s="29">
        <v>2.1000000000000001E-2</v>
      </c>
      <c r="AE42" s="29">
        <v>2.1000000000000001E-2</v>
      </c>
      <c r="AF42" s="29">
        <v>2.1000000000000001E-2</v>
      </c>
      <c r="AG42" s="29">
        <v>2.1000000000000001E-2</v>
      </c>
      <c r="AH42" s="29">
        <v>2.1000000000000001E-2</v>
      </c>
      <c r="AI42" s="29">
        <v>2.1000000000000001E-2</v>
      </c>
      <c r="AJ42" s="29">
        <v>2.1000000000000001E-2</v>
      </c>
      <c r="AK42" s="29">
        <v>2.1000000000000001E-2</v>
      </c>
      <c r="AL42" s="44">
        <v>2.1000000000000001E-2</v>
      </c>
      <c r="AM42" s="10"/>
    </row>
    <row r="43" spans="2:39" ht="15">
      <c r="B43" s="10"/>
      <c r="C43" s="11" t="str">
        <f>"EL 2: " &amp; INDEX(_doName,1,3)</f>
        <v>EL 2: EL 2</v>
      </c>
      <c r="D43" s="12" t="s">
        <v>47</v>
      </c>
      <c r="E43" s="29">
        <v>3.6999999999999998E-2</v>
      </c>
      <c r="F43" s="29">
        <f t="array" ref="F43:AL43">$E$43</f>
        <v>3.6999999999999998E-2</v>
      </c>
      <c r="G43" s="29">
        <v>3.6999999999999998E-2</v>
      </c>
      <c r="H43" s="29">
        <v>3.6999999999999998E-2</v>
      </c>
      <c r="I43" s="29">
        <v>3.6999999999999998E-2</v>
      </c>
      <c r="J43" s="29">
        <v>3.6999999999999998E-2</v>
      </c>
      <c r="K43" s="29">
        <v>3.6999999999999998E-2</v>
      </c>
      <c r="L43" s="29">
        <v>3.6999999999999998E-2</v>
      </c>
      <c r="M43" s="29">
        <v>3.6999999999999998E-2</v>
      </c>
      <c r="N43" s="29">
        <v>3.6999999999999998E-2</v>
      </c>
      <c r="O43" s="29">
        <v>3.6999999999999998E-2</v>
      </c>
      <c r="P43" s="29">
        <v>3.6999999999999998E-2</v>
      </c>
      <c r="Q43" s="29">
        <v>3.6999999999999998E-2</v>
      </c>
      <c r="R43" s="29">
        <v>3.6999999999999998E-2</v>
      </c>
      <c r="S43" s="29">
        <v>3.6999999999999998E-2</v>
      </c>
      <c r="T43" s="29">
        <v>3.6999999999999998E-2</v>
      </c>
      <c r="U43" s="29">
        <v>3.6999999999999998E-2</v>
      </c>
      <c r="V43" s="29">
        <v>3.6999999999999998E-2</v>
      </c>
      <c r="W43" s="29">
        <v>3.6999999999999998E-2</v>
      </c>
      <c r="X43" s="29">
        <v>3.6999999999999998E-2</v>
      </c>
      <c r="Y43" s="29">
        <v>3.6999999999999998E-2</v>
      </c>
      <c r="Z43" s="29">
        <v>3.6999999999999998E-2</v>
      </c>
      <c r="AA43" s="29">
        <v>3.6999999999999998E-2</v>
      </c>
      <c r="AB43" s="29">
        <v>3.6999999999999998E-2</v>
      </c>
      <c r="AC43" s="29">
        <v>3.6999999999999998E-2</v>
      </c>
      <c r="AD43" s="29">
        <v>3.6999999999999998E-2</v>
      </c>
      <c r="AE43" s="29">
        <v>3.6999999999999998E-2</v>
      </c>
      <c r="AF43" s="29">
        <v>3.6999999999999998E-2</v>
      </c>
      <c r="AG43" s="29">
        <v>3.6999999999999998E-2</v>
      </c>
      <c r="AH43" s="29">
        <v>3.6999999999999998E-2</v>
      </c>
      <c r="AI43" s="29">
        <v>3.6999999999999998E-2</v>
      </c>
      <c r="AJ43" s="29">
        <v>3.6999999999999998E-2</v>
      </c>
      <c r="AK43" s="29">
        <v>3.6999999999999998E-2</v>
      </c>
      <c r="AL43" s="44">
        <v>3.6999999999999998E-2</v>
      </c>
      <c r="AM43" s="10"/>
    </row>
    <row r="44" spans="2:39" ht="15">
      <c r="B44" s="10"/>
      <c r="C44" s="11" t="str">
        <f>"EL 3: " &amp; INDEX(_doName,1,4)</f>
        <v>EL 3: EL 3</v>
      </c>
      <c r="D44" s="12" t="s">
        <v>47</v>
      </c>
      <c r="E44" s="29">
        <v>4.4999999999999998E-2</v>
      </c>
      <c r="F44" s="29">
        <f t="array" ref="F44:AL44">$E$44</f>
        <v>4.4999999999999998E-2</v>
      </c>
      <c r="G44" s="29">
        <v>4.4999999999999998E-2</v>
      </c>
      <c r="H44" s="29">
        <v>4.4999999999999998E-2</v>
      </c>
      <c r="I44" s="29">
        <v>4.4999999999999998E-2</v>
      </c>
      <c r="J44" s="29">
        <v>4.4999999999999998E-2</v>
      </c>
      <c r="K44" s="29">
        <v>4.4999999999999998E-2</v>
      </c>
      <c r="L44" s="29">
        <v>4.4999999999999998E-2</v>
      </c>
      <c r="M44" s="29">
        <v>4.4999999999999998E-2</v>
      </c>
      <c r="N44" s="29">
        <v>4.4999999999999998E-2</v>
      </c>
      <c r="O44" s="29">
        <v>4.4999999999999998E-2</v>
      </c>
      <c r="P44" s="29">
        <v>4.4999999999999998E-2</v>
      </c>
      <c r="Q44" s="29">
        <v>4.4999999999999998E-2</v>
      </c>
      <c r="R44" s="29">
        <v>4.4999999999999998E-2</v>
      </c>
      <c r="S44" s="29">
        <v>4.4999999999999998E-2</v>
      </c>
      <c r="T44" s="29">
        <v>4.4999999999999998E-2</v>
      </c>
      <c r="U44" s="29">
        <v>4.4999999999999998E-2</v>
      </c>
      <c r="V44" s="29">
        <v>4.4999999999999998E-2</v>
      </c>
      <c r="W44" s="29">
        <v>4.4999999999999998E-2</v>
      </c>
      <c r="X44" s="29">
        <v>4.4999999999999998E-2</v>
      </c>
      <c r="Y44" s="29">
        <v>4.4999999999999998E-2</v>
      </c>
      <c r="Z44" s="29">
        <v>4.4999999999999998E-2</v>
      </c>
      <c r="AA44" s="29">
        <v>4.4999999999999998E-2</v>
      </c>
      <c r="AB44" s="29">
        <v>4.4999999999999998E-2</v>
      </c>
      <c r="AC44" s="29">
        <v>4.4999999999999998E-2</v>
      </c>
      <c r="AD44" s="29">
        <v>4.4999999999999998E-2</v>
      </c>
      <c r="AE44" s="29">
        <v>4.4999999999999998E-2</v>
      </c>
      <c r="AF44" s="29">
        <v>4.4999999999999998E-2</v>
      </c>
      <c r="AG44" s="29">
        <v>4.4999999999999998E-2</v>
      </c>
      <c r="AH44" s="29">
        <v>4.4999999999999998E-2</v>
      </c>
      <c r="AI44" s="29">
        <v>4.4999999999999998E-2</v>
      </c>
      <c r="AJ44" s="29">
        <v>4.4999999999999998E-2</v>
      </c>
      <c r="AK44" s="29">
        <v>4.4999999999999998E-2</v>
      </c>
      <c r="AL44" s="44">
        <v>4.4999999999999998E-2</v>
      </c>
      <c r="AM44" s="10"/>
    </row>
    <row r="45" spans="2:39" ht="15">
      <c r="B45" s="10"/>
      <c r="C45" s="11" t="str">
        <f>"EL 4: " &amp; INDEX(_doName,1,5)</f>
        <v>EL 4: EL 4</v>
      </c>
      <c r="D45" s="12" t="s">
        <v>47</v>
      </c>
      <c r="E45" s="29">
        <v>6.6000000000000003E-2</v>
      </c>
      <c r="F45" s="29">
        <f t="array" ref="F45:AL45">$E$45</f>
        <v>6.6000000000000003E-2</v>
      </c>
      <c r="G45" s="29">
        <v>6.6000000000000003E-2</v>
      </c>
      <c r="H45" s="29">
        <v>6.6000000000000003E-2</v>
      </c>
      <c r="I45" s="29">
        <v>6.6000000000000003E-2</v>
      </c>
      <c r="J45" s="29">
        <v>6.6000000000000003E-2</v>
      </c>
      <c r="K45" s="29">
        <v>6.6000000000000003E-2</v>
      </c>
      <c r="L45" s="29">
        <v>6.6000000000000003E-2</v>
      </c>
      <c r="M45" s="29">
        <v>6.6000000000000003E-2</v>
      </c>
      <c r="N45" s="29">
        <v>6.6000000000000003E-2</v>
      </c>
      <c r="O45" s="29">
        <v>6.6000000000000003E-2</v>
      </c>
      <c r="P45" s="29">
        <v>6.6000000000000003E-2</v>
      </c>
      <c r="Q45" s="29">
        <v>6.6000000000000003E-2</v>
      </c>
      <c r="R45" s="29">
        <v>6.6000000000000003E-2</v>
      </c>
      <c r="S45" s="29">
        <v>6.6000000000000003E-2</v>
      </c>
      <c r="T45" s="29">
        <v>6.6000000000000003E-2</v>
      </c>
      <c r="U45" s="29">
        <v>6.6000000000000003E-2</v>
      </c>
      <c r="V45" s="29">
        <v>6.6000000000000003E-2</v>
      </c>
      <c r="W45" s="29">
        <v>6.6000000000000003E-2</v>
      </c>
      <c r="X45" s="29">
        <v>6.6000000000000003E-2</v>
      </c>
      <c r="Y45" s="29">
        <v>6.6000000000000003E-2</v>
      </c>
      <c r="Z45" s="29">
        <v>6.6000000000000003E-2</v>
      </c>
      <c r="AA45" s="29">
        <v>6.6000000000000003E-2</v>
      </c>
      <c r="AB45" s="29">
        <v>6.6000000000000003E-2</v>
      </c>
      <c r="AC45" s="29">
        <v>6.6000000000000003E-2</v>
      </c>
      <c r="AD45" s="29">
        <v>6.6000000000000003E-2</v>
      </c>
      <c r="AE45" s="29">
        <v>6.6000000000000003E-2</v>
      </c>
      <c r="AF45" s="29">
        <v>6.6000000000000003E-2</v>
      </c>
      <c r="AG45" s="29">
        <v>6.6000000000000003E-2</v>
      </c>
      <c r="AH45" s="29">
        <v>6.6000000000000003E-2</v>
      </c>
      <c r="AI45" s="29">
        <v>6.6000000000000003E-2</v>
      </c>
      <c r="AJ45" s="29">
        <v>6.6000000000000003E-2</v>
      </c>
      <c r="AK45" s="29">
        <v>6.6000000000000003E-2</v>
      </c>
      <c r="AL45" s="44">
        <v>6.6000000000000003E-2</v>
      </c>
      <c r="AM45" s="10"/>
    </row>
    <row r="46" spans="2:39" ht="15">
      <c r="B46" s="10"/>
      <c r="C46" s="11" t="str">
        <f>"EL 5: " &amp; INDEX(_doName,1,6)</f>
        <v>EL 5: EL 5</v>
      </c>
      <c r="D46" s="12" t="s">
        <v>47</v>
      </c>
      <c r="E46" s="29">
        <v>0.33200000000000002</v>
      </c>
      <c r="F46" s="29">
        <f t="array" ref="F46:AL46">$E$46</f>
        <v>0.33200000000000002</v>
      </c>
      <c r="G46" s="29">
        <v>0.33200000000000002</v>
      </c>
      <c r="H46" s="29">
        <v>0.33200000000000002</v>
      </c>
      <c r="I46" s="29">
        <v>0.33200000000000002</v>
      </c>
      <c r="J46" s="29">
        <v>0.33200000000000002</v>
      </c>
      <c r="K46" s="29">
        <v>0.33200000000000002</v>
      </c>
      <c r="L46" s="29">
        <v>0.33200000000000002</v>
      </c>
      <c r="M46" s="29">
        <v>0.33200000000000002</v>
      </c>
      <c r="N46" s="29">
        <v>0.33200000000000002</v>
      </c>
      <c r="O46" s="29">
        <v>0.33200000000000002</v>
      </c>
      <c r="P46" s="29">
        <v>0.33200000000000002</v>
      </c>
      <c r="Q46" s="29">
        <v>0.33200000000000002</v>
      </c>
      <c r="R46" s="29">
        <v>0.33200000000000002</v>
      </c>
      <c r="S46" s="29">
        <v>0.33200000000000002</v>
      </c>
      <c r="T46" s="29">
        <v>0.33200000000000002</v>
      </c>
      <c r="U46" s="29">
        <v>0.33200000000000002</v>
      </c>
      <c r="V46" s="29">
        <v>0.33200000000000002</v>
      </c>
      <c r="W46" s="29">
        <v>0.33200000000000002</v>
      </c>
      <c r="X46" s="29">
        <v>0.33200000000000002</v>
      </c>
      <c r="Y46" s="29">
        <v>0.33200000000000002</v>
      </c>
      <c r="Z46" s="29">
        <v>0.33200000000000002</v>
      </c>
      <c r="AA46" s="29">
        <v>0.33200000000000002</v>
      </c>
      <c r="AB46" s="29">
        <v>0.33200000000000002</v>
      </c>
      <c r="AC46" s="29">
        <v>0.33200000000000002</v>
      </c>
      <c r="AD46" s="29">
        <v>0.33200000000000002</v>
      </c>
      <c r="AE46" s="29">
        <v>0.33200000000000002</v>
      </c>
      <c r="AF46" s="29">
        <v>0.33200000000000002</v>
      </c>
      <c r="AG46" s="29">
        <v>0.33200000000000002</v>
      </c>
      <c r="AH46" s="29">
        <v>0.33200000000000002</v>
      </c>
      <c r="AI46" s="29">
        <v>0.33200000000000002</v>
      </c>
      <c r="AJ46" s="29">
        <v>0.33200000000000002</v>
      </c>
      <c r="AK46" s="29">
        <v>0.33200000000000002</v>
      </c>
      <c r="AL46" s="44">
        <v>0.33200000000000002</v>
      </c>
      <c r="AM46" s="10"/>
    </row>
    <row r="47" spans="2:39">
      <c r="B47" s="10"/>
      <c r="C47" s="21" t="str">
        <f>"EL 6: " &amp; INDEX(_doName,1,7)</f>
        <v>EL 6: EL 6</v>
      </c>
      <c r="D47" s="18" t="s">
        <v>47</v>
      </c>
      <c r="E47" s="46">
        <v>0.41699999999999998</v>
      </c>
      <c r="F47" s="46">
        <f t="array" ref="F47:AL47">$E$47</f>
        <v>0.41699999999999998</v>
      </c>
      <c r="G47" s="46">
        <v>0.41699999999999998</v>
      </c>
      <c r="H47" s="46">
        <v>0.41699999999999998</v>
      </c>
      <c r="I47" s="46">
        <v>0.41699999999999998</v>
      </c>
      <c r="J47" s="46">
        <v>0.41699999999999998</v>
      </c>
      <c r="K47" s="46">
        <v>0.41699999999999998</v>
      </c>
      <c r="L47" s="46">
        <v>0.41699999999999998</v>
      </c>
      <c r="M47" s="46">
        <v>0.41699999999999998</v>
      </c>
      <c r="N47" s="46">
        <v>0.41699999999999998</v>
      </c>
      <c r="O47" s="46">
        <v>0.41699999999999998</v>
      </c>
      <c r="P47" s="46">
        <v>0.41699999999999998</v>
      </c>
      <c r="Q47" s="46">
        <v>0.41699999999999998</v>
      </c>
      <c r="R47" s="46">
        <v>0.41699999999999998</v>
      </c>
      <c r="S47" s="46">
        <v>0.41699999999999998</v>
      </c>
      <c r="T47" s="46">
        <v>0.41699999999999998</v>
      </c>
      <c r="U47" s="46">
        <v>0.41699999999999998</v>
      </c>
      <c r="V47" s="46">
        <v>0.41699999999999998</v>
      </c>
      <c r="W47" s="46">
        <v>0.41699999999999998</v>
      </c>
      <c r="X47" s="46">
        <v>0.41699999999999998</v>
      </c>
      <c r="Y47" s="46">
        <v>0.41699999999999998</v>
      </c>
      <c r="Z47" s="46">
        <v>0.41699999999999998</v>
      </c>
      <c r="AA47" s="46">
        <v>0.41699999999999998</v>
      </c>
      <c r="AB47" s="46">
        <v>0.41699999999999998</v>
      </c>
      <c r="AC47" s="46">
        <v>0.41699999999999998</v>
      </c>
      <c r="AD47" s="46">
        <v>0.41699999999999998</v>
      </c>
      <c r="AE47" s="46">
        <v>0.41699999999999998</v>
      </c>
      <c r="AF47" s="46">
        <v>0.41699999999999998</v>
      </c>
      <c r="AG47" s="46">
        <v>0.41699999999999998</v>
      </c>
      <c r="AH47" s="46">
        <v>0.41699999999999998</v>
      </c>
      <c r="AI47" s="46">
        <v>0.41699999999999998</v>
      </c>
      <c r="AJ47" s="46">
        <v>0.41699999999999998</v>
      </c>
      <c r="AK47" s="46">
        <v>0.41699999999999998</v>
      </c>
      <c r="AL47" s="47">
        <v>0.41699999999999998</v>
      </c>
      <c r="AM47" s="10"/>
    </row>
    <row r="48" spans="2:39">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2:39" ht="15" hidden="1">
      <c r="B49" s="10"/>
      <c r="C49" s="22" t="s">
        <v>89</v>
      </c>
      <c r="D49" s="23"/>
      <c r="E49" s="24">
        <f t="array" ref="E49:AL49">_yS</f>
        <v>2019</v>
      </c>
      <c r="F49" s="24">
        <v>2020</v>
      </c>
      <c r="G49" s="24">
        <v>2021</v>
      </c>
      <c r="H49" s="24">
        <v>2022</v>
      </c>
      <c r="I49" s="24">
        <v>2023</v>
      </c>
      <c r="J49" s="24">
        <v>2024</v>
      </c>
      <c r="K49" s="24">
        <v>2025</v>
      </c>
      <c r="L49" s="24">
        <v>2026</v>
      </c>
      <c r="M49" s="24">
        <v>2027</v>
      </c>
      <c r="N49" s="24">
        <v>2028</v>
      </c>
      <c r="O49" s="24">
        <v>2029</v>
      </c>
      <c r="P49" s="24">
        <v>2030</v>
      </c>
      <c r="Q49" s="24">
        <v>2031</v>
      </c>
      <c r="R49" s="24">
        <v>2032</v>
      </c>
      <c r="S49" s="24">
        <v>2033</v>
      </c>
      <c r="T49" s="24">
        <v>2034</v>
      </c>
      <c r="U49" s="24">
        <v>2035</v>
      </c>
      <c r="V49" s="24">
        <v>2036</v>
      </c>
      <c r="W49" s="24">
        <v>2037</v>
      </c>
      <c r="X49" s="24">
        <v>2038</v>
      </c>
      <c r="Y49" s="24">
        <v>2039</v>
      </c>
      <c r="Z49" s="24">
        <v>2040</v>
      </c>
      <c r="AA49" s="24">
        <v>2041</v>
      </c>
      <c r="AB49" s="24">
        <v>2042</v>
      </c>
      <c r="AC49" s="24">
        <v>2043</v>
      </c>
      <c r="AD49" s="24">
        <v>2044</v>
      </c>
      <c r="AE49" s="24">
        <v>2045</v>
      </c>
      <c r="AF49" s="24">
        <v>2046</v>
      </c>
      <c r="AG49" s="24">
        <v>2047</v>
      </c>
      <c r="AH49" s="24">
        <v>2048</v>
      </c>
      <c r="AI49" s="24">
        <v>2049</v>
      </c>
      <c r="AJ49" s="24">
        <v>2050</v>
      </c>
      <c r="AK49" s="24">
        <v>2051</v>
      </c>
      <c r="AL49" s="25">
        <v>2052</v>
      </c>
      <c r="AM49" s="10"/>
    </row>
    <row r="50" spans="2:39" ht="15" hidden="1">
      <c r="B50" s="10"/>
      <c r="C50" s="11" t="str">
        <f>"EL 0: " &amp; INDEX(_doName,1,1)</f>
        <v>EL 0: EL 0</v>
      </c>
      <c r="D50" s="12"/>
      <c r="E50" s="13">
        <f t="array" ref="E50:AL50">tlccQubc0</f>
        <v>3073.56073239436</v>
      </c>
      <c r="F50" s="13">
        <v>3073.56073239436</v>
      </c>
      <c r="G50" s="13">
        <v>3073.56073239436</v>
      </c>
      <c r="H50" s="13">
        <v>3073.56073239436</v>
      </c>
      <c r="I50" s="13">
        <v>3073.56073239436</v>
      </c>
      <c r="J50" s="13">
        <v>3073.56073239436</v>
      </c>
      <c r="K50" s="13">
        <v>3073.56073239436</v>
      </c>
      <c r="L50" s="13">
        <v>3073.56073239436</v>
      </c>
      <c r="M50" s="13">
        <v>3073.56073239436</v>
      </c>
      <c r="N50" s="13">
        <v>3073.56073239436</v>
      </c>
      <c r="O50" s="13">
        <v>3073.56073239436</v>
      </c>
      <c r="P50" s="13">
        <v>3073.56073239436</v>
      </c>
      <c r="Q50" s="13">
        <v>3073.56073239436</v>
      </c>
      <c r="R50" s="13">
        <v>3073.56073239436</v>
      </c>
      <c r="S50" s="13">
        <v>3073.56073239436</v>
      </c>
      <c r="T50" s="13">
        <v>3073.56073239436</v>
      </c>
      <c r="U50" s="13">
        <v>3073.56073239436</v>
      </c>
      <c r="V50" s="13">
        <v>3073.56073239436</v>
      </c>
      <c r="W50" s="13">
        <v>3073.56073239436</v>
      </c>
      <c r="X50" s="13">
        <v>3073.56073239436</v>
      </c>
      <c r="Y50" s="13">
        <v>3073.56073239436</v>
      </c>
      <c r="Z50" s="13">
        <v>3073.56073239436</v>
      </c>
      <c r="AA50" s="13">
        <v>3073.56073239436</v>
      </c>
      <c r="AB50" s="13">
        <v>3073.56073239436</v>
      </c>
      <c r="AC50" s="13">
        <v>3073.56073239436</v>
      </c>
      <c r="AD50" s="13">
        <v>3073.56073239436</v>
      </c>
      <c r="AE50" s="13">
        <v>3073.56073239436</v>
      </c>
      <c r="AF50" s="13">
        <v>3073.56073239436</v>
      </c>
      <c r="AG50" s="13">
        <v>3073.56073239436</v>
      </c>
      <c r="AH50" s="13">
        <v>3073.56073239436</v>
      </c>
      <c r="AI50" s="13">
        <v>3073.56073239436</v>
      </c>
      <c r="AJ50" s="13">
        <v>3073.56073239436</v>
      </c>
      <c r="AK50" s="13">
        <v>3073.56073239436</v>
      </c>
      <c r="AL50" s="56">
        <v>3073.56073239436</v>
      </c>
      <c r="AM50" s="10"/>
    </row>
    <row r="51" spans="2:39" ht="15" hidden="1">
      <c r="B51" s="10"/>
      <c r="C51" s="11" t="str">
        <f>"EL 1: " &amp; INDEX(_doName,1,2)</f>
        <v>EL 1: EL 1</v>
      </c>
      <c r="D51" s="12"/>
      <c r="E51" s="13">
        <f t="array" ref="E51:AL51">tlccQubc1</f>
        <v>4357.8100000000004</v>
      </c>
      <c r="F51" s="13">
        <v>4357.8100000000004</v>
      </c>
      <c r="G51" s="13">
        <v>4357.8100000000004</v>
      </c>
      <c r="H51" s="13">
        <v>4357.8100000000004</v>
      </c>
      <c r="I51" s="13">
        <v>4357.8100000000004</v>
      </c>
      <c r="J51" s="13">
        <v>4357.8100000000004</v>
      </c>
      <c r="K51" s="13">
        <v>4357.8100000000004</v>
      </c>
      <c r="L51" s="13">
        <v>4357.8100000000004</v>
      </c>
      <c r="M51" s="13">
        <v>4357.8100000000004</v>
      </c>
      <c r="N51" s="13">
        <v>4357.8100000000004</v>
      </c>
      <c r="O51" s="13">
        <v>4357.8100000000004</v>
      </c>
      <c r="P51" s="13">
        <v>4357.8100000000004</v>
      </c>
      <c r="Q51" s="13">
        <v>4357.8100000000004</v>
      </c>
      <c r="R51" s="13">
        <v>4357.8100000000004</v>
      </c>
      <c r="S51" s="13">
        <v>4357.8100000000004</v>
      </c>
      <c r="T51" s="13">
        <v>4357.8100000000004</v>
      </c>
      <c r="U51" s="13">
        <v>4357.8100000000004</v>
      </c>
      <c r="V51" s="13">
        <v>4357.8100000000004</v>
      </c>
      <c r="W51" s="13">
        <v>4357.8100000000004</v>
      </c>
      <c r="X51" s="13">
        <v>4357.8100000000004</v>
      </c>
      <c r="Y51" s="13">
        <v>4357.8100000000004</v>
      </c>
      <c r="Z51" s="13">
        <v>4357.8100000000004</v>
      </c>
      <c r="AA51" s="13">
        <v>4357.8100000000004</v>
      </c>
      <c r="AB51" s="13">
        <v>4357.8100000000004</v>
      </c>
      <c r="AC51" s="13">
        <v>4357.8100000000004</v>
      </c>
      <c r="AD51" s="13">
        <v>4357.8100000000004</v>
      </c>
      <c r="AE51" s="13">
        <v>4357.8100000000004</v>
      </c>
      <c r="AF51" s="13">
        <v>4357.8100000000004</v>
      </c>
      <c r="AG51" s="13">
        <v>4357.8100000000004</v>
      </c>
      <c r="AH51" s="13">
        <v>4357.8100000000004</v>
      </c>
      <c r="AI51" s="13">
        <v>4357.8100000000004</v>
      </c>
      <c r="AJ51" s="13">
        <v>4357.8100000000004</v>
      </c>
      <c r="AK51" s="13">
        <v>4357.8100000000004</v>
      </c>
      <c r="AL51" s="56">
        <v>4357.8100000000004</v>
      </c>
      <c r="AM51" s="10"/>
    </row>
    <row r="52" spans="2:39" ht="15" hidden="1">
      <c r="B52" s="10"/>
      <c r="C52" s="11" t="str">
        <f>"EL 2: " &amp; INDEX(_doName,1,3)</f>
        <v>EL 2: EL 2</v>
      </c>
      <c r="D52" s="12"/>
      <c r="E52" s="13">
        <f t="array" ref="E52:AL52">tlccQubc2</f>
        <v>5053.1087500000003</v>
      </c>
      <c r="F52" s="13">
        <v>5053.1087500000003</v>
      </c>
      <c r="G52" s="13">
        <v>5053.1087500000003</v>
      </c>
      <c r="H52" s="13">
        <v>5053.1087500000003</v>
      </c>
      <c r="I52" s="13">
        <v>5053.1087500000003</v>
      </c>
      <c r="J52" s="13">
        <v>5053.1087500000003</v>
      </c>
      <c r="K52" s="13">
        <v>5053.1087500000003</v>
      </c>
      <c r="L52" s="13">
        <v>5053.1087500000003</v>
      </c>
      <c r="M52" s="13">
        <v>5053.1087500000003</v>
      </c>
      <c r="N52" s="13">
        <v>5053.1087500000003</v>
      </c>
      <c r="O52" s="13">
        <v>5053.1087500000003</v>
      </c>
      <c r="P52" s="13">
        <v>5053.1087500000003</v>
      </c>
      <c r="Q52" s="13">
        <v>5053.1087500000003</v>
      </c>
      <c r="R52" s="13">
        <v>5053.1087500000003</v>
      </c>
      <c r="S52" s="13">
        <v>5053.1087500000003</v>
      </c>
      <c r="T52" s="13">
        <v>5053.1087500000003</v>
      </c>
      <c r="U52" s="13">
        <v>5053.1087500000003</v>
      </c>
      <c r="V52" s="13">
        <v>5053.1087500000003</v>
      </c>
      <c r="W52" s="13">
        <v>5053.1087500000003</v>
      </c>
      <c r="X52" s="13">
        <v>5053.1087500000003</v>
      </c>
      <c r="Y52" s="13">
        <v>5053.1087500000003</v>
      </c>
      <c r="Z52" s="13">
        <v>5053.1087500000003</v>
      </c>
      <c r="AA52" s="13">
        <v>5053.1087500000003</v>
      </c>
      <c r="AB52" s="13">
        <v>5053.1087500000003</v>
      </c>
      <c r="AC52" s="13">
        <v>5053.1087500000003</v>
      </c>
      <c r="AD52" s="13">
        <v>5053.1087500000003</v>
      </c>
      <c r="AE52" s="13">
        <v>5053.1087500000003</v>
      </c>
      <c r="AF52" s="13">
        <v>5053.1087500000003</v>
      </c>
      <c r="AG52" s="13">
        <v>5053.1087500000003</v>
      </c>
      <c r="AH52" s="13">
        <v>5053.1087500000003</v>
      </c>
      <c r="AI52" s="13">
        <v>5053.1087500000003</v>
      </c>
      <c r="AJ52" s="13">
        <v>5053.1087500000003</v>
      </c>
      <c r="AK52" s="13">
        <v>5053.1087500000003</v>
      </c>
      <c r="AL52" s="56">
        <v>5053.1087500000003</v>
      </c>
      <c r="AM52" s="10"/>
    </row>
    <row r="53" spans="2:39" ht="15" hidden="1">
      <c r="B53" s="10"/>
      <c r="C53" s="11" t="str">
        <f>"EL 3: " &amp; INDEX(_doName,1,4)</f>
        <v>EL 3: EL 3</v>
      </c>
      <c r="D53" s="12"/>
      <c r="E53" s="13">
        <f t="array" ref="E53:AL53">tlccQubc3</f>
        <v>5056.6307106598897</v>
      </c>
      <c r="F53" s="13">
        <v>5056.6307106598897</v>
      </c>
      <c r="G53" s="13">
        <v>5056.6307106598897</v>
      </c>
      <c r="H53" s="13">
        <v>5056.6307106598897</v>
      </c>
      <c r="I53" s="13">
        <v>5056.6307106598897</v>
      </c>
      <c r="J53" s="13">
        <v>5056.6307106598897</v>
      </c>
      <c r="K53" s="13">
        <v>5056.6307106598897</v>
      </c>
      <c r="L53" s="13">
        <v>5056.6307106598897</v>
      </c>
      <c r="M53" s="13">
        <v>5056.6307106598897</v>
      </c>
      <c r="N53" s="13">
        <v>5056.6307106598897</v>
      </c>
      <c r="O53" s="13">
        <v>5056.6307106598897</v>
      </c>
      <c r="P53" s="13">
        <v>5056.6307106598897</v>
      </c>
      <c r="Q53" s="13">
        <v>5056.6307106598897</v>
      </c>
      <c r="R53" s="13">
        <v>5056.6307106598897</v>
      </c>
      <c r="S53" s="13">
        <v>5056.6307106598897</v>
      </c>
      <c r="T53" s="13">
        <v>5056.6307106598897</v>
      </c>
      <c r="U53" s="13">
        <v>5056.6307106598897</v>
      </c>
      <c r="V53" s="13">
        <v>5056.6307106598897</v>
      </c>
      <c r="W53" s="13">
        <v>5056.6307106598897</v>
      </c>
      <c r="X53" s="13">
        <v>5056.6307106598897</v>
      </c>
      <c r="Y53" s="13">
        <v>5056.6307106598897</v>
      </c>
      <c r="Z53" s="13">
        <v>5056.6307106598897</v>
      </c>
      <c r="AA53" s="13">
        <v>5056.6307106598897</v>
      </c>
      <c r="AB53" s="13">
        <v>5056.6307106598897</v>
      </c>
      <c r="AC53" s="13">
        <v>5056.6307106598897</v>
      </c>
      <c r="AD53" s="13">
        <v>5056.6307106598897</v>
      </c>
      <c r="AE53" s="13">
        <v>5056.6307106598897</v>
      </c>
      <c r="AF53" s="13">
        <v>5056.6307106598897</v>
      </c>
      <c r="AG53" s="13">
        <v>5056.6307106598897</v>
      </c>
      <c r="AH53" s="13">
        <v>5056.6307106598897</v>
      </c>
      <c r="AI53" s="13">
        <v>5056.6307106598897</v>
      </c>
      <c r="AJ53" s="13">
        <v>5056.6307106598897</v>
      </c>
      <c r="AK53" s="13">
        <v>5056.6307106598897</v>
      </c>
      <c r="AL53" s="56">
        <v>5056.6307106598897</v>
      </c>
      <c r="AM53" s="10"/>
    </row>
    <row r="54" spans="2:39" ht="15" hidden="1">
      <c r="B54" s="10"/>
      <c r="C54" s="11" t="str">
        <f>"EL 4: " &amp; INDEX(_doName,1,5)</f>
        <v>EL 4: EL 4</v>
      </c>
      <c r="D54" s="12"/>
      <c r="E54" s="13">
        <f t="array" ref="E54:AL54">tlccQubc4</f>
        <v>5622.5439436619699</v>
      </c>
      <c r="F54" s="13">
        <v>5622.5439436619699</v>
      </c>
      <c r="G54" s="13">
        <v>5622.5439436619699</v>
      </c>
      <c r="H54" s="13">
        <v>5622.5439436619699</v>
      </c>
      <c r="I54" s="13">
        <v>5622.5439436619699</v>
      </c>
      <c r="J54" s="13">
        <v>5622.5439436619699</v>
      </c>
      <c r="K54" s="13">
        <v>5622.5439436619699</v>
      </c>
      <c r="L54" s="13">
        <v>5622.5439436619699</v>
      </c>
      <c r="M54" s="13">
        <v>5622.5439436619699</v>
      </c>
      <c r="N54" s="13">
        <v>5622.5439436619699</v>
      </c>
      <c r="O54" s="13">
        <v>5622.5439436619699</v>
      </c>
      <c r="P54" s="13">
        <v>5622.5439436619699</v>
      </c>
      <c r="Q54" s="13">
        <v>5622.5439436619699</v>
      </c>
      <c r="R54" s="13">
        <v>5622.5439436619699</v>
      </c>
      <c r="S54" s="13">
        <v>5622.5439436619699</v>
      </c>
      <c r="T54" s="13">
        <v>5622.5439436619699</v>
      </c>
      <c r="U54" s="13">
        <v>5622.5439436619699</v>
      </c>
      <c r="V54" s="13">
        <v>5622.5439436619699</v>
      </c>
      <c r="W54" s="13">
        <v>5622.5439436619699</v>
      </c>
      <c r="X54" s="13">
        <v>5622.5439436619699</v>
      </c>
      <c r="Y54" s="13">
        <v>5622.5439436619699</v>
      </c>
      <c r="Z54" s="13">
        <v>5622.5439436619699</v>
      </c>
      <c r="AA54" s="13">
        <v>5622.5439436619699</v>
      </c>
      <c r="AB54" s="13">
        <v>5622.5439436619699</v>
      </c>
      <c r="AC54" s="13">
        <v>5622.5439436619699</v>
      </c>
      <c r="AD54" s="13">
        <v>5622.5439436619699</v>
      </c>
      <c r="AE54" s="13">
        <v>5622.5439436619699</v>
      </c>
      <c r="AF54" s="13">
        <v>5622.5439436619699</v>
      </c>
      <c r="AG54" s="13">
        <v>5622.5439436619699</v>
      </c>
      <c r="AH54" s="13">
        <v>5622.5439436619699</v>
      </c>
      <c r="AI54" s="13">
        <v>5622.5439436619699</v>
      </c>
      <c r="AJ54" s="13">
        <v>5622.5439436619699</v>
      </c>
      <c r="AK54" s="13">
        <v>5622.5439436619699</v>
      </c>
      <c r="AL54" s="56">
        <v>5622.5439436619699</v>
      </c>
      <c r="AM54" s="10"/>
    </row>
    <row r="55" spans="2:39" ht="15" hidden="1">
      <c r="B55" s="10"/>
      <c r="C55" s="11" t="str">
        <f>"EL 5: " &amp; INDEX(_doName,1,6)</f>
        <v>EL 5: EL 5</v>
      </c>
      <c r="D55" s="12"/>
      <c r="E55" s="13">
        <f t="array" ref="E55:AL55">tlccQubc5</f>
        <v>6430.7128342618098</v>
      </c>
      <c r="F55" s="13">
        <v>6430.7128342618098</v>
      </c>
      <c r="G55" s="13">
        <v>6430.7128342618098</v>
      </c>
      <c r="H55" s="13">
        <v>6430.7128342618098</v>
      </c>
      <c r="I55" s="13">
        <v>6430.7128342618098</v>
      </c>
      <c r="J55" s="13">
        <v>6430.7128342618098</v>
      </c>
      <c r="K55" s="13">
        <v>6430.7128342618098</v>
      </c>
      <c r="L55" s="13">
        <v>6430.7128342618098</v>
      </c>
      <c r="M55" s="13">
        <v>6430.7128342618098</v>
      </c>
      <c r="N55" s="13">
        <v>6430.7128342618098</v>
      </c>
      <c r="O55" s="13">
        <v>6430.7128342618098</v>
      </c>
      <c r="P55" s="13">
        <v>6430.7128342618098</v>
      </c>
      <c r="Q55" s="13">
        <v>6430.7128342618098</v>
      </c>
      <c r="R55" s="13">
        <v>6430.7128342618098</v>
      </c>
      <c r="S55" s="13">
        <v>6430.7128342618098</v>
      </c>
      <c r="T55" s="13">
        <v>6430.7128342618098</v>
      </c>
      <c r="U55" s="13">
        <v>6430.7128342618098</v>
      </c>
      <c r="V55" s="13">
        <v>6430.7128342618098</v>
      </c>
      <c r="W55" s="13">
        <v>6430.7128342618098</v>
      </c>
      <c r="X55" s="13">
        <v>6430.7128342618098</v>
      </c>
      <c r="Y55" s="13">
        <v>6430.7128342618098</v>
      </c>
      <c r="Z55" s="13">
        <v>6430.7128342618098</v>
      </c>
      <c r="AA55" s="13">
        <v>6430.7128342618098</v>
      </c>
      <c r="AB55" s="13">
        <v>6430.7128342618098</v>
      </c>
      <c r="AC55" s="13">
        <v>6430.7128342618098</v>
      </c>
      <c r="AD55" s="13">
        <v>6430.7128342618098</v>
      </c>
      <c r="AE55" s="13">
        <v>6430.7128342618098</v>
      </c>
      <c r="AF55" s="13">
        <v>6430.7128342618098</v>
      </c>
      <c r="AG55" s="13">
        <v>6430.7128342618098</v>
      </c>
      <c r="AH55" s="13">
        <v>6430.7128342618098</v>
      </c>
      <c r="AI55" s="13">
        <v>6430.7128342618098</v>
      </c>
      <c r="AJ55" s="13">
        <v>6430.7128342618098</v>
      </c>
      <c r="AK55" s="13">
        <v>6430.7128342618098</v>
      </c>
      <c r="AL55" s="56">
        <v>6430.7128342618098</v>
      </c>
      <c r="AM55" s="10"/>
    </row>
    <row r="56" spans="2:39" ht="15" hidden="1">
      <c r="B56" s="10"/>
      <c r="C56" s="21" t="str">
        <f>"EL 6: " &amp; INDEX(_doName,1,7)</f>
        <v>EL 6: EL 6</v>
      </c>
      <c r="D56" s="18"/>
      <c r="E56" s="58">
        <f t="array" ref="E56:AL56">tlccQubc6</f>
        <v>7267.0659445983601</v>
      </c>
      <c r="F56" s="58">
        <v>7267.0659445983601</v>
      </c>
      <c r="G56" s="58">
        <v>7267.0659445983601</v>
      </c>
      <c r="H56" s="58">
        <v>7267.0659445983601</v>
      </c>
      <c r="I56" s="58">
        <v>7267.0659445983601</v>
      </c>
      <c r="J56" s="58">
        <v>7267.0659445983601</v>
      </c>
      <c r="K56" s="58">
        <v>7267.0659445983601</v>
      </c>
      <c r="L56" s="58">
        <v>7267.0659445983601</v>
      </c>
      <c r="M56" s="58">
        <v>7267.0659445983601</v>
      </c>
      <c r="N56" s="58">
        <v>7267.0659445983601</v>
      </c>
      <c r="O56" s="58">
        <v>7267.0659445983601</v>
      </c>
      <c r="P56" s="58">
        <v>7267.0659445983601</v>
      </c>
      <c r="Q56" s="58">
        <v>7267.0659445983601</v>
      </c>
      <c r="R56" s="58">
        <v>7267.0659445983601</v>
      </c>
      <c r="S56" s="58">
        <v>7267.0659445983601</v>
      </c>
      <c r="T56" s="58">
        <v>7267.0659445983601</v>
      </c>
      <c r="U56" s="58">
        <v>7267.0659445983601</v>
      </c>
      <c r="V56" s="58">
        <v>7267.0659445983601</v>
      </c>
      <c r="W56" s="58">
        <v>7267.0659445983601</v>
      </c>
      <c r="X56" s="58">
        <v>7267.0659445983601</v>
      </c>
      <c r="Y56" s="58">
        <v>7267.0659445983601</v>
      </c>
      <c r="Z56" s="58">
        <v>7267.0659445983601</v>
      </c>
      <c r="AA56" s="58">
        <v>7267.0659445983601</v>
      </c>
      <c r="AB56" s="58">
        <v>7267.0659445983601</v>
      </c>
      <c r="AC56" s="58">
        <v>7267.0659445983601</v>
      </c>
      <c r="AD56" s="58">
        <v>7267.0659445983601</v>
      </c>
      <c r="AE56" s="58">
        <v>7267.0659445983601</v>
      </c>
      <c r="AF56" s="58">
        <v>7267.0659445983601</v>
      </c>
      <c r="AG56" s="58">
        <v>7267.0659445983601</v>
      </c>
      <c r="AH56" s="58">
        <v>7267.0659445983601</v>
      </c>
      <c r="AI56" s="58">
        <v>7267.0659445983601</v>
      </c>
      <c r="AJ56" s="58">
        <v>7267.0659445983601</v>
      </c>
      <c r="AK56" s="58">
        <v>7267.0659445983601</v>
      </c>
      <c r="AL56" s="59">
        <v>7267.0659445983601</v>
      </c>
      <c r="AM56" s="10"/>
    </row>
    <row r="57" spans="2:39" ht="15" hidden="1">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2:39" ht="15" hidden="1">
      <c r="B58" s="10"/>
      <c r="C58" s="22" t="s">
        <v>88</v>
      </c>
      <c r="D58" s="23"/>
      <c r="E58" s="24">
        <f t="array" ref="E58:AL58">_yS</f>
        <v>2019</v>
      </c>
      <c r="F58" s="24">
        <v>2020</v>
      </c>
      <c r="G58" s="24">
        <v>2021</v>
      </c>
      <c r="H58" s="24">
        <v>2022</v>
      </c>
      <c r="I58" s="24">
        <v>2023</v>
      </c>
      <c r="J58" s="24">
        <v>2024</v>
      </c>
      <c r="K58" s="24">
        <v>2025</v>
      </c>
      <c r="L58" s="24">
        <v>2026</v>
      </c>
      <c r="M58" s="24">
        <v>2027</v>
      </c>
      <c r="N58" s="24">
        <v>2028</v>
      </c>
      <c r="O58" s="24">
        <v>2029</v>
      </c>
      <c r="P58" s="24">
        <v>2030</v>
      </c>
      <c r="Q58" s="24">
        <v>2031</v>
      </c>
      <c r="R58" s="24">
        <v>2032</v>
      </c>
      <c r="S58" s="24">
        <v>2033</v>
      </c>
      <c r="T58" s="24">
        <v>2034</v>
      </c>
      <c r="U58" s="24">
        <v>2035</v>
      </c>
      <c r="V58" s="24">
        <v>2036</v>
      </c>
      <c r="W58" s="24">
        <v>2037</v>
      </c>
      <c r="X58" s="24">
        <v>2038</v>
      </c>
      <c r="Y58" s="24">
        <v>2039</v>
      </c>
      <c r="Z58" s="24">
        <v>2040</v>
      </c>
      <c r="AA58" s="24">
        <v>2041</v>
      </c>
      <c r="AB58" s="24">
        <v>2042</v>
      </c>
      <c r="AC58" s="24">
        <v>2043</v>
      </c>
      <c r="AD58" s="24">
        <v>2044</v>
      </c>
      <c r="AE58" s="24">
        <v>2045</v>
      </c>
      <c r="AF58" s="24">
        <v>2046</v>
      </c>
      <c r="AG58" s="24">
        <v>2047</v>
      </c>
      <c r="AH58" s="24">
        <v>2048</v>
      </c>
      <c r="AI58" s="24">
        <v>2049</v>
      </c>
      <c r="AJ58" s="24">
        <v>2050</v>
      </c>
      <c r="AK58" s="24">
        <v>2051</v>
      </c>
      <c r="AL58" s="25">
        <v>2052</v>
      </c>
      <c r="AM58" s="10"/>
    </row>
    <row r="59" spans="2:39" ht="15" hidden="1">
      <c r="B59" s="10"/>
      <c r="C59" s="11" t="str">
        <f>"EL 0: " &amp; INDEX(_doName,1,1)</f>
        <v>EL 0: EL 0</v>
      </c>
      <c r="D59" s="12"/>
      <c r="E59" s="13">
        <f t="array" aca="1" ref="E59:AL59" ca="1">tlccEubc0</f>
        <v>24825.162504091502</v>
      </c>
      <c r="F59" s="13">
        <f ca="1"/>
        <v>25028.310026053321</v>
      </c>
      <c r="G59" s="13">
        <f ca="1"/>
        <v>25225.154747933542</v>
      </c>
      <c r="H59" s="13">
        <f ca="1"/>
        <v>25402.139188797206</v>
      </c>
      <c r="I59" s="13">
        <f ca="1"/>
        <v>25562.134994559281</v>
      </c>
      <c r="J59" s="13">
        <f ca="1"/>
        <v>25723.16001233337</v>
      </c>
      <c r="K59" s="13">
        <f ca="1"/>
        <v>25885.221019438144</v>
      </c>
      <c r="L59" s="13">
        <f ca="1"/>
        <v>26048.324838939654</v>
      </c>
      <c r="M59" s="13">
        <f ca="1"/>
        <v>26212.478339967889</v>
      </c>
      <c r="N59" s="13">
        <f ca="1"/>
        <v>26377.688438035573</v>
      </c>
      <c r="O59" s="13">
        <f ca="1"/>
        <v>26543.962095359424</v>
      </c>
      <c r="P59" s="13">
        <f ca="1"/>
        <v>26711.306321183369</v>
      </c>
      <c r="Q59" s="13">
        <f ca="1"/>
        <v>26879.728172104347</v>
      </c>
      <c r="R59" s="13">
        <f ca="1"/>
        <v>27049.234752400233</v>
      </c>
      <c r="S59" s="13">
        <f ca="1"/>
        <v>27219.833214360187</v>
      </c>
      <c r="T59" s="13">
        <f ca="1"/>
        <v>27391.530758617333</v>
      </c>
      <c r="U59" s="13">
        <f ca="1"/>
        <v>27564.334634483715</v>
      </c>
      <c r="V59" s="13">
        <f ca="1"/>
        <v>27738.25214028775</v>
      </c>
      <c r="W59" s="13">
        <f ca="1"/>
        <v>27913.290623714012</v>
      </c>
      <c r="X59" s="13">
        <f ca="1"/>
        <v>28089.457482145433</v>
      </c>
      <c r="Y59" s="13">
        <f ca="1"/>
        <v>28266.760163007944</v>
      </c>
      <c r="Z59" s="13">
        <f ca="1"/>
        <v>28445.206164117557</v>
      </c>
      <c r="AA59" s="13">
        <f ca="1"/>
        <v>28624.803034029916</v>
      </c>
      <c r="AB59" s="13">
        <f ca="1"/>
        <v>28805.558372392275</v>
      </c>
      <c r="AC59" s="13">
        <f ca="1"/>
        <v>28987.479830298191</v>
      </c>
      <c r="AD59" s="13">
        <f ca="1"/>
        <v>29170.575110644379</v>
      </c>
      <c r="AE59" s="13">
        <f ca="1"/>
        <v>29354.851968490442</v>
      </c>
      <c r="AF59" s="13">
        <f ca="1"/>
        <v>29540.318211420949</v>
      </c>
      <c r="AG59" s="13">
        <f ca="1"/>
        <v>29726.9816999102</v>
      </c>
      <c r="AH59" s="13">
        <f ca="1"/>
        <v>29914.850347689498</v>
      </c>
      <c r="AI59" s="13">
        <f ca="1"/>
        <v>30103.932122117145</v>
      </c>
      <c r="AJ59" s="13">
        <f ca="1"/>
        <v>30294.23504455086</v>
      </c>
      <c r="AK59" s="13">
        <f ca="1"/>
        <v>30485.767190723196</v>
      </c>
      <c r="AL59" s="56">
        <f ca="1"/>
        <v>30678.536691119229</v>
      </c>
      <c r="AM59" s="10"/>
    </row>
    <row r="60" spans="2:39" ht="15" hidden="1">
      <c r="B60" s="10"/>
      <c r="C60" s="11" t="str">
        <f>"EL 1: " &amp; INDEX(_doName,1,2)</f>
        <v>EL 1: EL 1</v>
      </c>
      <c r="D60" s="12"/>
      <c r="E60" s="13">
        <f t="array" aca="1" ref="E60:AL60" ca="1">tlccEubc1</f>
        <v>47690.333235947001</v>
      </c>
      <c r="F60" s="13">
        <f ca="1"/>
        <v>48080.589413195405</v>
      </c>
      <c r="G60" s="13">
        <f ca="1"/>
        <v>48458.737607820825</v>
      </c>
      <c r="H60" s="13">
        <f ca="1"/>
        <v>48798.73324575372</v>
      </c>
      <c r="I60" s="13">
        <f ca="1"/>
        <v>49106.092897151306</v>
      </c>
      <c r="J60" s="13">
        <f ca="1"/>
        <v>49415.429714411017</v>
      </c>
      <c r="K60" s="13">
        <f ca="1"/>
        <v>49726.756717088487</v>
      </c>
      <c r="L60" s="13">
        <f ca="1"/>
        <v>50040.087012622331</v>
      </c>
      <c r="M60" s="13">
        <f ca="1"/>
        <v>50355.433796942249</v>
      </c>
      <c r="N60" s="13">
        <f ca="1"/>
        <v>50672.810355081318</v>
      </c>
      <c r="O60" s="13">
        <f ca="1"/>
        <v>50992.230061793278</v>
      </c>
      <c r="P60" s="13">
        <f ca="1"/>
        <v>51313.706382173448</v>
      </c>
      <c r="Q60" s="13">
        <f ca="1"/>
        <v>51637.252872284509</v>
      </c>
      <c r="R60" s="13">
        <f ca="1"/>
        <v>51962.88317978663</v>
      </c>
      <c r="S60" s="13">
        <f ca="1"/>
        <v>52290.611044571757</v>
      </c>
      <c r="T60" s="13">
        <f ca="1"/>
        <v>52620.450299403128</v>
      </c>
      <c r="U60" s="13">
        <f ca="1"/>
        <v>52952.414870558394</v>
      </c>
      <c r="V60" s="13">
        <f ca="1"/>
        <v>53286.518778478123</v>
      </c>
      <c r="W60" s="13">
        <f ca="1"/>
        <v>53622.776138418383</v>
      </c>
      <c r="X60" s="13">
        <f ca="1"/>
        <v>53961.201161108154</v>
      </c>
      <c r="Y60" s="13">
        <f ca="1"/>
        <v>54301.808153411497</v>
      </c>
      <c r="Z60" s="13">
        <f ca="1"/>
        <v>54644.611518994177</v>
      </c>
      <c r="AA60" s="13">
        <f ca="1"/>
        <v>54989.625758995266</v>
      </c>
      <c r="AB60" s="13">
        <f ca="1"/>
        <v>55336.865472703394</v>
      </c>
      <c r="AC60" s="13">
        <f ca="1"/>
        <v>55686.345358237762</v>
      </c>
      <c r="AD60" s="13">
        <f ca="1"/>
        <v>56038.080213234149</v>
      </c>
      <c r="AE60" s="13">
        <f ca="1"/>
        <v>56392.08493553572</v>
      </c>
      <c r="AF60" s="13">
        <f ca="1"/>
        <v>56748.374523888604</v>
      </c>
      <c r="AG60" s="13">
        <f ca="1"/>
        <v>57106.964078642544</v>
      </c>
      <c r="AH60" s="13">
        <f ca="1"/>
        <v>57467.868802456724</v>
      </c>
      <c r="AI60" s="13">
        <f ca="1"/>
        <v>57831.104001010273</v>
      </c>
      <c r="AJ60" s="13">
        <f ca="1"/>
        <v>58196.685083717901</v>
      </c>
      <c r="AK60" s="13">
        <f ca="1"/>
        <v>58564.627564450879</v>
      </c>
      <c r="AL60" s="56">
        <f ca="1"/>
        <v>58934.947062262778</v>
      </c>
      <c r="AM60" s="10"/>
    </row>
    <row r="61" spans="2:39" ht="15" hidden="1">
      <c r="B61" s="10"/>
      <c r="C61" s="11" t="str">
        <f>"EL 2: " &amp; INDEX(_doName,1,3)</f>
        <v>EL 2: EL 2</v>
      </c>
      <c r="D61" s="12"/>
      <c r="E61" s="13">
        <f t="array" aca="1" ref="E61:AL61" ca="1">tlccEubc2</f>
        <v>44282.605140253385</v>
      </c>
      <c r="F61" s="13">
        <f ca="1"/>
        <v>44644.975436873727</v>
      </c>
      <c r="G61" s="13">
        <f ca="1"/>
        <v>44996.10293066271</v>
      </c>
      <c r="H61" s="13">
        <f ca="1"/>
        <v>45311.804070965081</v>
      </c>
      <c r="I61" s="13">
        <f ca="1"/>
        <v>45597.20123964388</v>
      </c>
      <c r="J61" s="13">
        <f ca="1"/>
        <v>45884.434295162326</v>
      </c>
      <c r="K61" s="13">
        <f ca="1"/>
        <v>46173.515326759589</v>
      </c>
      <c r="L61" s="13">
        <f ca="1"/>
        <v>46464.456505278067</v>
      </c>
      <c r="M61" s="13">
        <f ca="1"/>
        <v>46757.270083727955</v>
      </c>
      <c r="N61" s="13">
        <f ca="1"/>
        <v>47051.968397856166</v>
      </c>
      <c r="O61" s="13">
        <f ca="1"/>
        <v>47348.563866718992</v>
      </c>
      <c r="P61" s="13">
        <f ca="1"/>
        <v>47647.068993259134</v>
      </c>
      <c r="Q61" s="13">
        <f ca="1"/>
        <v>47947.49636488637</v>
      </c>
      <c r="R61" s="13">
        <f ca="1"/>
        <v>48249.858654062948</v>
      </c>
      <c r="S61" s="13">
        <f ca="1"/>
        <v>48554.168618892472</v>
      </c>
      <c r="T61" s="13">
        <f ca="1"/>
        <v>48860.439103713572</v>
      </c>
      <c r="U61" s="13">
        <f ca="1"/>
        <v>49168.683039697273</v>
      </c>
      <c r="V61" s="13">
        <f ca="1"/>
        <v>49478.913445449034</v>
      </c>
      <c r="W61" s="13">
        <f ca="1"/>
        <v>49791.14342761477</v>
      </c>
      <c r="X61" s="13">
        <f ca="1"/>
        <v>50105.386181491311</v>
      </c>
      <c r="Y61" s="13">
        <f ca="1"/>
        <v>50421.654991641029</v>
      </c>
      <c r="Z61" s="13">
        <f ca="1"/>
        <v>50739.963232511225</v>
      </c>
      <c r="AA61" s="13">
        <f ca="1"/>
        <v>51060.32436905738</v>
      </c>
      <c r="AB61" s="13">
        <f ca="1"/>
        <v>51382.751957371256</v>
      </c>
      <c r="AC61" s="13">
        <f ca="1"/>
        <v>51707.259645313243</v>
      </c>
      <c r="AD61" s="13">
        <f ca="1"/>
        <v>52033.861173149278</v>
      </c>
      <c r="AE61" s="13">
        <f ca="1"/>
        <v>52362.570374192321</v>
      </c>
      <c r="AF61" s="13">
        <f ca="1"/>
        <v>52693.401175448293</v>
      </c>
      <c r="AG61" s="13">
        <f ca="1"/>
        <v>53026.367598266632</v>
      </c>
      <c r="AH61" s="13">
        <f ca="1"/>
        <v>53361.483758995644</v>
      </c>
      <c r="AI61" s="13">
        <f ca="1"/>
        <v>53698.763869642113</v>
      </c>
      <c r="AJ61" s="13">
        <f ca="1"/>
        <v>54038.222238536153</v>
      </c>
      <c r="AK61" s="13">
        <f ca="1"/>
        <v>54379.873271000382</v>
      </c>
      <c r="AL61" s="56">
        <f ca="1"/>
        <v>54723.731470023849</v>
      </c>
      <c r="AM61" s="10"/>
    </row>
    <row r="62" spans="2:39" ht="15" hidden="1">
      <c r="B62" s="10"/>
      <c r="C62" s="11" t="str">
        <f>"EL 3: " &amp; INDEX(_doName,1,4)</f>
        <v>EL 3: EL 3</v>
      </c>
      <c r="D62" s="12"/>
      <c r="E62" s="13">
        <f t="array" aca="1" ref="E62:AL62" ca="1">tlccEubc3</f>
        <v>44062.106260280314</v>
      </c>
      <c r="F62" s="13">
        <f ca="1"/>
        <v>44422.672185990552</v>
      </c>
      <c r="G62" s="13">
        <f ca="1"/>
        <v>44772.051290793279</v>
      </c>
      <c r="H62" s="13">
        <f ca="1"/>
        <v>45086.180442554709</v>
      </c>
      <c r="I62" s="13">
        <f ca="1"/>
        <v>45370.156516972202</v>
      </c>
      <c r="J62" s="13">
        <f ca="1"/>
        <v>45655.95933669417</v>
      </c>
      <c r="K62" s="13">
        <f ca="1"/>
        <v>45943.600930763154</v>
      </c>
      <c r="L62" s="13">
        <f ca="1"/>
        <v>46233.093409418616</v>
      </c>
      <c r="M62" s="13">
        <f ca="1"/>
        <v>46524.448964658572</v>
      </c>
      <c r="N62" s="13">
        <f ca="1"/>
        <v>46817.67987080595</v>
      </c>
      <c r="O62" s="13">
        <f ca="1"/>
        <v>47112.798485078107</v>
      </c>
      <c r="P62" s="13">
        <f ca="1"/>
        <v>47409.817248161089</v>
      </c>
      <c r="Q62" s="13">
        <f ca="1"/>
        <v>47708.748684787497</v>
      </c>
      <c r="R62" s="13">
        <f ca="1"/>
        <v>48009.605404318841</v>
      </c>
      <c r="S62" s="13">
        <f ca="1"/>
        <v>48312.400101331674</v>
      </c>
      <c r="T62" s="13">
        <f ca="1"/>
        <v>48617.145556207965</v>
      </c>
      <c r="U62" s="13">
        <f ca="1"/>
        <v>48923.854635729949</v>
      </c>
      <c r="V62" s="13">
        <f ca="1"/>
        <v>49232.540293678663</v>
      </c>
      <c r="W62" s="13">
        <f ca="1"/>
        <v>49543.215571437511</v>
      </c>
      <c r="X62" s="13">
        <f ca="1"/>
        <v>49855.893598599097</v>
      </c>
      <c r="Y62" s="13">
        <f ca="1"/>
        <v>50170.587593577344</v>
      </c>
      <c r="Z62" s="13">
        <f ca="1"/>
        <v>50487.310864223335</v>
      </c>
      <c r="AA62" s="13">
        <f ca="1"/>
        <v>50806.07680844573</v>
      </c>
      <c r="AB62" s="13">
        <f ca="1"/>
        <v>51126.898914835692</v>
      </c>
      <c r="AC62" s="13">
        <f ca="1"/>
        <v>51449.790763296063</v>
      </c>
      <c r="AD62" s="13">
        <f ca="1"/>
        <v>51774.766025675141</v>
      </c>
      <c r="AE62" s="13">
        <f ca="1"/>
        <v>52101.838466404828</v>
      </c>
      <c r="AF62" s="13">
        <f ca="1"/>
        <v>52431.021943143474</v>
      </c>
      <c r="AG62" s="13">
        <f ca="1"/>
        <v>52762.330407423295</v>
      </c>
      <c r="AH62" s="13">
        <f ca="1"/>
        <v>53095.77790530221</v>
      </c>
      <c r="AI62" s="13">
        <f ca="1"/>
        <v>53431.378578020449</v>
      </c>
      <c r="AJ62" s="13">
        <f ca="1"/>
        <v>53769.146662661748</v>
      </c>
      <c r="AK62" s="13">
        <f ca="1"/>
        <v>54109.096492819517</v>
      </c>
      <c r="AL62" s="56">
        <f ca="1"/>
        <v>54451.24249926729</v>
      </c>
      <c r="AM62" s="10"/>
    </row>
    <row r="63" spans="2:39" ht="15" hidden="1">
      <c r="B63" s="10"/>
      <c r="C63" s="11" t="str">
        <f>"EL 4: " &amp; INDEX(_doName,1,5)</f>
        <v>EL 4: EL 4</v>
      </c>
      <c r="D63" s="12"/>
      <c r="E63" s="13">
        <f t="array" aca="1" ref="E63:AL63" ca="1">tlccEubc4</f>
        <v>52757.98021689392</v>
      </c>
      <c r="F63" s="13">
        <f ca="1"/>
        <v>53189.705606123767</v>
      </c>
      <c r="G63" s="13">
        <f ca="1"/>
        <v>53608.036400173798</v>
      </c>
      <c r="H63" s="13">
        <f ca="1"/>
        <v>53984.160489119589</v>
      </c>
      <c r="I63" s="13">
        <f ca="1"/>
        <v>54324.18064221181</v>
      </c>
      <c r="J63" s="13">
        <f ca="1"/>
        <v>54666.388057802767</v>
      </c>
      <c r="K63" s="13">
        <f ca="1"/>
        <v>55010.797138925765</v>
      </c>
      <c r="L63" s="13">
        <f ca="1"/>
        <v>55357.422385835758</v>
      </c>
      <c r="M63" s="13">
        <f ca="1"/>
        <v>55706.278396681759</v>
      </c>
      <c r="N63" s="13">
        <f ca="1"/>
        <v>56057.379868184704</v>
      </c>
      <c r="O63" s="13">
        <f ca="1"/>
        <v>56410.74159631988</v>
      </c>
      <c r="P63" s="13">
        <f ca="1"/>
        <v>56766.378477003986</v>
      </c>
      <c r="Q63" s="13">
        <f ca="1"/>
        <v>57124.305506787445</v>
      </c>
      <c r="R63" s="13">
        <f ca="1"/>
        <v>57484.537783551372</v>
      </c>
      <c r="S63" s="13">
        <f ca="1"/>
        <v>57847.090507209577</v>
      </c>
      <c r="T63" s="13">
        <f ca="1"/>
        <v>58211.978980415559</v>
      </c>
      <c r="U63" s="13">
        <f ca="1"/>
        <v>58579.218609274307</v>
      </c>
      <c r="V63" s="13">
        <f ca="1"/>
        <v>58948.824904059613</v>
      </c>
      <c r="W63" s="13">
        <f ca="1"/>
        <v>59320.813479936063</v>
      </c>
      <c r="X63" s="13">
        <f ca="1"/>
        <v>59695.200057686205</v>
      </c>
      <c r="Y63" s="13">
        <f ca="1"/>
        <v>60072.000464443037</v>
      </c>
      <c r="Z63" s="13">
        <f ca="1"/>
        <v>60451.230634427753</v>
      </c>
      <c r="AA63" s="13">
        <f ca="1"/>
        <v>60832.906609692356</v>
      </c>
      <c r="AB63" s="13">
        <f ca="1"/>
        <v>61217.044540867937</v>
      </c>
      <c r="AC63" s="13">
        <f ca="1"/>
        <v>61603.660687918222</v>
      </c>
      <c r="AD63" s="13">
        <f ca="1"/>
        <v>61992.771420898105</v>
      </c>
      <c r="AE63" s="13">
        <f ca="1"/>
        <v>62384.393220717997</v>
      </c>
      <c r="AF63" s="13">
        <f ca="1"/>
        <v>62778.542679913546</v>
      </c>
      <c r="AG63" s="13">
        <f ca="1"/>
        <v>63175.236503420623</v>
      </c>
      <c r="AH63" s="13">
        <f ca="1"/>
        <v>63574.491509355903</v>
      </c>
      <c r="AI63" s="13">
        <f ca="1"/>
        <v>63976.324629803108</v>
      </c>
      <c r="AJ63" s="13">
        <f ca="1"/>
        <v>64380.752911604679</v>
      </c>
      <c r="AK63" s="13">
        <f ca="1"/>
        <v>64787.7935171594</v>
      </c>
      <c r="AL63" s="56">
        <f ca="1"/>
        <v>65197.463725225076</v>
      </c>
      <c r="AM63" s="10"/>
    </row>
    <row r="64" spans="2:39" ht="15" hidden="1">
      <c r="B64" s="10"/>
      <c r="C64" s="11" t="str">
        <f>"EL 5: " &amp; INDEX(_doName,1,6)</f>
        <v>EL 5: EL 5</v>
      </c>
      <c r="D64" s="12"/>
      <c r="E64" s="13">
        <f t="array" aca="1" ref="E64:AL64" ca="1">tlccEubc5</f>
        <v>64255.050575274661</v>
      </c>
      <c r="F64" s="13">
        <f ca="1"/>
        <v>64780.857981197878</v>
      </c>
      <c r="G64" s="13">
        <f ca="1"/>
        <v>65290.351828732833</v>
      </c>
      <c r="H64" s="13">
        <f ca="1"/>
        <v>65748.441244939342</v>
      </c>
      <c r="I64" s="13">
        <f ca="1"/>
        <v>66162.558920478434</v>
      </c>
      <c r="J64" s="13">
        <f ca="1"/>
        <v>66579.340508887079</v>
      </c>
      <c r="K64" s="13">
        <f ca="1"/>
        <v>66998.803551921781</v>
      </c>
      <c r="L64" s="13">
        <f ca="1"/>
        <v>67420.965709747048</v>
      </c>
      <c r="M64" s="13">
        <f ca="1"/>
        <v>67845.844761754852</v>
      </c>
      <c r="N64" s="13">
        <f ca="1"/>
        <v>68273.458607389693</v>
      </c>
      <c r="O64" s="13">
        <f ca="1"/>
        <v>68703.82526698029</v>
      </c>
      <c r="P64" s="13">
        <f ca="1"/>
        <v>69136.96288257603</v>
      </c>
      <c r="Q64" s="13">
        <f ca="1"/>
        <v>69572.889718790058</v>
      </c>
      <c r="R64" s="13">
        <f ca="1"/>
        <v>70011.624163648507</v>
      </c>
      <c r="S64" s="13">
        <f ca="1"/>
        <v>70453.184729445231</v>
      </c>
      <c r="T64" s="13">
        <f ca="1"/>
        <v>70897.590053602704</v>
      </c>
      <c r="U64" s="13">
        <f ca="1"/>
        <v>71344.858899539482</v>
      </c>
      <c r="V64" s="13">
        <f ca="1"/>
        <v>71795.010157543191</v>
      </c>
      <c r="W64" s="13">
        <f ca="1"/>
        <v>72248.062845650289</v>
      </c>
      <c r="X64" s="13">
        <f ca="1"/>
        <v>72704.036110531495</v>
      </c>
      <c r="Y64" s="13">
        <f ca="1"/>
        <v>73162.94922838427</v>
      </c>
      <c r="Z64" s="13">
        <f ca="1"/>
        <v>73624.821605830526</v>
      </c>
      <c r="AA64" s="13">
        <f ca="1"/>
        <v>74089.672780821827</v>
      </c>
      <c r="AB64" s="13">
        <f ca="1"/>
        <v>74557.522423550676</v>
      </c>
      <c r="AC64" s="13">
        <f ca="1"/>
        <v>75028.390337367789</v>
      </c>
      <c r="AD64" s="13">
        <f ca="1"/>
        <v>75502.29645970634</v>
      </c>
      <c r="AE64" s="13">
        <f ca="1"/>
        <v>75979.26086301294</v>
      </c>
      <c r="AF64" s="13">
        <f ca="1"/>
        <v>76459.303755684479</v>
      </c>
      <c r="AG64" s="13">
        <f ca="1"/>
        <v>76942.445483012882</v>
      </c>
      <c r="AH64" s="13">
        <f ca="1"/>
        <v>77428.706528134993</v>
      </c>
      <c r="AI64" s="13">
        <f ca="1"/>
        <v>77918.1075129909</v>
      </c>
      <c r="AJ64" s="13">
        <f ca="1"/>
        <v>78410.669199287528</v>
      </c>
      <c r="AK64" s="13">
        <f ca="1"/>
        <v>78906.412489469949</v>
      </c>
      <c r="AL64" s="56">
        <f ca="1"/>
        <v>79405.358427700106</v>
      </c>
      <c r="AM64" s="10"/>
    </row>
    <row r="65" spans="2:39" ht="15" hidden="1">
      <c r="B65" s="10"/>
      <c r="C65" s="21" t="str">
        <f>"EL 6: " &amp; INDEX(_doName,1,7)</f>
        <v>EL 6: EL 6</v>
      </c>
      <c r="D65" s="18"/>
      <c r="E65" s="58">
        <f t="array" aca="1" ref="E65:AL65" ca="1">tlccEubc6</f>
        <v>40417.485286573319</v>
      </c>
      <c r="F65" s="58">
        <f ca="1"/>
        <v>40748.226806534869</v>
      </c>
      <c r="G65" s="58">
        <f ca="1"/>
        <v>41068.706829536677</v>
      </c>
      <c r="H65" s="58">
        <f ca="1"/>
        <v>41356.852618446595</v>
      </c>
      <c r="I65" s="58">
        <f ca="1"/>
        <v>41617.339458129376</v>
      </c>
      <c r="J65" s="58">
        <f ca="1"/>
        <v>41879.50194288983</v>
      </c>
      <c r="K65" s="58">
        <f ca="1"/>
        <v>42143.351106781709</v>
      </c>
      <c r="L65" s="58">
        <f ca="1"/>
        <v>42408.898058339393</v>
      </c>
      <c r="M65" s="58">
        <f ca="1"/>
        <v>42676.153981093383</v>
      </c>
      <c r="N65" s="58">
        <f ca="1"/>
        <v>42945.13013408913</v>
      </c>
      <c r="O65" s="58">
        <f ca="1"/>
        <v>43215.837852410157</v>
      </c>
      <c r="P65" s="58">
        <f ca="1"/>
        <v>43488.288547704375</v>
      </c>
      <c r="Q65" s="58">
        <f ca="1"/>
        <v>43762.49370871445</v>
      </c>
      <c r="R65" s="58">
        <f ca="1"/>
        <v>44038.464901811676</v>
      </c>
      <c r="S65" s="58">
        <f ca="1"/>
        <v>44316.213771533759</v>
      </c>
      <c r="T65" s="58">
        <f ca="1"/>
        <v>44595.752041126529</v>
      </c>
      <c r="U65" s="58">
        <f ca="1"/>
        <v>44877.091513089385</v>
      </c>
      <c r="V65" s="58">
        <f ca="1"/>
        <v>45160.244069724336</v>
      </c>
      <c r="W65" s="58">
        <f ca="1"/>
        <v>45445.221673689652</v>
      </c>
      <c r="X65" s="58">
        <f ca="1"/>
        <v>45732.036368556626</v>
      </c>
      <c r="Y65" s="58">
        <f ca="1"/>
        <v>46020.700279370853</v>
      </c>
      <c r="Z65" s="58">
        <f ca="1"/>
        <v>46311.225613217401</v>
      </c>
      <c r="AA65" s="58">
        <f ca="1"/>
        <v>46603.624659789624</v>
      </c>
      <c r="AB65" s="58">
        <f ca="1"/>
        <v>46897.909791962549</v>
      </c>
      <c r="AC65" s="58">
        <f ca="1"/>
        <v>47194.093466369988</v>
      </c>
      <c r="AD65" s="58">
        <f ca="1"/>
        <v>47492.188223985941</v>
      </c>
      <c r="AE65" s="58">
        <f ca="1"/>
        <v>47792.206690709841</v>
      </c>
      <c r="AF65" s="58">
        <f ca="1"/>
        <v>48094.161577956387</v>
      </c>
      <c r="AG65" s="58">
        <f ca="1"/>
        <v>48398.065683249202</v>
      </c>
      <c r="AH65" s="58">
        <f ca="1"/>
        <v>48703.931890818909</v>
      </c>
      <c r="AI65" s="58">
        <f ca="1"/>
        <v>49011.773172205423</v>
      </c>
      <c r="AJ65" s="58">
        <f ca="1"/>
        <v>49321.602586864436</v>
      </c>
      <c r="AK65" s="58">
        <f ca="1"/>
        <v>49633.433282778307</v>
      </c>
      <c r="AL65" s="59">
        <f ca="1"/>
        <v>49947.278497071355</v>
      </c>
      <c r="AM65" s="10"/>
    </row>
    <row r="66" spans="2:39" ht="15" hidden="1">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2:39" ht="15" hidden="1">
      <c r="B67" s="10"/>
      <c r="C67" s="22" t="s">
        <v>87</v>
      </c>
      <c r="D67" s="23"/>
      <c r="E67" s="24">
        <f t="array" ref="E67:AL67">_yS</f>
        <v>2019</v>
      </c>
      <c r="F67" s="24">
        <v>2020</v>
      </c>
      <c r="G67" s="24">
        <v>2021</v>
      </c>
      <c r="H67" s="24">
        <v>2022</v>
      </c>
      <c r="I67" s="24">
        <v>2023</v>
      </c>
      <c r="J67" s="24">
        <v>2024</v>
      </c>
      <c r="K67" s="24">
        <v>2025</v>
      </c>
      <c r="L67" s="24">
        <v>2026</v>
      </c>
      <c r="M67" s="24">
        <v>2027</v>
      </c>
      <c r="N67" s="24">
        <v>2028</v>
      </c>
      <c r="O67" s="24">
        <v>2029</v>
      </c>
      <c r="P67" s="24">
        <v>2030</v>
      </c>
      <c r="Q67" s="24">
        <v>2031</v>
      </c>
      <c r="R67" s="24">
        <v>2032</v>
      </c>
      <c r="S67" s="24">
        <v>2033</v>
      </c>
      <c r="T67" s="24">
        <v>2034</v>
      </c>
      <c r="U67" s="24">
        <v>2035</v>
      </c>
      <c r="V67" s="24">
        <v>2036</v>
      </c>
      <c r="W67" s="24">
        <v>2037</v>
      </c>
      <c r="X67" s="24">
        <v>2038</v>
      </c>
      <c r="Y67" s="24">
        <v>2039</v>
      </c>
      <c r="Z67" s="24">
        <v>2040</v>
      </c>
      <c r="AA67" s="24">
        <v>2041</v>
      </c>
      <c r="AB67" s="24">
        <v>2042</v>
      </c>
      <c r="AC67" s="24">
        <v>2043</v>
      </c>
      <c r="AD67" s="24">
        <v>2044</v>
      </c>
      <c r="AE67" s="24">
        <v>2045</v>
      </c>
      <c r="AF67" s="24">
        <v>2046</v>
      </c>
      <c r="AG67" s="24">
        <v>2047</v>
      </c>
      <c r="AH67" s="24">
        <v>2048</v>
      </c>
      <c r="AI67" s="24">
        <v>2049</v>
      </c>
      <c r="AJ67" s="24">
        <v>2050</v>
      </c>
      <c r="AK67" s="24">
        <v>2051</v>
      </c>
      <c r="AL67" s="25">
        <v>2052</v>
      </c>
      <c r="AM67" s="10"/>
    </row>
    <row r="68" spans="2:39" ht="15" hidden="1">
      <c r="B68" s="10"/>
      <c r="C68" s="11" t="str">
        <f>"EL 0: " &amp; INDEX(_doName,1,1)</f>
        <v>EL 0: EL 0</v>
      </c>
      <c r="D68" s="12"/>
      <c r="E68" s="13">
        <f t="array" aca="1" ref="E68:AL68" ca="1">tlccFubcElec0</f>
        <v>5002.4407182553987</v>
      </c>
      <c r="F68" s="13">
        <f ca="1"/>
        <v>4966.3713251295376</v>
      </c>
      <c r="G68" s="13">
        <f ca="1"/>
        <v>4934.4050786619155</v>
      </c>
      <c r="H68" s="13">
        <f ca="1"/>
        <v>4903.8667497125898</v>
      </c>
      <c r="I68" s="13">
        <f ca="1"/>
        <v>4877.0208961284916</v>
      </c>
      <c r="J68" s="13">
        <f ca="1"/>
        <v>4856.069160480436</v>
      </c>
      <c r="K68" s="13">
        <f ca="1"/>
        <v>4838.6757363362703</v>
      </c>
      <c r="L68" s="13">
        <f ca="1"/>
        <v>4821.1043214669007</v>
      </c>
      <c r="M68" s="13">
        <f ca="1"/>
        <v>4806.9200244550466</v>
      </c>
      <c r="N68" s="13">
        <f ca="1"/>
        <v>4797.020234308442</v>
      </c>
      <c r="O68" s="13">
        <f ca="1"/>
        <v>4789.6647752104309</v>
      </c>
      <c r="P68" s="13">
        <f ca="1"/>
        <v>4783.4183498493403</v>
      </c>
      <c r="Q68" s="13">
        <f ca="1"/>
        <v>4778.7577806931004</v>
      </c>
      <c r="R68" s="13">
        <f ca="1"/>
        <v>4775.1705212591241</v>
      </c>
      <c r="S68" s="13">
        <f ca="1"/>
        <v>4774.5135392365628</v>
      </c>
      <c r="T68" s="13">
        <f ca="1"/>
        <v>4775.1119114393023</v>
      </c>
      <c r="U68" s="13">
        <f ca="1"/>
        <v>4776.1052874980087</v>
      </c>
      <c r="V68" s="13">
        <f ca="1"/>
        <v>4777.6362831609604</v>
      </c>
      <c r="W68" s="13">
        <f ca="1"/>
        <v>4779.1265284413148</v>
      </c>
      <c r="X68" s="13">
        <f ca="1"/>
        <v>4780.369414830222</v>
      </c>
      <c r="Y68" s="13">
        <f ca="1"/>
        <v>4781.1971293365677</v>
      </c>
      <c r="Z68" s="13">
        <f ca="1"/>
        <v>4781.7630530548176</v>
      </c>
      <c r="AA68" s="13">
        <f ca="1"/>
        <v>4781.7630530548176</v>
      </c>
      <c r="AB68" s="13">
        <f ca="1"/>
        <v>4781.7630530548176</v>
      </c>
      <c r="AC68" s="13">
        <f ca="1"/>
        <v>4781.7630530548176</v>
      </c>
      <c r="AD68" s="13">
        <f ca="1"/>
        <v>4781.7630530548176</v>
      </c>
      <c r="AE68" s="13">
        <f ca="1"/>
        <v>4781.7630530548176</v>
      </c>
      <c r="AF68" s="13">
        <f ca="1"/>
        <v>4781.7630530548176</v>
      </c>
      <c r="AG68" s="13">
        <f ca="1"/>
        <v>4781.7630530548176</v>
      </c>
      <c r="AH68" s="13">
        <f ca="1"/>
        <v>4781.7630530548176</v>
      </c>
      <c r="AI68" s="13">
        <f ca="1"/>
        <v>4781.7630530548176</v>
      </c>
      <c r="AJ68" s="13">
        <f ca="1"/>
        <v>4781.7630530548176</v>
      </c>
      <c r="AK68" s="13">
        <f ca="1"/>
        <v>4781.7630530548176</v>
      </c>
      <c r="AL68" s="56">
        <f ca="1"/>
        <v>4781.7630530548176</v>
      </c>
      <c r="AM68" s="10"/>
    </row>
    <row r="69" spans="2:39" ht="15" hidden="1">
      <c r="B69" s="10"/>
      <c r="C69" s="11" t="str">
        <f>"EL 1: " &amp; INDEX(_doName,1,2)</f>
        <v>EL 1: EL 1</v>
      </c>
      <c r="D69" s="12"/>
      <c r="E69" s="13">
        <f t="array" aca="1" ref="E69:AL69" ca="1">tlccFubcElec1</f>
        <v>9609.9296351978082</v>
      </c>
      <c r="F69" s="13">
        <f ca="1"/>
        <v>9540.6385931952773</v>
      </c>
      <c r="G69" s="13">
        <f ca="1"/>
        <v>9479.2298936110528</v>
      </c>
      <c r="H69" s="13">
        <f ca="1"/>
        <v>9420.5642923759224</v>
      </c>
      <c r="I69" s="13">
        <f ca="1"/>
        <v>9368.9921142192616</v>
      </c>
      <c r="J69" s="13">
        <f ca="1"/>
        <v>9328.7428205937886</v>
      </c>
      <c r="K69" s="13">
        <f ca="1"/>
        <v>9295.3292148051969</v>
      </c>
      <c r="L69" s="13">
        <f ca="1"/>
        <v>9261.5736802579704</v>
      </c>
      <c r="M69" s="13">
        <f ca="1"/>
        <v>9234.3249623049087</v>
      </c>
      <c r="N69" s="13">
        <f ca="1"/>
        <v>9215.3069884656761</v>
      </c>
      <c r="O69" s="13">
        <f ca="1"/>
        <v>9201.1767971555601</v>
      </c>
      <c r="P69" s="13">
        <f ca="1"/>
        <v>9189.1771130868328</v>
      </c>
      <c r="Q69" s="13">
        <f ca="1"/>
        <v>9180.2239351934895</v>
      </c>
      <c r="R69" s="13">
        <f ca="1"/>
        <v>9173.3326369882161</v>
      </c>
      <c r="S69" s="13">
        <f ca="1"/>
        <v>9172.0705428697675</v>
      </c>
      <c r="T69" s="13">
        <f ca="1"/>
        <v>9173.2200447005398</v>
      </c>
      <c r="U69" s="13">
        <f ca="1"/>
        <v>9175.1283679697463</v>
      </c>
      <c r="V69" s="13">
        <f ca="1"/>
        <v>9178.0694844009831</v>
      </c>
      <c r="W69" s="13">
        <f ca="1"/>
        <v>9180.9323173839166</v>
      </c>
      <c r="X69" s="13">
        <f ca="1"/>
        <v>9183.3199620187352</v>
      </c>
      <c r="Y69" s="13">
        <f ca="1"/>
        <v>9184.9100414643526</v>
      </c>
      <c r="Z69" s="13">
        <f ca="1"/>
        <v>9185.9972081930737</v>
      </c>
      <c r="AA69" s="13">
        <f ca="1"/>
        <v>9185.9972081930737</v>
      </c>
      <c r="AB69" s="13">
        <f ca="1"/>
        <v>9185.9972081930737</v>
      </c>
      <c r="AC69" s="13">
        <f ca="1"/>
        <v>9185.9972081930737</v>
      </c>
      <c r="AD69" s="13">
        <f ca="1"/>
        <v>9185.9972081930737</v>
      </c>
      <c r="AE69" s="13">
        <f ca="1"/>
        <v>9185.9972081930737</v>
      </c>
      <c r="AF69" s="13">
        <f ca="1"/>
        <v>9185.9972081930737</v>
      </c>
      <c r="AG69" s="13">
        <f ca="1"/>
        <v>9185.9972081930737</v>
      </c>
      <c r="AH69" s="13">
        <f ca="1"/>
        <v>9185.9972081930737</v>
      </c>
      <c r="AI69" s="13">
        <f ca="1"/>
        <v>9185.9972081930737</v>
      </c>
      <c r="AJ69" s="13">
        <f ca="1"/>
        <v>9185.9972081930737</v>
      </c>
      <c r="AK69" s="13">
        <f ca="1"/>
        <v>9185.9972081930737</v>
      </c>
      <c r="AL69" s="56">
        <f ca="1"/>
        <v>9185.9972081930737</v>
      </c>
      <c r="AM69" s="10"/>
    </row>
    <row r="70" spans="2:39" ht="15" hidden="1">
      <c r="B70" s="10"/>
      <c r="C70" s="11" t="str">
        <f>"EL 2: " &amp; INDEX(_doName,1,3)</f>
        <v>EL 2: EL 2</v>
      </c>
      <c r="D70" s="12"/>
      <c r="E70" s="13">
        <f t="array" aca="1" ref="E70:AL70" ca="1">tlccFubcElec2</f>
        <v>8923.2490231441552</v>
      </c>
      <c r="F70" s="13">
        <f ca="1"/>
        <v>8858.909194827711</v>
      </c>
      <c r="G70" s="13">
        <f ca="1"/>
        <v>8801.8884736175896</v>
      </c>
      <c r="H70" s="13">
        <f ca="1"/>
        <v>8747.4148417820179</v>
      </c>
      <c r="I70" s="13">
        <f ca="1"/>
        <v>8699.5277701980231</v>
      </c>
      <c r="J70" s="13">
        <f ca="1"/>
        <v>8662.1545027902921</v>
      </c>
      <c r="K70" s="13">
        <f ca="1"/>
        <v>8631.1284769471131</v>
      </c>
      <c r="L70" s="13">
        <f ca="1"/>
        <v>8599.7849549746934</v>
      </c>
      <c r="M70" s="13">
        <f ca="1"/>
        <v>8574.4833029245019</v>
      </c>
      <c r="N70" s="13">
        <f ca="1"/>
        <v>8556.8242645209793</v>
      </c>
      <c r="O70" s="13">
        <f ca="1"/>
        <v>8543.703750574341</v>
      </c>
      <c r="P70" s="13">
        <f ca="1"/>
        <v>8532.5615077891143</v>
      </c>
      <c r="Q70" s="13">
        <f ca="1"/>
        <v>8524.2480821009394</v>
      </c>
      <c r="R70" s="13">
        <f ca="1"/>
        <v>8517.8492038247459</v>
      </c>
      <c r="S70" s="13">
        <f ca="1"/>
        <v>8516.6772930473435</v>
      </c>
      <c r="T70" s="13">
        <f ca="1"/>
        <v>8517.7446568551895</v>
      </c>
      <c r="U70" s="13">
        <f ca="1"/>
        <v>8519.5166202715936</v>
      </c>
      <c r="V70" s="13">
        <f ca="1"/>
        <v>8522.2475782825513</v>
      </c>
      <c r="W70" s="13">
        <f ca="1"/>
        <v>8524.905846614176</v>
      </c>
      <c r="X70" s="13">
        <f ca="1"/>
        <v>8527.122881333893</v>
      </c>
      <c r="Y70" s="13">
        <f ca="1"/>
        <v>8528.5993411414511</v>
      </c>
      <c r="Z70" s="13">
        <f ca="1"/>
        <v>8529.6088240220033</v>
      </c>
      <c r="AA70" s="13">
        <f ca="1"/>
        <v>8529.6088240220033</v>
      </c>
      <c r="AB70" s="13">
        <f ca="1"/>
        <v>8529.6088240220033</v>
      </c>
      <c r="AC70" s="13">
        <f ca="1"/>
        <v>8529.6088240220033</v>
      </c>
      <c r="AD70" s="13">
        <f ca="1"/>
        <v>8529.6088240220033</v>
      </c>
      <c r="AE70" s="13">
        <f ca="1"/>
        <v>8529.6088240220033</v>
      </c>
      <c r="AF70" s="13">
        <f ca="1"/>
        <v>8529.6088240220033</v>
      </c>
      <c r="AG70" s="13">
        <f ca="1"/>
        <v>8529.6088240220033</v>
      </c>
      <c r="AH70" s="13">
        <f ca="1"/>
        <v>8529.6088240220033</v>
      </c>
      <c r="AI70" s="13">
        <f ca="1"/>
        <v>8529.6088240220033</v>
      </c>
      <c r="AJ70" s="13">
        <f ca="1"/>
        <v>8529.6088240220033</v>
      </c>
      <c r="AK70" s="13">
        <f ca="1"/>
        <v>8529.6088240220033</v>
      </c>
      <c r="AL70" s="56">
        <f ca="1"/>
        <v>8529.6088240220033</v>
      </c>
      <c r="AM70" s="10"/>
    </row>
    <row r="71" spans="2:39" ht="15" hidden="1">
      <c r="B71" s="10"/>
      <c r="C71" s="11" t="str">
        <f>"EL 3: " &amp; INDEX(_doName,1,4)</f>
        <v>EL 3: EL 3</v>
      </c>
      <c r="D71" s="12"/>
      <c r="E71" s="13">
        <f t="array" aca="1" ref="E71:AL71" ca="1">tlccFubcElec3</f>
        <v>8878.8169846700821</v>
      </c>
      <c r="F71" s="13">
        <f ca="1"/>
        <v>8814.7975272992153</v>
      </c>
      <c r="G71" s="13">
        <f ca="1"/>
        <v>8758.0607325907604</v>
      </c>
      <c r="H71" s="13">
        <f ca="1"/>
        <v>8703.8583443906919</v>
      </c>
      <c r="I71" s="13">
        <f ca="1"/>
        <v>8656.2097196102695</v>
      </c>
      <c r="J71" s="13">
        <f ca="1"/>
        <v>8619.0225470264104</v>
      </c>
      <c r="K71" s="13">
        <f ca="1"/>
        <v>8588.1510108282473</v>
      </c>
      <c r="L71" s="13">
        <f ca="1"/>
        <v>8556.9635594272731</v>
      </c>
      <c r="M71" s="13">
        <f ca="1"/>
        <v>8531.7878933239535</v>
      </c>
      <c r="N71" s="13">
        <f ca="1"/>
        <v>8514.2167855689768</v>
      </c>
      <c r="O71" s="13">
        <f ca="1"/>
        <v>8501.1616033394021</v>
      </c>
      <c r="P71" s="13">
        <f ca="1"/>
        <v>8490.0748417537743</v>
      </c>
      <c r="Q71" s="13">
        <f ca="1"/>
        <v>8481.8028115762554</v>
      </c>
      <c r="R71" s="13">
        <f ca="1"/>
        <v>8475.4357955965243</v>
      </c>
      <c r="S71" s="13">
        <f ca="1"/>
        <v>8474.2697201807259</v>
      </c>
      <c r="T71" s="13">
        <f ca="1"/>
        <v>8475.3317692036035</v>
      </c>
      <c r="U71" s="13">
        <f ca="1"/>
        <v>8477.0949093823638</v>
      </c>
      <c r="V71" s="13">
        <f ca="1"/>
        <v>8479.8122689796601</v>
      </c>
      <c r="W71" s="13">
        <f ca="1"/>
        <v>8482.4573008454554</v>
      </c>
      <c r="X71" s="13">
        <f ca="1"/>
        <v>8484.6632961588184</v>
      </c>
      <c r="Y71" s="13">
        <f ca="1"/>
        <v>8486.1324041465614</v>
      </c>
      <c r="Z71" s="13">
        <f ca="1"/>
        <v>8487.1368604519193</v>
      </c>
      <c r="AA71" s="13">
        <f ca="1"/>
        <v>8487.1368604519193</v>
      </c>
      <c r="AB71" s="13">
        <f ca="1"/>
        <v>8487.1368604519193</v>
      </c>
      <c r="AC71" s="13">
        <f ca="1"/>
        <v>8487.1368604519193</v>
      </c>
      <c r="AD71" s="13">
        <f ca="1"/>
        <v>8487.1368604519193</v>
      </c>
      <c r="AE71" s="13">
        <f ca="1"/>
        <v>8487.1368604519193</v>
      </c>
      <c r="AF71" s="13">
        <f ca="1"/>
        <v>8487.1368604519193</v>
      </c>
      <c r="AG71" s="13">
        <f ca="1"/>
        <v>8487.1368604519193</v>
      </c>
      <c r="AH71" s="13">
        <f ca="1"/>
        <v>8487.1368604519193</v>
      </c>
      <c r="AI71" s="13">
        <f ca="1"/>
        <v>8487.1368604519193</v>
      </c>
      <c r="AJ71" s="13">
        <f ca="1"/>
        <v>8487.1368604519193</v>
      </c>
      <c r="AK71" s="13">
        <f ca="1"/>
        <v>8487.1368604519193</v>
      </c>
      <c r="AL71" s="56">
        <f ca="1"/>
        <v>8487.1368604519193</v>
      </c>
      <c r="AM71" s="10"/>
    </row>
    <row r="72" spans="2:39" ht="15" hidden="1">
      <c r="B72" s="10"/>
      <c r="C72" s="11" t="str">
        <f>"EL 4: " &amp; INDEX(_doName,1,5)</f>
        <v>EL 4: EL 4</v>
      </c>
      <c r="D72" s="12"/>
      <c r="E72" s="13">
        <f t="array" aca="1" ref="E72:AL72" ca="1">tlccFubcElec4</f>
        <v>10631.095301245497</v>
      </c>
      <c r="F72" s="13">
        <f ca="1"/>
        <v>10554.441288259446</v>
      </c>
      <c r="G72" s="13">
        <f ca="1"/>
        <v>10486.507207325667</v>
      </c>
      <c r="H72" s="13">
        <f ca="1"/>
        <v>10421.607710522774</v>
      </c>
      <c r="I72" s="13">
        <f ca="1"/>
        <v>10364.555394669373</v>
      </c>
      <c r="J72" s="13">
        <f ca="1"/>
        <v>10320.029150192724</v>
      </c>
      <c r="K72" s="13">
        <f ca="1"/>
        <v>10283.064964087167</v>
      </c>
      <c r="L72" s="13">
        <f ca="1"/>
        <v>10245.72251535563</v>
      </c>
      <c r="M72" s="13">
        <f ca="1"/>
        <v>10215.578307396527</v>
      </c>
      <c r="N72" s="13">
        <f ca="1"/>
        <v>10194.539454876633</v>
      </c>
      <c r="O72" s="13">
        <f ca="1"/>
        <v>10178.907768054238</v>
      </c>
      <c r="P72" s="13">
        <f ca="1"/>
        <v>10165.632979396863</v>
      </c>
      <c r="Q72" s="13">
        <f ca="1"/>
        <v>10155.728423271446</v>
      </c>
      <c r="R72" s="13">
        <f ca="1"/>
        <v>10148.104845290058</v>
      </c>
      <c r="S72" s="13">
        <f ca="1"/>
        <v>10146.708639140616</v>
      </c>
      <c r="T72" s="13">
        <f ca="1"/>
        <v>10147.980288775505</v>
      </c>
      <c r="U72" s="13">
        <f ca="1"/>
        <v>10150.091393363224</v>
      </c>
      <c r="V72" s="13">
        <f ca="1"/>
        <v>10153.345037277328</v>
      </c>
      <c r="W72" s="13">
        <f ca="1"/>
        <v>10156.512079225444</v>
      </c>
      <c r="X72" s="13">
        <f ca="1"/>
        <v>10159.153438592457</v>
      </c>
      <c r="Y72" s="13">
        <f ca="1"/>
        <v>10160.912482286283</v>
      </c>
      <c r="Z72" s="13">
        <f ca="1"/>
        <v>10162.115172996842</v>
      </c>
      <c r="AA72" s="13">
        <f ca="1"/>
        <v>10162.115172996842</v>
      </c>
      <c r="AB72" s="13">
        <f ca="1"/>
        <v>10162.115172996842</v>
      </c>
      <c r="AC72" s="13">
        <f ca="1"/>
        <v>10162.115172996842</v>
      </c>
      <c r="AD72" s="13">
        <f ca="1"/>
        <v>10162.115172996842</v>
      </c>
      <c r="AE72" s="13">
        <f ca="1"/>
        <v>10162.115172996842</v>
      </c>
      <c r="AF72" s="13">
        <f ca="1"/>
        <v>10162.115172996842</v>
      </c>
      <c r="AG72" s="13">
        <f ca="1"/>
        <v>10162.115172996842</v>
      </c>
      <c r="AH72" s="13">
        <f ca="1"/>
        <v>10162.115172996842</v>
      </c>
      <c r="AI72" s="13">
        <f ca="1"/>
        <v>10162.115172996842</v>
      </c>
      <c r="AJ72" s="13">
        <f ca="1"/>
        <v>10162.115172996842</v>
      </c>
      <c r="AK72" s="13">
        <f ca="1"/>
        <v>10162.115172996842</v>
      </c>
      <c r="AL72" s="56">
        <f ca="1"/>
        <v>10162.115172996842</v>
      </c>
      <c r="AM72" s="10"/>
    </row>
    <row r="73" spans="2:39" ht="15" hidden="1">
      <c r="B73" s="10"/>
      <c r="C73" s="11" t="str">
        <f>"EL 5: " &amp; INDEX(_doName,1,6)</f>
        <v>EL 5: EL 5</v>
      </c>
      <c r="D73" s="12"/>
      <c r="E73" s="13">
        <f t="array" aca="1" ref="E73:AL73" ca="1">tlccFubcElec5</f>
        <v>12947.833928512584</v>
      </c>
      <c r="F73" s="13">
        <f ca="1"/>
        <v>12854.475398467126</v>
      </c>
      <c r="G73" s="13">
        <f ca="1"/>
        <v>12771.737056547297</v>
      </c>
      <c r="H73" s="13">
        <f ca="1"/>
        <v>12692.694598283435</v>
      </c>
      <c r="I73" s="13">
        <f ca="1"/>
        <v>12623.209386273305</v>
      </c>
      <c r="J73" s="13">
        <f ca="1"/>
        <v>12568.979939296527</v>
      </c>
      <c r="K73" s="13">
        <f ca="1"/>
        <v>12523.960481805507</v>
      </c>
      <c r="L73" s="13">
        <f ca="1"/>
        <v>12478.480330329181</v>
      </c>
      <c r="M73" s="13">
        <f ca="1"/>
        <v>12441.767067255025</v>
      </c>
      <c r="N73" s="13">
        <f ca="1"/>
        <v>12416.143407532763</v>
      </c>
      <c r="O73" s="13">
        <f ca="1"/>
        <v>12397.105248315511</v>
      </c>
      <c r="P73" s="13">
        <f ca="1"/>
        <v>12380.937604803594</v>
      </c>
      <c r="Q73" s="13">
        <f ca="1"/>
        <v>12368.874638174697</v>
      </c>
      <c r="R73" s="13">
        <f ca="1"/>
        <v>12359.589722665332</v>
      </c>
      <c r="S73" s="13">
        <f ca="1"/>
        <v>12357.889253913931</v>
      </c>
      <c r="T73" s="13">
        <f ca="1"/>
        <v>12359.43802267399</v>
      </c>
      <c r="U73" s="13">
        <f ca="1"/>
        <v>12362.009181226609</v>
      </c>
      <c r="V73" s="13">
        <f ca="1"/>
        <v>12365.97186238679</v>
      </c>
      <c r="W73" s="13">
        <f ca="1"/>
        <v>12369.829069196332</v>
      </c>
      <c r="X73" s="13">
        <f ca="1"/>
        <v>12373.046036165446</v>
      </c>
      <c r="Y73" s="13">
        <f ca="1"/>
        <v>12375.188412371779</v>
      </c>
      <c r="Z73" s="13">
        <f ca="1"/>
        <v>12376.653194611654</v>
      </c>
      <c r="AA73" s="13">
        <f ca="1"/>
        <v>12376.653194611654</v>
      </c>
      <c r="AB73" s="13">
        <f ca="1"/>
        <v>12376.653194611654</v>
      </c>
      <c r="AC73" s="13">
        <f ca="1"/>
        <v>12376.653194611654</v>
      </c>
      <c r="AD73" s="13">
        <f ca="1"/>
        <v>12376.653194611654</v>
      </c>
      <c r="AE73" s="13">
        <f ca="1"/>
        <v>12376.653194611654</v>
      </c>
      <c r="AF73" s="13">
        <f ca="1"/>
        <v>12376.653194611654</v>
      </c>
      <c r="AG73" s="13">
        <f ca="1"/>
        <v>12376.653194611654</v>
      </c>
      <c r="AH73" s="13">
        <f ca="1"/>
        <v>12376.653194611654</v>
      </c>
      <c r="AI73" s="13">
        <f ca="1"/>
        <v>12376.653194611654</v>
      </c>
      <c r="AJ73" s="13">
        <f ca="1"/>
        <v>12376.653194611654</v>
      </c>
      <c r="AK73" s="13">
        <f ca="1"/>
        <v>12376.653194611654</v>
      </c>
      <c r="AL73" s="56">
        <f ca="1"/>
        <v>12376.653194611654</v>
      </c>
      <c r="AM73" s="10"/>
    </row>
    <row r="74" spans="2:39" ht="15" hidden="1">
      <c r="B74" s="10"/>
      <c r="C74" s="21" t="str">
        <f>"EL 6: " &amp; INDEX(_doName,1,7)</f>
        <v>EL 6: EL 6</v>
      </c>
      <c r="D74" s="18"/>
      <c r="E74" s="58">
        <f t="array" aca="1" ref="E74:AL74" ca="1">tlccFubcElec6</f>
        <v>8144.4008309601268</v>
      </c>
      <c r="F74" s="58">
        <f ca="1"/>
        <v>8085.6767776646102</v>
      </c>
      <c r="G74" s="58">
        <f ca="1"/>
        <v>8033.6329976466914</v>
      </c>
      <c r="H74" s="58">
        <f ca="1"/>
        <v>7983.9139893307329</v>
      </c>
      <c r="I74" s="58">
        <f ca="1"/>
        <v>7940.2066463450828</v>
      </c>
      <c r="J74" s="58">
        <f ca="1"/>
        <v>7906.0954308739292</v>
      </c>
      <c r="K74" s="58">
        <f ca="1"/>
        <v>7877.7774505056605</v>
      </c>
      <c r="L74" s="58">
        <f ca="1"/>
        <v>7849.1696860316115</v>
      </c>
      <c r="M74" s="58">
        <f ca="1"/>
        <v>7826.0764387796553</v>
      </c>
      <c r="N74" s="58">
        <f ca="1"/>
        <v>7809.9587347152974</v>
      </c>
      <c r="O74" s="58">
        <f ca="1"/>
        <v>7797.9834189516696</v>
      </c>
      <c r="P74" s="58">
        <f ca="1"/>
        <v>7787.8137048527606</v>
      </c>
      <c r="Q74" s="58">
        <f ca="1"/>
        <v>7780.2259001296952</v>
      </c>
      <c r="R74" s="58">
        <f ca="1"/>
        <v>7774.3855353237068</v>
      </c>
      <c r="S74" s="58">
        <f ca="1"/>
        <v>7773.3159124672184</v>
      </c>
      <c r="T74" s="58">
        <f ca="1"/>
        <v>7774.2901135301945</v>
      </c>
      <c r="U74" s="58">
        <f ca="1"/>
        <v>7775.9074146145394</v>
      </c>
      <c r="V74" s="58">
        <f ca="1"/>
        <v>7778.4000063416188</v>
      </c>
      <c r="W74" s="58">
        <f ca="1"/>
        <v>7780.8262529646636</v>
      </c>
      <c r="X74" s="58">
        <f ca="1"/>
        <v>7782.8497781813985</v>
      </c>
      <c r="Y74" s="58">
        <f ca="1"/>
        <v>7784.1973681065883</v>
      </c>
      <c r="Z74" s="58">
        <f ca="1"/>
        <v>7785.1187402648557</v>
      </c>
      <c r="AA74" s="58">
        <f ca="1"/>
        <v>7785.1187402648557</v>
      </c>
      <c r="AB74" s="58">
        <f ca="1"/>
        <v>7785.1187402648557</v>
      </c>
      <c r="AC74" s="58">
        <f ca="1"/>
        <v>7785.1187402648557</v>
      </c>
      <c r="AD74" s="58">
        <f ca="1"/>
        <v>7785.1187402648557</v>
      </c>
      <c r="AE74" s="58">
        <f ca="1"/>
        <v>7785.1187402648557</v>
      </c>
      <c r="AF74" s="58">
        <f ca="1"/>
        <v>7785.1187402648557</v>
      </c>
      <c r="AG74" s="58">
        <f ca="1"/>
        <v>7785.1187402648557</v>
      </c>
      <c r="AH74" s="58">
        <f ca="1"/>
        <v>7785.1187402648557</v>
      </c>
      <c r="AI74" s="58">
        <f ca="1"/>
        <v>7785.1187402648557</v>
      </c>
      <c r="AJ74" s="58">
        <f ca="1"/>
        <v>7785.1187402648557</v>
      </c>
      <c r="AK74" s="58">
        <f ca="1"/>
        <v>7785.1187402648557</v>
      </c>
      <c r="AL74" s="59">
        <f ca="1"/>
        <v>7785.1187402648557</v>
      </c>
      <c r="AM74" s="10"/>
    </row>
    <row r="75" spans="2:39" ht="15" hidden="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2:39" ht="15" hidden="1">
      <c r="B76" s="10"/>
      <c r="C76" s="22" t="s">
        <v>86</v>
      </c>
      <c r="D76" s="23"/>
      <c r="E76" s="24">
        <f t="array" ref="E76:AL76">_yS</f>
        <v>2019</v>
      </c>
      <c r="F76" s="24">
        <v>2020</v>
      </c>
      <c r="G76" s="24">
        <v>2021</v>
      </c>
      <c r="H76" s="24">
        <v>2022</v>
      </c>
      <c r="I76" s="24">
        <v>2023</v>
      </c>
      <c r="J76" s="24">
        <v>2024</v>
      </c>
      <c r="K76" s="24">
        <v>2025</v>
      </c>
      <c r="L76" s="24">
        <v>2026</v>
      </c>
      <c r="M76" s="24">
        <v>2027</v>
      </c>
      <c r="N76" s="24">
        <v>2028</v>
      </c>
      <c r="O76" s="24">
        <v>2029</v>
      </c>
      <c r="P76" s="24">
        <v>2030</v>
      </c>
      <c r="Q76" s="24">
        <v>2031</v>
      </c>
      <c r="R76" s="24">
        <v>2032</v>
      </c>
      <c r="S76" s="24">
        <v>2033</v>
      </c>
      <c r="T76" s="24">
        <v>2034</v>
      </c>
      <c r="U76" s="24">
        <v>2035</v>
      </c>
      <c r="V76" s="24">
        <v>2036</v>
      </c>
      <c r="W76" s="24">
        <v>2037</v>
      </c>
      <c r="X76" s="24">
        <v>2038</v>
      </c>
      <c r="Y76" s="24">
        <v>2039</v>
      </c>
      <c r="Z76" s="24">
        <v>2040</v>
      </c>
      <c r="AA76" s="24">
        <v>2041</v>
      </c>
      <c r="AB76" s="24">
        <v>2042</v>
      </c>
      <c r="AC76" s="24">
        <v>2043</v>
      </c>
      <c r="AD76" s="24">
        <v>2044</v>
      </c>
      <c r="AE76" s="24">
        <v>2045</v>
      </c>
      <c r="AF76" s="24">
        <v>2046</v>
      </c>
      <c r="AG76" s="24">
        <v>2047</v>
      </c>
      <c r="AH76" s="24">
        <v>2048</v>
      </c>
      <c r="AI76" s="24">
        <v>2049</v>
      </c>
      <c r="AJ76" s="24">
        <v>2050</v>
      </c>
      <c r="AK76" s="24">
        <v>2051</v>
      </c>
      <c r="AL76" s="25">
        <v>2052</v>
      </c>
      <c r="AM76" s="10"/>
    </row>
    <row r="77" spans="2:39" ht="15" hidden="1">
      <c r="B77" s="10"/>
      <c r="C77" s="11" t="str">
        <f>"EL 0: " &amp; INDEX(_doName,1,1)</f>
        <v>EL 0: EL 0</v>
      </c>
      <c r="D77" s="12"/>
      <c r="E77" s="13">
        <f t="array" aca="1" ref="E77:AL77" ca="1">tlccQupol0</f>
        <v>0</v>
      </c>
      <c r="F77" s="13">
        <f ca="1"/>
        <v>0</v>
      </c>
      <c r="G77" s="13">
        <f ca="1"/>
        <v>0</v>
      </c>
      <c r="H77" s="13">
        <f ca="1"/>
        <v>0</v>
      </c>
      <c r="I77" s="13">
        <f ca="1"/>
        <v>0</v>
      </c>
      <c r="J77" s="13">
        <f ca="1"/>
        <v>0</v>
      </c>
      <c r="K77" s="13">
        <f ca="1"/>
        <v>0</v>
      </c>
      <c r="L77" s="13">
        <f ca="1"/>
        <v>0</v>
      </c>
      <c r="M77" s="13">
        <f ca="1"/>
        <v>0</v>
      </c>
      <c r="N77" s="13">
        <f ca="1"/>
        <v>0</v>
      </c>
      <c r="O77" s="13">
        <f ca="1"/>
        <v>0</v>
      </c>
      <c r="P77" s="13">
        <f ca="1"/>
        <v>0</v>
      </c>
      <c r="Q77" s="13">
        <f ca="1"/>
        <v>0</v>
      </c>
      <c r="R77" s="13">
        <f ca="1"/>
        <v>0</v>
      </c>
      <c r="S77" s="13">
        <f ca="1"/>
        <v>0</v>
      </c>
      <c r="T77" s="13">
        <f ca="1"/>
        <v>0</v>
      </c>
      <c r="U77" s="13">
        <f ca="1"/>
        <v>0</v>
      </c>
      <c r="V77" s="13">
        <f ca="1"/>
        <v>0</v>
      </c>
      <c r="W77" s="13">
        <f ca="1"/>
        <v>0</v>
      </c>
      <c r="X77" s="13">
        <f ca="1"/>
        <v>0</v>
      </c>
      <c r="Y77" s="13">
        <f ca="1"/>
        <v>0</v>
      </c>
      <c r="Z77" s="13">
        <f ca="1"/>
        <v>0</v>
      </c>
      <c r="AA77" s="13">
        <f ca="1"/>
        <v>0</v>
      </c>
      <c r="AB77" s="13">
        <f ca="1"/>
        <v>0</v>
      </c>
      <c r="AC77" s="13">
        <f ca="1"/>
        <v>0</v>
      </c>
      <c r="AD77" s="13">
        <f ca="1"/>
        <v>0</v>
      </c>
      <c r="AE77" s="13">
        <f ca="1"/>
        <v>0</v>
      </c>
      <c r="AF77" s="13">
        <f ca="1"/>
        <v>0</v>
      </c>
      <c r="AG77" s="13">
        <f ca="1"/>
        <v>0</v>
      </c>
      <c r="AH77" s="13">
        <f ca="1"/>
        <v>0</v>
      </c>
      <c r="AI77" s="13">
        <f ca="1"/>
        <v>0</v>
      </c>
      <c r="AJ77" s="13">
        <f ca="1"/>
        <v>0</v>
      </c>
      <c r="AK77" s="13">
        <f ca="1"/>
        <v>0</v>
      </c>
      <c r="AL77" s="56">
        <f ca="1"/>
        <v>0</v>
      </c>
      <c r="AM77" s="10"/>
    </row>
    <row r="78" spans="2:39" ht="15" hidden="1">
      <c r="B78" s="10"/>
      <c r="C78" s="11" t="str">
        <f>"EL 1: " &amp; INDEX(_doName,1,2)</f>
        <v>EL 1: EL 1</v>
      </c>
      <c r="D78" s="12"/>
      <c r="E78" s="13">
        <f t="array" aca="1" ref="E78:AL78" ca="1">tlccQupol1</f>
        <v>0</v>
      </c>
      <c r="F78" s="13">
        <f ca="1"/>
        <v>0</v>
      </c>
      <c r="G78" s="13">
        <f ca="1"/>
        <v>0</v>
      </c>
      <c r="H78" s="13">
        <f ca="1"/>
        <v>0</v>
      </c>
      <c r="I78" s="13">
        <f ca="1"/>
        <v>0</v>
      </c>
      <c r="J78" s="13">
        <f ca="1"/>
        <v>0</v>
      </c>
      <c r="K78" s="13">
        <f ca="1"/>
        <v>0</v>
      </c>
      <c r="L78" s="13">
        <f ca="1"/>
        <v>0</v>
      </c>
      <c r="M78" s="13">
        <f ca="1"/>
        <v>0</v>
      </c>
      <c r="N78" s="13">
        <f ca="1"/>
        <v>0</v>
      </c>
      <c r="O78" s="13">
        <f ca="1"/>
        <v>0</v>
      </c>
      <c r="P78" s="13">
        <f ca="1"/>
        <v>0</v>
      </c>
      <c r="Q78" s="13">
        <f ca="1"/>
        <v>0</v>
      </c>
      <c r="R78" s="13">
        <f ca="1"/>
        <v>0</v>
      </c>
      <c r="S78" s="13">
        <f ca="1"/>
        <v>0</v>
      </c>
      <c r="T78" s="13">
        <f ca="1"/>
        <v>0</v>
      </c>
      <c r="U78" s="13">
        <f ca="1"/>
        <v>0</v>
      </c>
      <c r="V78" s="13">
        <f ca="1"/>
        <v>0</v>
      </c>
      <c r="W78" s="13">
        <f ca="1"/>
        <v>0</v>
      </c>
      <c r="X78" s="13">
        <f ca="1"/>
        <v>0</v>
      </c>
      <c r="Y78" s="13">
        <f ca="1"/>
        <v>0</v>
      </c>
      <c r="Z78" s="13">
        <f ca="1"/>
        <v>0</v>
      </c>
      <c r="AA78" s="13">
        <f ca="1"/>
        <v>0</v>
      </c>
      <c r="AB78" s="13">
        <f ca="1"/>
        <v>0</v>
      </c>
      <c r="AC78" s="13">
        <f ca="1"/>
        <v>0</v>
      </c>
      <c r="AD78" s="13">
        <f ca="1"/>
        <v>0</v>
      </c>
      <c r="AE78" s="13">
        <f ca="1"/>
        <v>0</v>
      </c>
      <c r="AF78" s="13">
        <f ca="1"/>
        <v>0</v>
      </c>
      <c r="AG78" s="13">
        <f ca="1"/>
        <v>0</v>
      </c>
      <c r="AH78" s="13">
        <f ca="1"/>
        <v>0</v>
      </c>
      <c r="AI78" s="13">
        <f ca="1"/>
        <v>0</v>
      </c>
      <c r="AJ78" s="13">
        <f ca="1"/>
        <v>0</v>
      </c>
      <c r="AK78" s="13">
        <f ca="1"/>
        <v>0</v>
      </c>
      <c r="AL78" s="56">
        <f ca="1"/>
        <v>0</v>
      </c>
      <c r="AM78" s="10"/>
    </row>
    <row r="79" spans="2:39" ht="15" hidden="1">
      <c r="B79" s="10"/>
      <c r="C79" s="11" t="str">
        <f>"EL 2: " &amp; INDEX(_doName,1,3)</f>
        <v>EL 2: EL 2</v>
      </c>
      <c r="D79" s="12"/>
      <c r="E79" s="13">
        <f t="array" aca="1" ref="E79:AL79" ca="1">tlccQupol2</f>
        <v>0</v>
      </c>
      <c r="F79" s="13">
        <f ca="1"/>
        <v>0</v>
      </c>
      <c r="G79" s="13">
        <f ca="1"/>
        <v>0</v>
      </c>
      <c r="H79" s="13">
        <f ca="1"/>
        <v>0</v>
      </c>
      <c r="I79" s="13">
        <f ca="1"/>
        <v>0</v>
      </c>
      <c r="J79" s="13">
        <f ca="1"/>
        <v>0</v>
      </c>
      <c r="K79" s="13">
        <f ca="1"/>
        <v>0</v>
      </c>
      <c r="L79" s="13">
        <f ca="1"/>
        <v>0</v>
      </c>
      <c r="M79" s="13">
        <f ca="1"/>
        <v>0</v>
      </c>
      <c r="N79" s="13">
        <f ca="1"/>
        <v>0</v>
      </c>
      <c r="O79" s="13">
        <f ca="1"/>
        <v>0</v>
      </c>
      <c r="P79" s="13">
        <f ca="1"/>
        <v>0</v>
      </c>
      <c r="Q79" s="13">
        <f ca="1"/>
        <v>0</v>
      </c>
      <c r="R79" s="13">
        <f ca="1"/>
        <v>0</v>
      </c>
      <c r="S79" s="13">
        <f ca="1"/>
        <v>0</v>
      </c>
      <c r="T79" s="13">
        <f ca="1"/>
        <v>0</v>
      </c>
      <c r="U79" s="13">
        <f ca="1"/>
        <v>0</v>
      </c>
      <c r="V79" s="13">
        <f ca="1"/>
        <v>0</v>
      </c>
      <c r="W79" s="13">
        <f ca="1"/>
        <v>0</v>
      </c>
      <c r="X79" s="13">
        <f ca="1"/>
        <v>0</v>
      </c>
      <c r="Y79" s="13">
        <f ca="1"/>
        <v>0</v>
      </c>
      <c r="Z79" s="13">
        <f ca="1"/>
        <v>0</v>
      </c>
      <c r="AA79" s="13">
        <f ca="1"/>
        <v>0</v>
      </c>
      <c r="AB79" s="13">
        <f ca="1"/>
        <v>0</v>
      </c>
      <c r="AC79" s="13">
        <f ca="1"/>
        <v>0</v>
      </c>
      <c r="AD79" s="13">
        <f ca="1"/>
        <v>0</v>
      </c>
      <c r="AE79" s="13">
        <f ca="1"/>
        <v>0</v>
      </c>
      <c r="AF79" s="13">
        <f ca="1"/>
        <v>0</v>
      </c>
      <c r="AG79" s="13">
        <f ca="1"/>
        <v>0</v>
      </c>
      <c r="AH79" s="13">
        <f ca="1"/>
        <v>0</v>
      </c>
      <c r="AI79" s="13">
        <f ca="1"/>
        <v>0</v>
      </c>
      <c r="AJ79" s="13">
        <f ca="1"/>
        <v>0</v>
      </c>
      <c r="AK79" s="13">
        <f ca="1"/>
        <v>0</v>
      </c>
      <c r="AL79" s="56">
        <f ca="1"/>
        <v>0</v>
      </c>
      <c r="AM79" s="10"/>
    </row>
    <row r="80" spans="2:39" ht="15" hidden="1">
      <c r="B80" s="10"/>
      <c r="C80" s="11" t="str">
        <f>"EL 3: " &amp; INDEX(_doName,1,4)</f>
        <v>EL 3: EL 3</v>
      </c>
      <c r="D80" s="12"/>
      <c r="E80" s="13">
        <f t="array" aca="1" ref="E80:AL80" ca="1">tlccQupol3</f>
        <v>0</v>
      </c>
      <c r="F80" s="13">
        <f ca="1"/>
        <v>0</v>
      </c>
      <c r="G80" s="13">
        <f ca="1"/>
        <v>0</v>
      </c>
      <c r="H80" s="13">
        <f ca="1"/>
        <v>0</v>
      </c>
      <c r="I80" s="13">
        <f ca="1"/>
        <v>0</v>
      </c>
      <c r="J80" s="13">
        <f ca="1"/>
        <v>0</v>
      </c>
      <c r="K80" s="13">
        <f ca="1"/>
        <v>0</v>
      </c>
      <c r="L80" s="13">
        <f ca="1"/>
        <v>0</v>
      </c>
      <c r="M80" s="13">
        <f ca="1"/>
        <v>0</v>
      </c>
      <c r="N80" s="13">
        <f ca="1"/>
        <v>0</v>
      </c>
      <c r="O80" s="13">
        <f ca="1"/>
        <v>0</v>
      </c>
      <c r="P80" s="13">
        <f ca="1"/>
        <v>0</v>
      </c>
      <c r="Q80" s="13">
        <f ca="1"/>
        <v>0</v>
      </c>
      <c r="R80" s="13">
        <f ca="1"/>
        <v>0</v>
      </c>
      <c r="S80" s="13">
        <f ca="1"/>
        <v>0</v>
      </c>
      <c r="T80" s="13">
        <f ca="1"/>
        <v>0</v>
      </c>
      <c r="U80" s="13">
        <f ca="1"/>
        <v>0</v>
      </c>
      <c r="V80" s="13">
        <f ca="1"/>
        <v>0</v>
      </c>
      <c r="W80" s="13">
        <f ca="1"/>
        <v>0</v>
      </c>
      <c r="X80" s="13">
        <f ca="1"/>
        <v>0</v>
      </c>
      <c r="Y80" s="13">
        <f ca="1"/>
        <v>0</v>
      </c>
      <c r="Z80" s="13">
        <f ca="1"/>
        <v>0</v>
      </c>
      <c r="AA80" s="13">
        <f ca="1"/>
        <v>0</v>
      </c>
      <c r="AB80" s="13">
        <f ca="1"/>
        <v>0</v>
      </c>
      <c r="AC80" s="13">
        <f ca="1"/>
        <v>0</v>
      </c>
      <c r="AD80" s="13">
        <f ca="1"/>
        <v>0</v>
      </c>
      <c r="AE80" s="13">
        <f ca="1"/>
        <v>0</v>
      </c>
      <c r="AF80" s="13">
        <f ca="1"/>
        <v>0</v>
      </c>
      <c r="AG80" s="13">
        <f ca="1"/>
        <v>0</v>
      </c>
      <c r="AH80" s="13">
        <f ca="1"/>
        <v>0</v>
      </c>
      <c r="AI80" s="13">
        <f ca="1"/>
        <v>0</v>
      </c>
      <c r="AJ80" s="13">
        <f ca="1"/>
        <v>0</v>
      </c>
      <c r="AK80" s="13">
        <f ca="1"/>
        <v>0</v>
      </c>
      <c r="AL80" s="56">
        <f ca="1"/>
        <v>0</v>
      </c>
      <c r="AM80" s="10"/>
    </row>
    <row r="81" spans="2:39" ht="15" hidden="1">
      <c r="B81" s="10"/>
      <c r="C81" s="11" t="str">
        <f>"EL 4: " &amp; INDEX(_doName,1,5)</f>
        <v>EL 4: EL 4</v>
      </c>
      <c r="D81" s="12"/>
      <c r="E81" s="13">
        <f t="array" aca="1" ref="E81:AL81" ca="1">tlccQupol4</f>
        <v>0</v>
      </c>
      <c r="F81" s="13">
        <f ca="1"/>
        <v>0</v>
      </c>
      <c r="G81" s="13">
        <f ca="1"/>
        <v>0</v>
      </c>
      <c r="H81" s="13">
        <f ca="1"/>
        <v>0</v>
      </c>
      <c r="I81" s="13">
        <f ca="1"/>
        <v>0</v>
      </c>
      <c r="J81" s="13">
        <f ca="1"/>
        <v>0</v>
      </c>
      <c r="K81" s="13">
        <f ca="1"/>
        <v>0</v>
      </c>
      <c r="L81" s="13">
        <f ca="1"/>
        <v>0</v>
      </c>
      <c r="M81" s="13">
        <f ca="1"/>
        <v>0</v>
      </c>
      <c r="N81" s="13">
        <f ca="1"/>
        <v>0</v>
      </c>
      <c r="O81" s="13">
        <f ca="1"/>
        <v>0</v>
      </c>
      <c r="P81" s="13">
        <f ca="1"/>
        <v>0</v>
      </c>
      <c r="Q81" s="13">
        <f ca="1"/>
        <v>0</v>
      </c>
      <c r="R81" s="13">
        <f ca="1"/>
        <v>0</v>
      </c>
      <c r="S81" s="13">
        <f ca="1"/>
        <v>0</v>
      </c>
      <c r="T81" s="13">
        <f ca="1"/>
        <v>0</v>
      </c>
      <c r="U81" s="13">
        <f ca="1"/>
        <v>0</v>
      </c>
      <c r="V81" s="13">
        <f ca="1"/>
        <v>0</v>
      </c>
      <c r="W81" s="13">
        <f ca="1"/>
        <v>0</v>
      </c>
      <c r="X81" s="13">
        <f ca="1"/>
        <v>0</v>
      </c>
      <c r="Y81" s="13">
        <f ca="1"/>
        <v>0</v>
      </c>
      <c r="Z81" s="13">
        <f ca="1"/>
        <v>0</v>
      </c>
      <c r="AA81" s="13">
        <f ca="1"/>
        <v>0</v>
      </c>
      <c r="AB81" s="13">
        <f ca="1"/>
        <v>0</v>
      </c>
      <c r="AC81" s="13">
        <f ca="1"/>
        <v>0</v>
      </c>
      <c r="AD81" s="13">
        <f ca="1"/>
        <v>0</v>
      </c>
      <c r="AE81" s="13">
        <f ca="1"/>
        <v>0</v>
      </c>
      <c r="AF81" s="13">
        <f ca="1"/>
        <v>0</v>
      </c>
      <c r="AG81" s="13">
        <f ca="1"/>
        <v>0</v>
      </c>
      <c r="AH81" s="13">
        <f ca="1"/>
        <v>0</v>
      </c>
      <c r="AI81" s="13">
        <f ca="1"/>
        <v>0</v>
      </c>
      <c r="AJ81" s="13">
        <f ca="1"/>
        <v>0</v>
      </c>
      <c r="AK81" s="13">
        <f ca="1"/>
        <v>0</v>
      </c>
      <c r="AL81" s="56">
        <f ca="1"/>
        <v>0</v>
      </c>
      <c r="AM81" s="10"/>
    </row>
    <row r="82" spans="2:39" ht="15" hidden="1">
      <c r="B82" s="10"/>
      <c r="C82" s="11" t="str">
        <f>"EL 5: " &amp; INDEX(_doName,1,6)</f>
        <v>EL 5: EL 5</v>
      </c>
      <c r="D82" s="12"/>
      <c r="E82" s="13">
        <f t="array" aca="1" ref="E82:AL82" ca="1">tlccQupol5</f>
        <v>6551.9977940593899</v>
      </c>
      <c r="F82" s="13">
        <f ca="1"/>
        <v>6551.9977940593899</v>
      </c>
      <c r="G82" s="13">
        <f ca="1"/>
        <v>6551.9977940593899</v>
      </c>
      <c r="H82" s="13">
        <f ca="1"/>
        <v>6551.9977940593899</v>
      </c>
      <c r="I82" s="13">
        <f ca="1"/>
        <v>6551.9977940593899</v>
      </c>
      <c r="J82" s="13">
        <f ca="1"/>
        <v>6551.9977940593899</v>
      </c>
      <c r="K82" s="13">
        <f ca="1"/>
        <v>6551.9977940593899</v>
      </c>
      <c r="L82" s="13">
        <f ca="1"/>
        <v>6551.9977940593899</v>
      </c>
      <c r="M82" s="13">
        <f ca="1"/>
        <v>6551.9977940593899</v>
      </c>
      <c r="N82" s="13">
        <f ca="1"/>
        <v>6551.9977940593899</v>
      </c>
      <c r="O82" s="13">
        <f ca="1"/>
        <v>6551.9977940593899</v>
      </c>
      <c r="P82" s="13">
        <f ca="1"/>
        <v>6551.9977940593899</v>
      </c>
      <c r="Q82" s="13">
        <f ca="1"/>
        <v>6551.9977940593899</v>
      </c>
      <c r="R82" s="13">
        <f ca="1"/>
        <v>6551.9977940593899</v>
      </c>
      <c r="S82" s="13">
        <f ca="1"/>
        <v>6551.9977940593899</v>
      </c>
      <c r="T82" s="13">
        <f ca="1"/>
        <v>6551.9977940593899</v>
      </c>
      <c r="U82" s="13">
        <f ca="1"/>
        <v>6551.9977940593899</v>
      </c>
      <c r="V82" s="13">
        <f ca="1"/>
        <v>6551.9977940593899</v>
      </c>
      <c r="W82" s="13">
        <f ca="1"/>
        <v>6551.9977940593899</v>
      </c>
      <c r="X82" s="13">
        <f ca="1"/>
        <v>6551.9977940593899</v>
      </c>
      <c r="Y82" s="13">
        <f ca="1"/>
        <v>6551.9977940593899</v>
      </c>
      <c r="Z82" s="13">
        <f ca="1"/>
        <v>6551.9977940593899</v>
      </c>
      <c r="AA82" s="13">
        <f ca="1"/>
        <v>6551.9977940593899</v>
      </c>
      <c r="AB82" s="13">
        <f ca="1"/>
        <v>6551.9977940593899</v>
      </c>
      <c r="AC82" s="13">
        <f ca="1"/>
        <v>6551.9977940593899</v>
      </c>
      <c r="AD82" s="13">
        <f ca="1"/>
        <v>6551.9977940593899</v>
      </c>
      <c r="AE82" s="13">
        <f ca="1"/>
        <v>6551.9977940593899</v>
      </c>
      <c r="AF82" s="13">
        <f ca="1"/>
        <v>6551.9977940593899</v>
      </c>
      <c r="AG82" s="13">
        <f ca="1"/>
        <v>6551.9977940593899</v>
      </c>
      <c r="AH82" s="13">
        <f ca="1"/>
        <v>6551.9977940593899</v>
      </c>
      <c r="AI82" s="13">
        <f ca="1"/>
        <v>6551.9977940593899</v>
      </c>
      <c r="AJ82" s="13">
        <f ca="1"/>
        <v>6551.9977940593899</v>
      </c>
      <c r="AK82" s="13">
        <f ca="1"/>
        <v>6551.9977940593899</v>
      </c>
      <c r="AL82" s="56">
        <f ca="1"/>
        <v>6551.9977940593899</v>
      </c>
      <c r="AM82" s="10"/>
    </row>
    <row r="83" spans="2:39" ht="15" hidden="1">
      <c r="B83" s="10"/>
      <c r="C83" s="21" t="str">
        <f>"EL 6: " &amp; INDEX(_doName,1,7)</f>
        <v>EL 6: EL 6</v>
      </c>
      <c r="D83" s="18"/>
      <c r="E83" s="58">
        <f t="array" aca="1" ref="E83:AL83" ca="1">tlccQupol6</f>
        <v>7267.0659445983601</v>
      </c>
      <c r="F83" s="58">
        <f ca="1"/>
        <v>7267.0659445983601</v>
      </c>
      <c r="G83" s="58">
        <f ca="1"/>
        <v>7267.0659445983601</v>
      </c>
      <c r="H83" s="58">
        <f ca="1"/>
        <v>7267.0659445983601</v>
      </c>
      <c r="I83" s="58">
        <f ca="1"/>
        <v>7267.0659445983601</v>
      </c>
      <c r="J83" s="58">
        <f ca="1"/>
        <v>7267.0659445983601</v>
      </c>
      <c r="K83" s="58">
        <f ca="1"/>
        <v>7267.0659445983601</v>
      </c>
      <c r="L83" s="58">
        <f ca="1"/>
        <v>7267.0659445983601</v>
      </c>
      <c r="M83" s="58">
        <f ca="1"/>
        <v>7267.0659445983601</v>
      </c>
      <c r="N83" s="58">
        <f ca="1"/>
        <v>7267.0659445983601</v>
      </c>
      <c r="O83" s="58">
        <f ca="1"/>
        <v>7267.0659445983601</v>
      </c>
      <c r="P83" s="58">
        <f ca="1"/>
        <v>7267.0659445983601</v>
      </c>
      <c r="Q83" s="58">
        <f ca="1"/>
        <v>7267.0659445983601</v>
      </c>
      <c r="R83" s="58">
        <f ca="1"/>
        <v>7267.0659445983601</v>
      </c>
      <c r="S83" s="58">
        <f ca="1"/>
        <v>7267.0659445983601</v>
      </c>
      <c r="T83" s="58">
        <f ca="1"/>
        <v>7267.0659445983601</v>
      </c>
      <c r="U83" s="58">
        <f ca="1"/>
        <v>7267.0659445983601</v>
      </c>
      <c r="V83" s="58">
        <f ca="1"/>
        <v>7267.0659445983601</v>
      </c>
      <c r="W83" s="58">
        <f ca="1"/>
        <v>7267.0659445983601</v>
      </c>
      <c r="X83" s="58">
        <f ca="1"/>
        <v>7267.0659445983601</v>
      </c>
      <c r="Y83" s="58">
        <f ca="1"/>
        <v>7267.0659445983601</v>
      </c>
      <c r="Z83" s="58">
        <f ca="1"/>
        <v>7267.0659445983601</v>
      </c>
      <c r="AA83" s="58">
        <f ca="1"/>
        <v>7267.0659445983601</v>
      </c>
      <c r="AB83" s="58">
        <f ca="1"/>
        <v>7267.0659445983601</v>
      </c>
      <c r="AC83" s="58">
        <f ca="1"/>
        <v>7267.0659445983601</v>
      </c>
      <c r="AD83" s="58">
        <f ca="1"/>
        <v>7267.0659445983601</v>
      </c>
      <c r="AE83" s="58">
        <f ca="1"/>
        <v>7267.0659445983601</v>
      </c>
      <c r="AF83" s="58">
        <f ca="1"/>
        <v>7267.0659445983601</v>
      </c>
      <c r="AG83" s="58">
        <f ca="1"/>
        <v>7267.0659445983601</v>
      </c>
      <c r="AH83" s="58">
        <f ca="1"/>
        <v>7267.0659445983601</v>
      </c>
      <c r="AI83" s="58">
        <f ca="1"/>
        <v>7267.0659445983601</v>
      </c>
      <c r="AJ83" s="58">
        <f ca="1"/>
        <v>7267.0659445983601</v>
      </c>
      <c r="AK83" s="58">
        <f ca="1"/>
        <v>7267.0659445983601</v>
      </c>
      <c r="AL83" s="59">
        <f ca="1"/>
        <v>7267.0659445983601</v>
      </c>
      <c r="AM83" s="10"/>
    </row>
    <row r="84" spans="2:39" ht="15" hidden="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2:39" ht="15" hidden="1">
      <c r="B85" s="10"/>
      <c r="C85" s="22" t="s">
        <v>85</v>
      </c>
      <c r="D85" s="23"/>
      <c r="E85" s="24">
        <f t="array" ref="E85:AL85">_yS</f>
        <v>2019</v>
      </c>
      <c r="F85" s="24">
        <v>2020</v>
      </c>
      <c r="G85" s="24">
        <v>2021</v>
      </c>
      <c r="H85" s="24">
        <v>2022</v>
      </c>
      <c r="I85" s="24">
        <v>2023</v>
      </c>
      <c r="J85" s="24">
        <v>2024</v>
      </c>
      <c r="K85" s="24">
        <v>2025</v>
      </c>
      <c r="L85" s="24">
        <v>2026</v>
      </c>
      <c r="M85" s="24">
        <v>2027</v>
      </c>
      <c r="N85" s="24">
        <v>2028</v>
      </c>
      <c r="O85" s="24">
        <v>2029</v>
      </c>
      <c r="P85" s="24">
        <v>2030</v>
      </c>
      <c r="Q85" s="24">
        <v>2031</v>
      </c>
      <c r="R85" s="24">
        <v>2032</v>
      </c>
      <c r="S85" s="24">
        <v>2033</v>
      </c>
      <c r="T85" s="24">
        <v>2034</v>
      </c>
      <c r="U85" s="24">
        <v>2035</v>
      </c>
      <c r="V85" s="24">
        <v>2036</v>
      </c>
      <c r="W85" s="24">
        <v>2037</v>
      </c>
      <c r="X85" s="24">
        <v>2038</v>
      </c>
      <c r="Y85" s="24">
        <v>2039</v>
      </c>
      <c r="Z85" s="24">
        <v>2040</v>
      </c>
      <c r="AA85" s="24">
        <v>2041</v>
      </c>
      <c r="AB85" s="24">
        <v>2042</v>
      </c>
      <c r="AC85" s="24">
        <v>2043</v>
      </c>
      <c r="AD85" s="24">
        <v>2044</v>
      </c>
      <c r="AE85" s="24">
        <v>2045</v>
      </c>
      <c r="AF85" s="24">
        <v>2046</v>
      </c>
      <c r="AG85" s="24">
        <v>2047</v>
      </c>
      <c r="AH85" s="24">
        <v>2048</v>
      </c>
      <c r="AI85" s="24">
        <v>2049</v>
      </c>
      <c r="AJ85" s="24">
        <v>2050</v>
      </c>
      <c r="AK85" s="24">
        <v>2051</v>
      </c>
      <c r="AL85" s="25">
        <v>2052</v>
      </c>
      <c r="AM85" s="10"/>
    </row>
    <row r="86" spans="2:39" ht="15" hidden="1">
      <c r="B86" s="10"/>
      <c r="C86" s="11" t="str">
        <f>"EL 0: " &amp; INDEX(_doName,1,1)</f>
        <v>EL 0: EL 0</v>
      </c>
      <c r="D86" s="12"/>
      <c r="E86" s="13">
        <f t="array" aca="1" ref="E86:AL86" ca="1">tlccEupol0</f>
        <v>0</v>
      </c>
      <c r="F86" s="13">
        <f ca="1"/>
        <v>0</v>
      </c>
      <c r="G86" s="13">
        <f ca="1"/>
        <v>0</v>
      </c>
      <c r="H86" s="13">
        <f ca="1"/>
        <v>0</v>
      </c>
      <c r="I86" s="13">
        <f ca="1"/>
        <v>0</v>
      </c>
      <c r="J86" s="13">
        <f ca="1"/>
        <v>0</v>
      </c>
      <c r="K86" s="13">
        <f ca="1"/>
        <v>0</v>
      </c>
      <c r="L86" s="13">
        <f ca="1"/>
        <v>0</v>
      </c>
      <c r="M86" s="13">
        <f ca="1"/>
        <v>0</v>
      </c>
      <c r="N86" s="13">
        <f ca="1"/>
        <v>0</v>
      </c>
      <c r="O86" s="13">
        <f ca="1"/>
        <v>0</v>
      </c>
      <c r="P86" s="13">
        <f ca="1"/>
        <v>0</v>
      </c>
      <c r="Q86" s="13">
        <f ca="1"/>
        <v>0</v>
      </c>
      <c r="R86" s="13">
        <f ca="1"/>
        <v>0</v>
      </c>
      <c r="S86" s="13">
        <f ca="1"/>
        <v>0</v>
      </c>
      <c r="T86" s="13">
        <f ca="1"/>
        <v>0</v>
      </c>
      <c r="U86" s="13">
        <f ca="1"/>
        <v>0</v>
      </c>
      <c r="V86" s="13">
        <f ca="1"/>
        <v>0</v>
      </c>
      <c r="W86" s="13">
        <f ca="1"/>
        <v>0</v>
      </c>
      <c r="X86" s="13">
        <f ca="1"/>
        <v>0</v>
      </c>
      <c r="Y86" s="13">
        <f ca="1"/>
        <v>0</v>
      </c>
      <c r="Z86" s="13">
        <f ca="1"/>
        <v>0</v>
      </c>
      <c r="AA86" s="13">
        <f ca="1"/>
        <v>0</v>
      </c>
      <c r="AB86" s="13">
        <f ca="1"/>
        <v>0</v>
      </c>
      <c r="AC86" s="13">
        <f ca="1"/>
        <v>0</v>
      </c>
      <c r="AD86" s="13">
        <f ca="1"/>
        <v>0</v>
      </c>
      <c r="AE86" s="13">
        <f ca="1"/>
        <v>0</v>
      </c>
      <c r="AF86" s="13">
        <f ca="1"/>
        <v>0</v>
      </c>
      <c r="AG86" s="13">
        <f ca="1"/>
        <v>0</v>
      </c>
      <c r="AH86" s="13">
        <f ca="1"/>
        <v>0</v>
      </c>
      <c r="AI86" s="13">
        <f ca="1"/>
        <v>0</v>
      </c>
      <c r="AJ86" s="13">
        <f ca="1"/>
        <v>0</v>
      </c>
      <c r="AK86" s="13">
        <f ca="1"/>
        <v>0</v>
      </c>
      <c r="AL86" s="56">
        <f ca="1"/>
        <v>0</v>
      </c>
      <c r="AM86" s="10"/>
    </row>
    <row r="87" spans="2:39" ht="15" hidden="1">
      <c r="B87" s="10"/>
      <c r="C87" s="11" t="str">
        <f>"EL 1: " &amp; INDEX(_doName,1,2)</f>
        <v>EL 1: EL 1</v>
      </c>
      <c r="D87" s="12"/>
      <c r="E87" s="13">
        <f t="array" aca="1" ref="E87:AL87" ca="1">tlccEupol1</f>
        <v>0</v>
      </c>
      <c r="F87" s="13">
        <f ca="1"/>
        <v>0</v>
      </c>
      <c r="G87" s="13">
        <f ca="1"/>
        <v>0</v>
      </c>
      <c r="H87" s="13">
        <f ca="1"/>
        <v>0</v>
      </c>
      <c r="I87" s="13">
        <f ca="1"/>
        <v>0</v>
      </c>
      <c r="J87" s="13">
        <f ca="1"/>
        <v>0</v>
      </c>
      <c r="K87" s="13">
        <f ca="1"/>
        <v>0</v>
      </c>
      <c r="L87" s="13">
        <f ca="1"/>
        <v>0</v>
      </c>
      <c r="M87" s="13">
        <f ca="1"/>
        <v>0</v>
      </c>
      <c r="N87" s="13">
        <f ca="1"/>
        <v>0</v>
      </c>
      <c r="O87" s="13">
        <f ca="1"/>
        <v>0</v>
      </c>
      <c r="P87" s="13">
        <f ca="1"/>
        <v>0</v>
      </c>
      <c r="Q87" s="13">
        <f ca="1"/>
        <v>0</v>
      </c>
      <c r="R87" s="13">
        <f ca="1"/>
        <v>0</v>
      </c>
      <c r="S87" s="13">
        <f ca="1"/>
        <v>0</v>
      </c>
      <c r="T87" s="13">
        <f ca="1"/>
        <v>0</v>
      </c>
      <c r="U87" s="13">
        <f ca="1"/>
        <v>0</v>
      </c>
      <c r="V87" s="13">
        <f ca="1"/>
        <v>0</v>
      </c>
      <c r="W87" s="13">
        <f ca="1"/>
        <v>0</v>
      </c>
      <c r="X87" s="13">
        <f ca="1"/>
        <v>0</v>
      </c>
      <c r="Y87" s="13">
        <f ca="1"/>
        <v>0</v>
      </c>
      <c r="Z87" s="13">
        <f ca="1"/>
        <v>0</v>
      </c>
      <c r="AA87" s="13">
        <f ca="1"/>
        <v>0</v>
      </c>
      <c r="AB87" s="13">
        <f ca="1"/>
        <v>0</v>
      </c>
      <c r="AC87" s="13">
        <f ca="1"/>
        <v>0</v>
      </c>
      <c r="AD87" s="13">
        <f ca="1"/>
        <v>0</v>
      </c>
      <c r="AE87" s="13">
        <f ca="1"/>
        <v>0</v>
      </c>
      <c r="AF87" s="13">
        <f ca="1"/>
        <v>0</v>
      </c>
      <c r="AG87" s="13">
        <f ca="1"/>
        <v>0</v>
      </c>
      <c r="AH87" s="13">
        <f ca="1"/>
        <v>0</v>
      </c>
      <c r="AI87" s="13">
        <f ca="1"/>
        <v>0</v>
      </c>
      <c r="AJ87" s="13">
        <f ca="1"/>
        <v>0</v>
      </c>
      <c r="AK87" s="13">
        <f ca="1"/>
        <v>0</v>
      </c>
      <c r="AL87" s="56">
        <f ca="1"/>
        <v>0</v>
      </c>
      <c r="AM87" s="10"/>
    </row>
    <row r="88" spans="2:39" ht="15" hidden="1">
      <c r="B88" s="10"/>
      <c r="C88" s="11" t="str">
        <f>"EL 2: " &amp; INDEX(_doName,1,3)</f>
        <v>EL 2: EL 2</v>
      </c>
      <c r="D88" s="12"/>
      <c r="E88" s="13">
        <f t="array" aca="1" ref="E88:AL88" ca="1">tlccEupol2</f>
        <v>0</v>
      </c>
      <c r="F88" s="13">
        <f ca="1"/>
        <v>0</v>
      </c>
      <c r="G88" s="13">
        <f ca="1"/>
        <v>0</v>
      </c>
      <c r="H88" s="13">
        <f ca="1"/>
        <v>0</v>
      </c>
      <c r="I88" s="13">
        <f ca="1"/>
        <v>0</v>
      </c>
      <c r="J88" s="13">
        <f ca="1"/>
        <v>0</v>
      </c>
      <c r="K88" s="13">
        <f ca="1"/>
        <v>0</v>
      </c>
      <c r="L88" s="13">
        <f ca="1"/>
        <v>0</v>
      </c>
      <c r="M88" s="13">
        <f ca="1"/>
        <v>0</v>
      </c>
      <c r="N88" s="13">
        <f ca="1"/>
        <v>0</v>
      </c>
      <c r="O88" s="13">
        <f ca="1"/>
        <v>0</v>
      </c>
      <c r="P88" s="13">
        <f ca="1"/>
        <v>0</v>
      </c>
      <c r="Q88" s="13">
        <f ca="1"/>
        <v>0</v>
      </c>
      <c r="R88" s="13">
        <f ca="1"/>
        <v>0</v>
      </c>
      <c r="S88" s="13">
        <f ca="1"/>
        <v>0</v>
      </c>
      <c r="T88" s="13">
        <f ca="1"/>
        <v>0</v>
      </c>
      <c r="U88" s="13">
        <f ca="1"/>
        <v>0</v>
      </c>
      <c r="V88" s="13">
        <f ca="1"/>
        <v>0</v>
      </c>
      <c r="W88" s="13">
        <f ca="1"/>
        <v>0</v>
      </c>
      <c r="X88" s="13">
        <f ca="1"/>
        <v>0</v>
      </c>
      <c r="Y88" s="13">
        <f ca="1"/>
        <v>0</v>
      </c>
      <c r="Z88" s="13">
        <f ca="1"/>
        <v>0</v>
      </c>
      <c r="AA88" s="13">
        <f ca="1"/>
        <v>0</v>
      </c>
      <c r="AB88" s="13">
        <f ca="1"/>
        <v>0</v>
      </c>
      <c r="AC88" s="13">
        <f ca="1"/>
        <v>0</v>
      </c>
      <c r="AD88" s="13">
        <f ca="1"/>
        <v>0</v>
      </c>
      <c r="AE88" s="13">
        <f ca="1"/>
        <v>0</v>
      </c>
      <c r="AF88" s="13">
        <f ca="1"/>
        <v>0</v>
      </c>
      <c r="AG88" s="13">
        <f ca="1"/>
        <v>0</v>
      </c>
      <c r="AH88" s="13">
        <f ca="1"/>
        <v>0</v>
      </c>
      <c r="AI88" s="13">
        <f ca="1"/>
        <v>0</v>
      </c>
      <c r="AJ88" s="13">
        <f ca="1"/>
        <v>0</v>
      </c>
      <c r="AK88" s="13">
        <f ca="1"/>
        <v>0</v>
      </c>
      <c r="AL88" s="56">
        <f ca="1"/>
        <v>0</v>
      </c>
      <c r="AM88" s="10"/>
    </row>
    <row r="89" spans="2:39" ht="15" hidden="1">
      <c r="B89" s="10"/>
      <c r="C89" s="11" t="str">
        <f>"EL 3: " &amp; INDEX(_doName,1,4)</f>
        <v>EL 3: EL 3</v>
      </c>
      <c r="D89" s="12"/>
      <c r="E89" s="13">
        <f t="array" aca="1" ref="E89:AL89" ca="1">tlccEupol3</f>
        <v>0</v>
      </c>
      <c r="F89" s="13">
        <f ca="1"/>
        <v>0</v>
      </c>
      <c r="G89" s="13">
        <f ca="1"/>
        <v>0</v>
      </c>
      <c r="H89" s="13">
        <f ca="1"/>
        <v>0</v>
      </c>
      <c r="I89" s="13">
        <f ca="1"/>
        <v>0</v>
      </c>
      <c r="J89" s="13">
        <f ca="1"/>
        <v>0</v>
      </c>
      <c r="K89" s="13">
        <f ca="1"/>
        <v>0</v>
      </c>
      <c r="L89" s="13">
        <f ca="1"/>
        <v>0</v>
      </c>
      <c r="M89" s="13">
        <f ca="1"/>
        <v>0</v>
      </c>
      <c r="N89" s="13">
        <f ca="1"/>
        <v>0</v>
      </c>
      <c r="O89" s="13">
        <f ca="1"/>
        <v>0</v>
      </c>
      <c r="P89" s="13">
        <f ca="1"/>
        <v>0</v>
      </c>
      <c r="Q89" s="13">
        <f ca="1"/>
        <v>0</v>
      </c>
      <c r="R89" s="13">
        <f ca="1"/>
        <v>0</v>
      </c>
      <c r="S89" s="13">
        <f ca="1"/>
        <v>0</v>
      </c>
      <c r="T89" s="13">
        <f ca="1"/>
        <v>0</v>
      </c>
      <c r="U89" s="13">
        <f ca="1"/>
        <v>0</v>
      </c>
      <c r="V89" s="13">
        <f ca="1"/>
        <v>0</v>
      </c>
      <c r="W89" s="13">
        <f ca="1"/>
        <v>0</v>
      </c>
      <c r="X89" s="13">
        <f ca="1"/>
        <v>0</v>
      </c>
      <c r="Y89" s="13">
        <f ca="1"/>
        <v>0</v>
      </c>
      <c r="Z89" s="13">
        <f ca="1"/>
        <v>0</v>
      </c>
      <c r="AA89" s="13">
        <f ca="1"/>
        <v>0</v>
      </c>
      <c r="AB89" s="13">
        <f ca="1"/>
        <v>0</v>
      </c>
      <c r="AC89" s="13">
        <f ca="1"/>
        <v>0</v>
      </c>
      <c r="AD89" s="13">
        <f ca="1"/>
        <v>0</v>
      </c>
      <c r="AE89" s="13">
        <f ca="1"/>
        <v>0</v>
      </c>
      <c r="AF89" s="13">
        <f ca="1"/>
        <v>0</v>
      </c>
      <c r="AG89" s="13">
        <f ca="1"/>
        <v>0</v>
      </c>
      <c r="AH89" s="13">
        <f ca="1"/>
        <v>0</v>
      </c>
      <c r="AI89" s="13">
        <f ca="1"/>
        <v>0</v>
      </c>
      <c r="AJ89" s="13">
        <f ca="1"/>
        <v>0</v>
      </c>
      <c r="AK89" s="13">
        <f ca="1"/>
        <v>0</v>
      </c>
      <c r="AL89" s="56">
        <f ca="1"/>
        <v>0</v>
      </c>
      <c r="AM89" s="10"/>
    </row>
    <row r="90" spans="2:39" ht="15" hidden="1">
      <c r="B90" s="10"/>
      <c r="C90" s="11" t="str">
        <f>"EL 4: " &amp; INDEX(_doName,1,5)</f>
        <v>EL 4: EL 4</v>
      </c>
      <c r="D90" s="12"/>
      <c r="E90" s="13">
        <f t="array" aca="1" ref="E90:AL90" ca="1">tlccEupol4</f>
        <v>0</v>
      </c>
      <c r="F90" s="13">
        <f ca="1"/>
        <v>0</v>
      </c>
      <c r="G90" s="13">
        <f ca="1"/>
        <v>0</v>
      </c>
      <c r="H90" s="13">
        <f ca="1"/>
        <v>0</v>
      </c>
      <c r="I90" s="13">
        <f ca="1"/>
        <v>0</v>
      </c>
      <c r="J90" s="13">
        <f ca="1"/>
        <v>0</v>
      </c>
      <c r="K90" s="13">
        <f ca="1"/>
        <v>0</v>
      </c>
      <c r="L90" s="13">
        <f ca="1"/>
        <v>0</v>
      </c>
      <c r="M90" s="13">
        <f ca="1"/>
        <v>0</v>
      </c>
      <c r="N90" s="13">
        <f ca="1"/>
        <v>0</v>
      </c>
      <c r="O90" s="13">
        <f ca="1"/>
        <v>0</v>
      </c>
      <c r="P90" s="13">
        <f ca="1"/>
        <v>0</v>
      </c>
      <c r="Q90" s="13">
        <f ca="1"/>
        <v>0</v>
      </c>
      <c r="R90" s="13">
        <f ca="1"/>
        <v>0</v>
      </c>
      <c r="S90" s="13">
        <f ca="1"/>
        <v>0</v>
      </c>
      <c r="T90" s="13">
        <f ca="1"/>
        <v>0</v>
      </c>
      <c r="U90" s="13">
        <f ca="1"/>
        <v>0</v>
      </c>
      <c r="V90" s="13">
        <f ca="1"/>
        <v>0</v>
      </c>
      <c r="W90" s="13">
        <f ca="1"/>
        <v>0</v>
      </c>
      <c r="X90" s="13">
        <f ca="1"/>
        <v>0</v>
      </c>
      <c r="Y90" s="13">
        <f ca="1"/>
        <v>0</v>
      </c>
      <c r="Z90" s="13">
        <f ca="1"/>
        <v>0</v>
      </c>
      <c r="AA90" s="13">
        <f ca="1"/>
        <v>0</v>
      </c>
      <c r="AB90" s="13">
        <f ca="1"/>
        <v>0</v>
      </c>
      <c r="AC90" s="13">
        <f ca="1"/>
        <v>0</v>
      </c>
      <c r="AD90" s="13">
        <f ca="1"/>
        <v>0</v>
      </c>
      <c r="AE90" s="13">
        <f ca="1"/>
        <v>0</v>
      </c>
      <c r="AF90" s="13">
        <f ca="1"/>
        <v>0</v>
      </c>
      <c r="AG90" s="13">
        <f ca="1"/>
        <v>0</v>
      </c>
      <c r="AH90" s="13">
        <f ca="1"/>
        <v>0</v>
      </c>
      <c r="AI90" s="13">
        <f ca="1"/>
        <v>0</v>
      </c>
      <c r="AJ90" s="13">
        <f ca="1"/>
        <v>0</v>
      </c>
      <c r="AK90" s="13">
        <f ca="1"/>
        <v>0</v>
      </c>
      <c r="AL90" s="56">
        <f ca="1"/>
        <v>0</v>
      </c>
      <c r="AM90" s="10"/>
    </row>
    <row r="91" spans="2:39" ht="15" hidden="1">
      <c r="B91" s="10"/>
      <c r="C91" s="11" t="str">
        <f>"EL 5: " &amp; INDEX(_doName,1,6)</f>
        <v>EL 5: EL 5</v>
      </c>
      <c r="D91" s="12"/>
      <c r="E91" s="13">
        <f t="array" aca="1" ref="E91:AL91" ca="1">tlccEupol5</f>
        <v>50410.851094500111</v>
      </c>
      <c r="F91" s="13">
        <f ca="1"/>
        <v>50823.369621947691</v>
      </c>
      <c r="G91" s="13">
        <f ca="1"/>
        <v>51223.089461115174</v>
      </c>
      <c r="H91" s="13">
        <f ca="1"/>
        <v>51582.480312754138</v>
      </c>
      <c r="I91" s="13">
        <f ca="1"/>
        <v>51907.373442403856</v>
      </c>
      <c r="J91" s="13">
        <f ca="1"/>
        <v>52234.356526287404</v>
      </c>
      <c r="K91" s="13">
        <f ca="1"/>
        <v>52563.443326667344</v>
      </c>
      <c r="L91" s="13">
        <f ca="1"/>
        <v>52894.647698702393</v>
      </c>
      <c r="M91" s="13">
        <f ca="1"/>
        <v>53227.983591090218</v>
      </c>
      <c r="N91" s="13">
        <f ca="1"/>
        <v>53563.465046715166</v>
      </c>
      <c r="O91" s="13">
        <f ca="1"/>
        <v>53901.106203300093</v>
      </c>
      <c r="P91" s="13">
        <f ca="1"/>
        <v>54240.921294063177</v>
      </c>
      <c r="Q91" s="13">
        <f ca="1"/>
        <v>54582.924648379063</v>
      </c>
      <c r="R91" s="13">
        <f ca="1"/>
        <v>54927.130692445251</v>
      </c>
      <c r="S91" s="13">
        <f ca="1"/>
        <v>55273.553949952526</v>
      </c>
      <c r="T91" s="13">
        <f ca="1"/>
        <v>55622.209042760536</v>
      </c>
      <c r="U91" s="13">
        <f ca="1"/>
        <v>55973.110691578229</v>
      </c>
      <c r="V91" s="13">
        <f ca="1"/>
        <v>56326.273716648822</v>
      </c>
      <c r="W91" s="13">
        <f ca="1"/>
        <v>56681.71303843995</v>
      </c>
      <c r="X91" s="13">
        <f ca="1"/>
        <v>57039.443678338401</v>
      </c>
      <c r="Y91" s="13">
        <f ca="1"/>
        <v>57399.480759350161</v>
      </c>
      <c r="Z91" s="13">
        <f ca="1"/>
        <v>57761.839506805016</v>
      </c>
      <c r="AA91" s="13">
        <f ca="1"/>
        <v>58126.535249066408</v>
      </c>
      <c r="AB91" s="13">
        <f ca="1"/>
        <v>58493.58341824638</v>
      </c>
      <c r="AC91" s="13">
        <f ca="1"/>
        <v>58862.9995509254</v>
      </c>
      <c r="AD91" s="13">
        <f ca="1"/>
        <v>59234.799288877424</v>
      </c>
      <c r="AE91" s="13">
        <f ca="1"/>
        <v>59608.998379800149</v>
      </c>
      <c r="AF91" s="13">
        <f ca="1"/>
        <v>59985.612678050391</v>
      </c>
      <c r="AG91" s="13">
        <f ca="1"/>
        <v>60364.658145384594</v>
      </c>
      <c r="AH91" s="13">
        <f ca="1"/>
        <v>60746.150851704915</v>
      </c>
      <c r="AI91" s="13">
        <f ca="1"/>
        <v>61130.106975810195</v>
      </c>
      <c r="AJ91" s="13">
        <f ca="1"/>
        <v>61516.542806152633</v>
      </c>
      <c r="AK91" s="13">
        <f ca="1"/>
        <v>61905.474741599697</v>
      </c>
      <c r="AL91" s="56">
        <f ca="1"/>
        <v>62296.919292201317</v>
      </c>
      <c r="AM91" s="10"/>
    </row>
    <row r="92" spans="2:39" ht="15" hidden="1">
      <c r="B92" s="10"/>
      <c r="C92" s="21" t="str">
        <f>"EL 6: " &amp; INDEX(_doName,1,7)</f>
        <v>EL 6: EL 6</v>
      </c>
      <c r="D92" s="18"/>
      <c r="E92" s="58">
        <f t="array" aca="1" ref="E92:AL92" ca="1">tlccEupol6</f>
        <v>40417.485286573319</v>
      </c>
      <c r="F92" s="58">
        <f ca="1"/>
        <v>40748.226806534869</v>
      </c>
      <c r="G92" s="58">
        <f ca="1"/>
        <v>41068.706829536677</v>
      </c>
      <c r="H92" s="58">
        <f ca="1"/>
        <v>41356.852618446595</v>
      </c>
      <c r="I92" s="58">
        <f ca="1"/>
        <v>41617.339458129376</v>
      </c>
      <c r="J92" s="58">
        <f ca="1"/>
        <v>41879.50194288983</v>
      </c>
      <c r="K92" s="58">
        <f ca="1"/>
        <v>42143.351106781709</v>
      </c>
      <c r="L92" s="58">
        <f ca="1"/>
        <v>42408.898058339393</v>
      </c>
      <c r="M92" s="58">
        <f ca="1"/>
        <v>42676.153981093383</v>
      </c>
      <c r="N92" s="58">
        <f ca="1"/>
        <v>42945.13013408913</v>
      </c>
      <c r="O92" s="58">
        <f ca="1"/>
        <v>43215.837852410157</v>
      </c>
      <c r="P92" s="58">
        <f ca="1"/>
        <v>43488.288547704375</v>
      </c>
      <c r="Q92" s="58">
        <f ca="1"/>
        <v>43762.49370871445</v>
      </c>
      <c r="R92" s="58">
        <f ca="1"/>
        <v>44038.464901811676</v>
      </c>
      <c r="S92" s="58">
        <f ca="1"/>
        <v>44316.213771533759</v>
      </c>
      <c r="T92" s="58">
        <f ca="1"/>
        <v>44595.752041126529</v>
      </c>
      <c r="U92" s="58">
        <f ca="1"/>
        <v>44877.091513089385</v>
      </c>
      <c r="V92" s="58">
        <f ca="1"/>
        <v>45160.244069724336</v>
      </c>
      <c r="W92" s="58">
        <f ca="1"/>
        <v>45445.221673689652</v>
      </c>
      <c r="X92" s="58">
        <f ca="1"/>
        <v>45732.036368556626</v>
      </c>
      <c r="Y92" s="58">
        <f ca="1"/>
        <v>46020.700279370853</v>
      </c>
      <c r="Z92" s="58">
        <f ca="1"/>
        <v>46311.225613217401</v>
      </c>
      <c r="AA92" s="58">
        <f ca="1"/>
        <v>46603.624659789624</v>
      </c>
      <c r="AB92" s="58">
        <f ca="1"/>
        <v>46897.909791962549</v>
      </c>
      <c r="AC92" s="58">
        <f ca="1"/>
        <v>47194.093466369988</v>
      </c>
      <c r="AD92" s="58">
        <f ca="1"/>
        <v>47492.188223985941</v>
      </c>
      <c r="AE92" s="58">
        <f ca="1"/>
        <v>47792.206690709841</v>
      </c>
      <c r="AF92" s="58">
        <f ca="1"/>
        <v>48094.161577956387</v>
      </c>
      <c r="AG92" s="58">
        <f ca="1"/>
        <v>48398.065683249202</v>
      </c>
      <c r="AH92" s="58">
        <f ca="1"/>
        <v>48703.931890818909</v>
      </c>
      <c r="AI92" s="58">
        <f ca="1"/>
        <v>49011.773172205423</v>
      </c>
      <c r="AJ92" s="58">
        <f ca="1"/>
        <v>49321.602586864436</v>
      </c>
      <c r="AK92" s="58">
        <f ca="1"/>
        <v>49633.433282778307</v>
      </c>
      <c r="AL92" s="59">
        <f ca="1"/>
        <v>49947.278497071355</v>
      </c>
      <c r="AM92" s="10"/>
    </row>
    <row r="93" spans="2:39" ht="15" hidden="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row>
    <row r="94" spans="2:39" ht="15" hidden="1">
      <c r="B94" s="10"/>
      <c r="C94" s="22" t="s">
        <v>84</v>
      </c>
      <c r="D94" s="23"/>
      <c r="E94" s="24">
        <f t="array" ref="E94:AL94">_yS</f>
        <v>2019</v>
      </c>
      <c r="F94" s="24">
        <v>2020</v>
      </c>
      <c r="G94" s="24">
        <v>2021</v>
      </c>
      <c r="H94" s="24">
        <v>2022</v>
      </c>
      <c r="I94" s="24">
        <v>2023</v>
      </c>
      <c r="J94" s="24">
        <v>2024</v>
      </c>
      <c r="K94" s="24">
        <v>2025</v>
      </c>
      <c r="L94" s="24">
        <v>2026</v>
      </c>
      <c r="M94" s="24">
        <v>2027</v>
      </c>
      <c r="N94" s="24">
        <v>2028</v>
      </c>
      <c r="O94" s="24">
        <v>2029</v>
      </c>
      <c r="P94" s="24">
        <v>2030</v>
      </c>
      <c r="Q94" s="24">
        <v>2031</v>
      </c>
      <c r="R94" s="24">
        <v>2032</v>
      </c>
      <c r="S94" s="24">
        <v>2033</v>
      </c>
      <c r="T94" s="24">
        <v>2034</v>
      </c>
      <c r="U94" s="24">
        <v>2035</v>
      </c>
      <c r="V94" s="24">
        <v>2036</v>
      </c>
      <c r="W94" s="24">
        <v>2037</v>
      </c>
      <c r="X94" s="24">
        <v>2038</v>
      </c>
      <c r="Y94" s="24">
        <v>2039</v>
      </c>
      <c r="Z94" s="24">
        <v>2040</v>
      </c>
      <c r="AA94" s="24">
        <v>2041</v>
      </c>
      <c r="AB94" s="24">
        <v>2042</v>
      </c>
      <c r="AC94" s="24">
        <v>2043</v>
      </c>
      <c r="AD94" s="24">
        <v>2044</v>
      </c>
      <c r="AE94" s="24">
        <v>2045</v>
      </c>
      <c r="AF94" s="24">
        <v>2046</v>
      </c>
      <c r="AG94" s="24">
        <v>2047</v>
      </c>
      <c r="AH94" s="24">
        <v>2048</v>
      </c>
      <c r="AI94" s="24">
        <v>2049</v>
      </c>
      <c r="AJ94" s="24">
        <v>2050</v>
      </c>
      <c r="AK94" s="24">
        <v>2051</v>
      </c>
      <c r="AL94" s="25">
        <v>2052</v>
      </c>
      <c r="AM94" s="10"/>
    </row>
    <row r="95" spans="2:39" ht="15" hidden="1">
      <c r="B95" s="10"/>
      <c r="C95" s="11" t="str">
        <f>"EL 0: " &amp; INDEX(_doName,1,1)</f>
        <v>EL 0: EL 0</v>
      </c>
      <c r="D95" s="12"/>
      <c r="E95" s="13">
        <f t="array" aca="1" ref="E95:AL95" ca="1">tlccFupolElec0</f>
        <v>0</v>
      </c>
      <c r="F95" s="13">
        <f ca="1"/>
        <v>0</v>
      </c>
      <c r="G95" s="13">
        <f ca="1"/>
        <v>0</v>
      </c>
      <c r="H95" s="13">
        <f ca="1"/>
        <v>0</v>
      </c>
      <c r="I95" s="13">
        <f ca="1"/>
        <v>0</v>
      </c>
      <c r="J95" s="13">
        <f ca="1"/>
        <v>0</v>
      </c>
      <c r="K95" s="13">
        <f ca="1"/>
        <v>0</v>
      </c>
      <c r="L95" s="13">
        <f ca="1"/>
        <v>0</v>
      </c>
      <c r="M95" s="13">
        <f ca="1"/>
        <v>0</v>
      </c>
      <c r="N95" s="13">
        <f ca="1"/>
        <v>0</v>
      </c>
      <c r="O95" s="13">
        <f ca="1"/>
        <v>0</v>
      </c>
      <c r="P95" s="13">
        <f ca="1"/>
        <v>0</v>
      </c>
      <c r="Q95" s="13">
        <f ca="1"/>
        <v>0</v>
      </c>
      <c r="R95" s="13">
        <f ca="1"/>
        <v>0</v>
      </c>
      <c r="S95" s="13">
        <f ca="1"/>
        <v>0</v>
      </c>
      <c r="T95" s="13">
        <f ca="1"/>
        <v>0</v>
      </c>
      <c r="U95" s="13">
        <f ca="1"/>
        <v>0</v>
      </c>
      <c r="V95" s="13">
        <f ca="1"/>
        <v>0</v>
      </c>
      <c r="W95" s="13">
        <f ca="1"/>
        <v>0</v>
      </c>
      <c r="X95" s="13">
        <f ca="1"/>
        <v>0</v>
      </c>
      <c r="Y95" s="13">
        <f ca="1"/>
        <v>0</v>
      </c>
      <c r="Z95" s="13">
        <f ca="1"/>
        <v>0</v>
      </c>
      <c r="AA95" s="13">
        <f ca="1"/>
        <v>0</v>
      </c>
      <c r="AB95" s="13">
        <f ca="1"/>
        <v>0</v>
      </c>
      <c r="AC95" s="13">
        <f ca="1"/>
        <v>0</v>
      </c>
      <c r="AD95" s="13">
        <f ca="1"/>
        <v>0</v>
      </c>
      <c r="AE95" s="13">
        <f ca="1"/>
        <v>0</v>
      </c>
      <c r="AF95" s="13">
        <f ca="1"/>
        <v>0</v>
      </c>
      <c r="AG95" s="13">
        <f ca="1"/>
        <v>0</v>
      </c>
      <c r="AH95" s="13">
        <f ca="1"/>
        <v>0</v>
      </c>
      <c r="AI95" s="13">
        <f ca="1"/>
        <v>0</v>
      </c>
      <c r="AJ95" s="13">
        <f ca="1"/>
        <v>0</v>
      </c>
      <c r="AK95" s="13">
        <f ca="1"/>
        <v>0</v>
      </c>
      <c r="AL95" s="56">
        <f ca="1"/>
        <v>0</v>
      </c>
      <c r="AM95" s="10"/>
    </row>
    <row r="96" spans="2:39" ht="15" hidden="1">
      <c r="B96" s="10"/>
      <c r="C96" s="11" t="str">
        <f>"EL 1: " &amp; INDEX(_doName,1,2)</f>
        <v>EL 1: EL 1</v>
      </c>
      <c r="D96" s="12"/>
      <c r="E96" s="13">
        <f t="array" aca="1" ref="E96:AL96" ca="1">tlccFupolElec1</f>
        <v>0</v>
      </c>
      <c r="F96" s="13">
        <f ca="1"/>
        <v>0</v>
      </c>
      <c r="G96" s="13">
        <f ca="1"/>
        <v>0</v>
      </c>
      <c r="H96" s="13">
        <f ca="1"/>
        <v>0</v>
      </c>
      <c r="I96" s="13">
        <f ca="1"/>
        <v>0</v>
      </c>
      <c r="J96" s="13">
        <f ca="1"/>
        <v>0</v>
      </c>
      <c r="K96" s="13">
        <f ca="1"/>
        <v>0</v>
      </c>
      <c r="L96" s="13">
        <f ca="1"/>
        <v>0</v>
      </c>
      <c r="M96" s="13">
        <f ca="1"/>
        <v>0</v>
      </c>
      <c r="N96" s="13">
        <f ca="1"/>
        <v>0</v>
      </c>
      <c r="O96" s="13">
        <f ca="1"/>
        <v>0</v>
      </c>
      <c r="P96" s="13">
        <f ca="1"/>
        <v>0</v>
      </c>
      <c r="Q96" s="13">
        <f ca="1"/>
        <v>0</v>
      </c>
      <c r="R96" s="13">
        <f ca="1"/>
        <v>0</v>
      </c>
      <c r="S96" s="13">
        <f ca="1"/>
        <v>0</v>
      </c>
      <c r="T96" s="13">
        <f ca="1"/>
        <v>0</v>
      </c>
      <c r="U96" s="13">
        <f ca="1"/>
        <v>0</v>
      </c>
      <c r="V96" s="13">
        <f ca="1"/>
        <v>0</v>
      </c>
      <c r="W96" s="13">
        <f ca="1"/>
        <v>0</v>
      </c>
      <c r="X96" s="13">
        <f ca="1"/>
        <v>0</v>
      </c>
      <c r="Y96" s="13">
        <f ca="1"/>
        <v>0</v>
      </c>
      <c r="Z96" s="13">
        <f ca="1"/>
        <v>0</v>
      </c>
      <c r="AA96" s="13">
        <f ca="1"/>
        <v>0</v>
      </c>
      <c r="AB96" s="13">
        <f ca="1"/>
        <v>0</v>
      </c>
      <c r="AC96" s="13">
        <f ca="1"/>
        <v>0</v>
      </c>
      <c r="AD96" s="13">
        <f ca="1"/>
        <v>0</v>
      </c>
      <c r="AE96" s="13">
        <f ca="1"/>
        <v>0</v>
      </c>
      <c r="AF96" s="13">
        <f ca="1"/>
        <v>0</v>
      </c>
      <c r="AG96" s="13">
        <f ca="1"/>
        <v>0</v>
      </c>
      <c r="AH96" s="13">
        <f ca="1"/>
        <v>0</v>
      </c>
      <c r="AI96" s="13">
        <f ca="1"/>
        <v>0</v>
      </c>
      <c r="AJ96" s="13">
        <f ca="1"/>
        <v>0</v>
      </c>
      <c r="AK96" s="13">
        <f ca="1"/>
        <v>0</v>
      </c>
      <c r="AL96" s="56">
        <f ca="1"/>
        <v>0</v>
      </c>
      <c r="AM96" s="10"/>
    </row>
    <row r="97" spans="2:39" ht="15" hidden="1">
      <c r="B97" s="10"/>
      <c r="C97" s="11" t="str">
        <f>"EL 2: " &amp; INDEX(_doName,1,3)</f>
        <v>EL 2: EL 2</v>
      </c>
      <c r="D97" s="12"/>
      <c r="E97" s="13">
        <f t="array" aca="1" ref="E97:AL97" ca="1">tlccFupolElec2</f>
        <v>0</v>
      </c>
      <c r="F97" s="13">
        <f ca="1"/>
        <v>0</v>
      </c>
      <c r="G97" s="13">
        <f ca="1"/>
        <v>0</v>
      </c>
      <c r="H97" s="13">
        <f ca="1"/>
        <v>0</v>
      </c>
      <c r="I97" s="13">
        <f ca="1"/>
        <v>0</v>
      </c>
      <c r="J97" s="13">
        <f ca="1"/>
        <v>0</v>
      </c>
      <c r="K97" s="13">
        <f ca="1"/>
        <v>0</v>
      </c>
      <c r="L97" s="13">
        <f ca="1"/>
        <v>0</v>
      </c>
      <c r="M97" s="13">
        <f ca="1"/>
        <v>0</v>
      </c>
      <c r="N97" s="13">
        <f ca="1"/>
        <v>0</v>
      </c>
      <c r="O97" s="13">
        <f ca="1"/>
        <v>0</v>
      </c>
      <c r="P97" s="13">
        <f ca="1"/>
        <v>0</v>
      </c>
      <c r="Q97" s="13">
        <f ca="1"/>
        <v>0</v>
      </c>
      <c r="R97" s="13">
        <f ca="1"/>
        <v>0</v>
      </c>
      <c r="S97" s="13">
        <f ca="1"/>
        <v>0</v>
      </c>
      <c r="T97" s="13">
        <f ca="1"/>
        <v>0</v>
      </c>
      <c r="U97" s="13">
        <f ca="1"/>
        <v>0</v>
      </c>
      <c r="V97" s="13">
        <f ca="1"/>
        <v>0</v>
      </c>
      <c r="W97" s="13">
        <f ca="1"/>
        <v>0</v>
      </c>
      <c r="X97" s="13">
        <f ca="1"/>
        <v>0</v>
      </c>
      <c r="Y97" s="13">
        <f ca="1"/>
        <v>0</v>
      </c>
      <c r="Z97" s="13">
        <f ca="1"/>
        <v>0</v>
      </c>
      <c r="AA97" s="13">
        <f ca="1"/>
        <v>0</v>
      </c>
      <c r="AB97" s="13">
        <f ca="1"/>
        <v>0</v>
      </c>
      <c r="AC97" s="13">
        <f ca="1"/>
        <v>0</v>
      </c>
      <c r="AD97" s="13">
        <f ca="1"/>
        <v>0</v>
      </c>
      <c r="AE97" s="13">
        <f ca="1"/>
        <v>0</v>
      </c>
      <c r="AF97" s="13">
        <f ca="1"/>
        <v>0</v>
      </c>
      <c r="AG97" s="13">
        <f ca="1"/>
        <v>0</v>
      </c>
      <c r="AH97" s="13">
        <f ca="1"/>
        <v>0</v>
      </c>
      <c r="AI97" s="13">
        <f ca="1"/>
        <v>0</v>
      </c>
      <c r="AJ97" s="13">
        <f ca="1"/>
        <v>0</v>
      </c>
      <c r="AK97" s="13">
        <f ca="1"/>
        <v>0</v>
      </c>
      <c r="AL97" s="56">
        <f ca="1"/>
        <v>0</v>
      </c>
      <c r="AM97" s="10"/>
    </row>
    <row r="98" spans="2:39" ht="15" hidden="1">
      <c r="B98" s="10"/>
      <c r="C98" s="11" t="str">
        <f>"EL 3: " &amp; INDEX(_doName,1,4)</f>
        <v>EL 3: EL 3</v>
      </c>
      <c r="D98" s="12"/>
      <c r="E98" s="13">
        <f t="array" aca="1" ref="E98:AL98" ca="1">tlccFupolElec3</f>
        <v>0</v>
      </c>
      <c r="F98" s="13">
        <f ca="1"/>
        <v>0</v>
      </c>
      <c r="G98" s="13">
        <f ca="1"/>
        <v>0</v>
      </c>
      <c r="H98" s="13">
        <f ca="1"/>
        <v>0</v>
      </c>
      <c r="I98" s="13">
        <f ca="1"/>
        <v>0</v>
      </c>
      <c r="J98" s="13">
        <f ca="1"/>
        <v>0</v>
      </c>
      <c r="K98" s="13">
        <f ca="1"/>
        <v>0</v>
      </c>
      <c r="L98" s="13">
        <f ca="1"/>
        <v>0</v>
      </c>
      <c r="M98" s="13">
        <f ca="1"/>
        <v>0</v>
      </c>
      <c r="N98" s="13">
        <f ca="1"/>
        <v>0</v>
      </c>
      <c r="O98" s="13">
        <f ca="1"/>
        <v>0</v>
      </c>
      <c r="P98" s="13">
        <f ca="1"/>
        <v>0</v>
      </c>
      <c r="Q98" s="13">
        <f ca="1"/>
        <v>0</v>
      </c>
      <c r="R98" s="13">
        <f ca="1"/>
        <v>0</v>
      </c>
      <c r="S98" s="13">
        <f ca="1"/>
        <v>0</v>
      </c>
      <c r="T98" s="13">
        <f ca="1"/>
        <v>0</v>
      </c>
      <c r="U98" s="13">
        <f ca="1"/>
        <v>0</v>
      </c>
      <c r="V98" s="13">
        <f ca="1"/>
        <v>0</v>
      </c>
      <c r="W98" s="13">
        <f ca="1"/>
        <v>0</v>
      </c>
      <c r="X98" s="13">
        <f ca="1"/>
        <v>0</v>
      </c>
      <c r="Y98" s="13">
        <f ca="1"/>
        <v>0</v>
      </c>
      <c r="Z98" s="13">
        <f ca="1"/>
        <v>0</v>
      </c>
      <c r="AA98" s="13">
        <f ca="1"/>
        <v>0</v>
      </c>
      <c r="AB98" s="13">
        <f ca="1"/>
        <v>0</v>
      </c>
      <c r="AC98" s="13">
        <f ca="1"/>
        <v>0</v>
      </c>
      <c r="AD98" s="13">
        <f ca="1"/>
        <v>0</v>
      </c>
      <c r="AE98" s="13">
        <f ca="1"/>
        <v>0</v>
      </c>
      <c r="AF98" s="13">
        <f ca="1"/>
        <v>0</v>
      </c>
      <c r="AG98" s="13">
        <f ca="1"/>
        <v>0</v>
      </c>
      <c r="AH98" s="13">
        <f ca="1"/>
        <v>0</v>
      </c>
      <c r="AI98" s="13">
        <f ca="1"/>
        <v>0</v>
      </c>
      <c r="AJ98" s="13">
        <f ca="1"/>
        <v>0</v>
      </c>
      <c r="AK98" s="13">
        <f ca="1"/>
        <v>0</v>
      </c>
      <c r="AL98" s="56">
        <f ca="1"/>
        <v>0</v>
      </c>
      <c r="AM98" s="10"/>
    </row>
    <row r="99" spans="2:39" ht="15" hidden="1">
      <c r="B99" s="10"/>
      <c r="C99" s="11" t="str">
        <f>"EL 4: " &amp; INDEX(_doName,1,5)</f>
        <v>EL 4: EL 4</v>
      </c>
      <c r="D99" s="12"/>
      <c r="E99" s="13">
        <f t="array" aca="1" ref="E99:AL99" ca="1">tlccFupolElec4</f>
        <v>0</v>
      </c>
      <c r="F99" s="13">
        <f ca="1"/>
        <v>0</v>
      </c>
      <c r="G99" s="13">
        <f ca="1"/>
        <v>0</v>
      </c>
      <c r="H99" s="13">
        <f ca="1"/>
        <v>0</v>
      </c>
      <c r="I99" s="13">
        <f ca="1"/>
        <v>0</v>
      </c>
      <c r="J99" s="13">
        <f ca="1"/>
        <v>0</v>
      </c>
      <c r="K99" s="13">
        <f ca="1"/>
        <v>0</v>
      </c>
      <c r="L99" s="13">
        <f ca="1"/>
        <v>0</v>
      </c>
      <c r="M99" s="13">
        <f ca="1"/>
        <v>0</v>
      </c>
      <c r="N99" s="13">
        <f ca="1"/>
        <v>0</v>
      </c>
      <c r="O99" s="13">
        <f ca="1"/>
        <v>0</v>
      </c>
      <c r="P99" s="13">
        <f ca="1"/>
        <v>0</v>
      </c>
      <c r="Q99" s="13">
        <f ca="1"/>
        <v>0</v>
      </c>
      <c r="R99" s="13">
        <f ca="1"/>
        <v>0</v>
      </c>
      <c r="S99" s="13">
        <f ca="1"/>
        <v>0</v>
      </c>
      <c r="T99" s="13">
        <f ca="1"/>
        <v>0</v>
      </c>
      <c r="U99" s="13">
        <f ca="1"/>
        <v>0</v>
      </c>
      <c r="V99" s="13">
        <f ca="1"/>
        <v>0</v>
      </c>
      <c r="W99" s="13">
        <f ca="1"/>
        <v>0</v>
      </c>
      <c r="X99" s="13">
        <f ca="1"/>
        <v>0</v>
      </c>
      <c r="Y99" s="13">
        <f ca="1"/>
        <v>0</v>
      </c>
      <c r="Z99" s="13">
        <f ca="1"/>
        <v>0</v>
      </c>
      <c r="AA99" s="13">
        <f ca="1"/>
        <v>0</v>
      </c>
      <c r="AB99" s="13">
        <f ca="1"/>
        <v>0</v>
      </c>
      <c r="AC99" s="13">
        <f ca="1"/>
        <v>0</v>
      </c>
      <c r="AD99" s="13">
        <f ca="1"/>
        <v>0</v>
      </c>
      <c r="AE99" s="13">
        <f ca="1"/>
        <v>0</v>
      </c>
      <c r="AF99" s="13">
        <f ca="1"/>
        <v>0</v>
      </c>
      <c r="AG99" s="13">
        <f ca="1"/>
        <v>0</v>
      </c>
      <c r="AH99" s="13">
        <f ca="1"/>
        <v>0</v>
      </c>
      <c r="AI99" s="13">
        <f ca="1"/>
        <v>0</v>
      </c>
      <c r="AJ99" s="13">
        <f ca="1"/>
        <v>0</v>
      </c>
      <c r="AK99" s="13">
        <f ca="1"/>
        <v>0</v>
      </c>
      <c r="AL99" s="56">
        <f ca="1"/>
        <v>0</v>
      </c>
      <c r="AM99" s="10"/>
    </row>
    <row r="100" spans="2:39" ht="15" hidden="1">
      <c r="B100" s="10"/>
      <c r="C100" s="11" t="str">
        <f>"EL 5: " &amp; INDEX(_doName,1,6)</f>
        <v>EL 5: EL 5</v>
      </c>
      <c r="D100" s="12"/>
      <c r="E100" s="13">
        <f t="array" aca="1" ref="E100:AL100" ca="1">tlccFupolElec5</f>
        <v>10158.132665414589</v>
      </c>
      <c r="F100" s="13">
        <f ca="1"/>
        <v>10084.888882795358</v>
      </c>
      <c r="G100" s="13">
        <f ca="1"/>
        <v>10019.977094585962</v>
      </c>
      <c r="H100" s="13">
        <f ca="1"/>
        <v>9957.964886082369</v>
      </c>
      <c r="I100" s="13">
        <f ca="1"/>
        <v>9903.4507483678735</v>
      </c>
      <c r="J100" s="13">
        <f ca="1"/>
        <v>9860.9054145457339</v>
      </c>
      <c r="K100" s="13">
        <f ca="1"/>
        <v>9825.5857136410377</v>
      </c>
      <c r="L100" s="13">
        <f ca="1"/>
        <v>9789.9045784882055</v>
      </c>
      <c r="M100" s="13">
        <f ca="1"/>
        <v>9761.1014443928343</v>
      </c>
      <c r="N100" s="13">
        <f ca="1"/>
        <v>9740.9985811441038</v>
      </c>
      <c r="O100" s="13">
        <f ca="1"/>
        <v>9726.062326315543</v>
      </c>
      <c r="P100" s="13">
        <f ca="1"/>
        <v>9713.3781145324792</v>
      </c>
      <c r="Q100" s="13">
        <f ca="1"/>
        <v>9703.9141983260033</v>
      </c>
      <c r="R100" s="13">
        <f ca="1"/>
        <v>9696.6297827201179</v>
      </c>
      <c r="S100" s="13">
        <f ca="1"/>
        <v>9695.2956918393174</v>
      </c>
      <c r="T100" s="13">
        <f ca="1"/>
        <v>9696.5107675515646</v>
      </c>
      <c r="U100" s="13">
        <f ca="1"/>
        <v>9698.5279520339664</v>
      </c>
      <c r="V100" s="13">
        <f ca="1"/>
        <v>9701.6368458580691</v>
      </c>
      <c r="W100" s="13">
        <f ca="1"/>
        <v>9704.6629905171358</v>
      </c>
      <c r="X100" s="13">
        <f ca="1"/>
        <v>9707.1868394815992</v>
      </c>
      <c r="Y100" s="13">
        <f ca="1"/>
        <v>9708.8676257693551</v>
      </c>
      <c r="Z100" s="13">
        <f ca="1"/>
        <v>9710.0168104438508</v>
      </c>
      <c r="AA100" s="13">
        <f ca="1"/>
        <v>9710.0168104438508</v>
      </c>
      <c r="AB100" s="13">
        <f ca="1"/>
        <v>9710.0168104438508</v>
      </c>
      <c r="AC100" s="13">
        <f ca="1"/>
        <v>9710.0168104438508</v>
      </c>
      <c r="AD100" s="13">
        <f ca="1"/>
        <v>9710.0168104438508</v>
      </c>
      <c r="AE100" s="13">
        <f ca="1"/>
        <v>9710.0168104438508</v>
      </c>
      <c r="AF100" s="13">
        <f ca="1"/>
        <v>9710.0168104438508</v>
      </c>
      <c r="AG100" s="13">
        <f ca="1"/>
        <v>9710.0168104438508</v>
      </c>
      <c r="AH100" s="13">
        <f ca="1"/>
        <v>9710.0168104438508</v>
      </c>
      <c r="AI100" s="13">
        <f ca="1"/>
        <v>9710.0168104438508</v>
      </c>
      <c r="AJ100" s="13">
        <f ca="1"/>
        <v>9710.0168104438508</v>
      </c>
      <c r="AK100" s="13">
        <f ca="1"/>
        <v>9710.0168104438508</v>
      </c>
      <c r="AL100" s="56">
        <f ca="1"/>
        <v>9710.0168104438508</v>
      </c>
      <c r="AM100" s="10"/>
    </row>
    <row r="101" spans="2:39" ht="15" hidden="1">
      <c r="B101" s="10"/>
      <c r="C101" s="21" t="str">
        <f>"EL 6: " &amp; INDEX(_doName,1,7)</f>
        <v>EL 6: EL 6</v>
      </c>
      <c r="D101" s="18"/>
      <c r="E101" s="58">
        <f t="array" aca="1" ref="E101:AL101" ca="1">tlccFupolElec6</f>
        <v>8144.4008309601268</v>
      </c>
      <c r="F101" s="58">
        <f ca="1"/>
        <v>8085.6767776646102</v>
      </c>
      <c r="G101" s="58">
        <f ca="1"/>
        <v>8033.6329976466914</v>
      </c>
      <c r="H101" s="58">
        <f ca="1"/>
        <v>7983.9139893307329</v>
      </c>
      <c r="I101" s="58">
        <f ca="1"/>
        <v>7940.2066463450828</v>
      </c>
      <c r="J101" s="58">
        <f ca="1"/>
        <v>7906.0954308739292</v>
      </c>
      <c r="K101" s="58">
        <f ca="1"/>
        <v>7877.7774505056605</v>
      </c>
      <c r="L101" s="58">
        <f ca="1"/>
        <v>7849.1696860316115</v>
      </c>
      <c r="M101" s="58">
        <f ca="1"/>
        <v>7826.0764387796553</v>
      </c>
      <c r="N101" s="58">
        <f ca="1"/>
        <v>7809.9587347152974</v>
      </c>
      <c r="O101" s="58">
        <f ca="1"/>
        <v>7797.9834189516696</v>
      </c>
      <c r="P101" s="58">
        <f ca="1"/>
        <v>7787.8137048527606</v>
      </c>
      <c r="Q101" s="58">
        <f ca="1"/>
        <v>7780.2259001296952</v>
      </c>
      <c r="R101" s="58">
        <f ca="1"/>
        <v>7774.3855353237068</v>
      </c>
      <c r="S101" s="58">
        <f ca="1"/>
        <v>7773.3159124672184</v>
      </c>
      <c r="T101" s="58">
        <f ca="1"/>
        <v>7774.2901135301945</v>
      </c>
      <c r="U101" s="58">
        <f ca="1"/>
        <v>7775.9074146145394</v>
      </c>
      <c r="V101" s="58">
        <f ca="1"/>
        <v>7778.4000063416188</v>
      </c>
      <c r="W101" s="58">
        <f ca="1"/>
        <v>7780.8262529646636</v>
      </c>
      <c r="X101" s="58">
        <f ca="1"/>
        <v>7782.8497781813985</v>
      </c>
      <c r="Y101" s="58">
        <f ca="1"/>
        <v>7784.1973681065883</v>
      </c>
      <c r="Z101" s="58">
        <f ca="1"/>
        <v>7785.1187402648557</v>
      </c>
      <c r="AA101" s="58">
        <f ca="1"/>
        <v>7785.1187402648557</v>
      </c>
      <c r="AB101" s="58">
        <f ca="1"/>
        <v>7785.1187402648557</v>
      </c>
      <c r="AC101" s="58">
        <f ca="1"/>
        <v>7785.1187402648557</v>
      </c>
      <c r="AD101" s="58">
        <f ca="1"/>
        <v>7785.1187402648557</v>
      </c>
      <c r="AE101" s="58">
        <f ca="1"/>
        <v>7785.1187402648557</v>
      </c>
      <c r="AF101" s="58">
        <f ca="1"/>
        <v>7785.1187402648557</v>
      </c>
      <c r="AG101" s="58">
        <f ca="1"/>
        <v>7785.1187402648557</v>
      </c>
      <c r="AH101" s="58">
        <f ca="1"/>
        <v>7785.1187402648557</v>
      </c>
      <c r="AI101" s="58">
        <f ca="1"/>
        <v>7785.1187402648557</v>
      </c>
      <c r="AJ101" s="58">
        <f ca="1"/>
        <v>7785.1187402648557</v>
      </c>
      <c r="AK101" s="58">
        <f ca="1"/>
        <v>7785.1187402648557</v>
      </c>
      <c r="AL101" s="59">
        <f ca="1"/>
        <v>7785.1187402648557</v>
      </c>
      <c r="AM101" s="10"/>
    </row>
    <row r="102" spans="2:39" ht="15" hidden="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row>
    <row r="103" spans="2:39">
      <c r="B103" s="10"/>
      <c r="C103" s="22" t="s">
        <v>82</v>
      </c>
      <c r="D103" s="23"/>
      <c r="E103" s="24">
        <f t="array" ref="E103:AL103">_yS</f>
        <v>2019</v>
      </c>
      <c r="F103" s="24">
        <v>2020</v>
      </c>
      <c r="G103" s="24">
        <v>2021</v>
      </c>
      <c r="H103" s="24">
        <v>2022</v>
      </c>
      <c r="I103" s="24">
        <v>2023</v>
      </c>
      <c r="J103" s="24">
        <v>2024</v>
      </c>
      <c r="K103" s="24">
        <v>2025</v>
      </c>
      <c r="L103" s="24">
        <v>2026</v>
      </c>
      <c r="M103" s="24">
        <v>2027</v>
      </c>
      <c r="N103" s="24">
        <v>2028</v>
      </c>
      <c r="O103" s="24">
        <v>2029</v>
      </c>
      <c r="P103" s="24">
        <v>2030</v>
      </c>
      <c r="Q103" s="24">
        <v>2031</v>
      </c>
      <c r="R103" s="24">
        <v>2032</v>
      </c>
      <c r="S103" s="24">
        <v>2033</v>
      </c>
      <c r="T103" s="24">
        <v>2034</v>
      </c>
      <c r="U103" s="24">
        <v>2035</v>
      </c>
      <c r="V103" s="24">
        <v>2036</v>
      </c>
      <c r="W103" s="24">
        <v>2037</v>
      </c>
      <c r="X103" s="24">
        <v>2038</v>
      </c>
      <c r="Y103" s="24">
        <v>2039</v>
      </c>
      <c r="Z103" s="24">
        <v>2040</v>
      </c>
      <c r="AA103" s="24">
        <v>2041</v>
      </c>
      <c r="AB103" s="24">
        <v>2042</v>
      </c>
      <c r="AC103" s="24">
        <v>2043</v>
      </c>
      <c r="AD103" s="24">
        <v>2044</v>
      </c>
      <c r="AE103" s="24">
        <v>2045</v>
      </c>
      <c r="AF103" s="24">
        <v>2046</v>
      </c>
      <c r="AG103" s="24">
        <v>2047</v>
      </c>
      <c r="AH103" s="24">
        <v>2048</v>
      </c>
      <c r="AI103" s="24">
        <v>2049</v>
      </c>
      <c r="AJ103" s="24">
        <v>2050</v>
      </c>
      <c r="AK103" s="24">
        <v>2051</v>
      </c>
      <c r="AL103" s="25">
        <v>2052</v>
      </c>
      <c r="AM103" s="10"/>
    </row>
    <row r="104" spans="2:39">
      <c r="B104" s="10"/>
      <c r="C104" s="27" t="str">
        <f>"BC (CSL 0): " &amp; INDEX(_doName,1,1)</f>
        <v>BC (CSL 0): EL 0</v>
      </c>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5"/>
      <c r="AM104" s="10"/>
    </row>
    <row r="105" spans="2:39">
      <c r="B105" s="10"/>
      <c r="C105" s="57" t="str">
        <f>"EL 0: " &amp; INDEX(_doName,1,1)</f>
        <v>EL 0: EL 0</v>
      </c>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3"/>
      <c r="AM105" s="10"/>
    </row>
    <row r="106" spans="2:39">
      <c r="B106" s="10"/>
      <c r="C106" s="16" t="s">
        <v>69</v>
      </c>
      <c r="D106" s="12" t="str">
        <f>_yearDol &amp; "$"</f>
        <v>2015$</v>
      </c>
      <c r="E106" s="13">
        <f t="array" ref="E106:AL106">INDEX(mspAxH,1,1)*tPIdxAll + INDEX(instAxH,1,1) + IF(bESav,SUMPRODUCT(dFactor,tpSurvAxH,INDEX(mrAxH,1,1)*allOnes),0)</f>
        <v>3073.56073239436</v>
      </c>
      <c r="F106" s="13">
        <v>3073.56073239436</v>
      </c>
      <c r="G106" s="13">
        <v>3073.56073239436</v>
      </c>
      <c r="H106" s="13">
        <v>3073.56073239436</v>
      </c>
      <c r="I106" s="13">
        <v>3073.56073239436</v>
      </c>
      <c r="J106" s="13">
        <v>3073.56073239436</v>
      </c>
      <c r="K106" s="13">
        <v>3073.56073239436</v>
      </c>
      <c r="L106" s="13">
        <v>3073.56073239436</v>
      </c>
      <c r="M106" s="13">
        <v>3073.56073239436</v>
      </c>
      <c r="N106" s="13">
        <v>3073.56073239436</v>
      </c>
      <c r="O106" s="13">
        <v>3073.56073239436</v>
      </c>
      <c r="P106" s="13">
        <v>3073.56073239436</v>
      </c>
      <c r="Q106" s="13">
        <v>3073.56073239436</v>
      </c>
      <c r="R106" s="13">
        <v>3073.56073239436</v>
      </c>
      <c r="S106" s="13">
        <v>3073.56073239436</v>
      </c>
      <c r="T106" s="13">
        <v>3073.56073239436</v>
      </c>
      <c r="U106" s="13">
        <v>3073.56073239436</v>
      </c>
      <c r="V106" s="13">
        <v>3073.56073239436</v>
      </c>
      <c r="W106" s="13">
        <v>3073.56073239436</v>
      </c>
      <c r="X106" s="13">
        <v>3073.56073239436</v>
      </c>
      <c r="Y106" s="13">
        <v>3073.56073239436</v>
      </c>
      <c r="Z106" s="13">
        <v>3073.56073239436</v>
      </c>
      <c r="AA106" s="13">
        <v>3073.56073239436</v>
      </c>
      <c r="AB106" s="13">
        <v>3073.56073239436</v>
      </c>
      <c r="AC106" s="13">
        <v>3073.56073239436</v>
      </c>
      <c r="AD106" s="13">
        <v>3073.56073239436</v>
      </c>
      <c r="AE106" s="13">
        <v>3073.56073239436</v>
      </c>
      <c r="AF106" s="13">
        <v>3073.56073239436</v>
      </c>
      <c r="AG106" s="13">
        <v>3073.56073239436</v>
      </c>
      <c r="AH106" s="13">
        <v>3073.56073239436</v>
      </c>
      <c r="AI106" s="13">
        <v>3073.56073239436</v>
      </c>
      <c r="AJ106" s="13">
        <v>3073.56073239436</v>
      </c>
      <c r="AK106" s="13">
        <v>3073.56073239436</v>
      </c>
      <c r="AL106" s="56">
        <v>3073.56073239436</v>
      </c>
      <c r="AM106" s="10"/>
    </row>
    <row r="107" spans="2:39">
      <c r="B107" s="10"/>
      <c r="C107" s="16" t="str">
        <f>zEO&amp;" Costs"</f>
        <v>Operating Costs</v>
      </c>
      <c r="D107" s="12" t="str">
        <f>_yearDol &amp; "$"</f>
        <v>2015$</v>
      </c>
      <c r="E107" s="13">
        <f t="array" aca="1" ref="E107:AL107" ca="1">(tlccEFuElecbc0) + IF(bOSav,SUMPRODUCT(dFactor,tpSurvAxH,INDEX(mrAxH,1,1)*allOnes),0)</f>
        <v>24825.162504091502</v>
      </c>
      <c r="F107" s="13">
        <f ca="1"/>
        <v>25028.310026053321</v>
      </c>
      <c r="G107" s="13">
        <f ca="1"/>
        <v>25225.154747933542</v>
      </c>
      <c r="H107" s="13">
        <f ca="1"/>
        <v>25402.139188797206</v>
      </c>
      <c r="I107" s="13">
        <f ca="1"/>
        <v>25562.134994559281</v>
      </c>
      <c r="J107" s="13">
        <f ca="1"/>
        <v>25723.16001233337</v>
      </c>
      <c r="K107" s="13">
        <f ca="1"/>
        <v>25885.221019438144</v>
      </c>
      <c r="L107" s="13">
        <f ca="1"/>
        <v>26048.324838939654</v>
      </c>
      <c r="M107" s="13">
        <f ca="1"/>
        <v>26212.478339967889</v>
      </c>
      <c r="N107" s="13">
        <f ca="1"/>
        <v>26377.688438035573</v>
      </c>
      <c r="O107" s="13">
        <f ca="1"/>
        <v>26543.962095359424</v>
      </c>
      <c r="P107" s="13">
        <f ca="1"/>
        <v>26711.306321183369</v>
      </c>
      <c r="Q107" s="13">
        <f ca="1"/>
        <v>26879.728172104347</v>
      </c>
      <c r="R107" s="13">
        <f ca="1"/>
        <v>27049.234752400233</v>
      </c>
      <c r="S107" s="13">
        <f ca="1"/>
        <v>27219.833214360187</v>
      </c>
      <c r="T107" s="13">
        <f ca="1"/>
        <v>27391.530758617333</v>
      </c>
      <c r="U107" s="13">
        <f ca="1"/>
        <v>27564.334634483715</v>
      </c>
      <c r="V107" s="13">
        <f ca="1"/>
        <v>27738.25214028775</v>
      </c>
      <c r="W107" s="13">
        <f ca="1"/>
        <v>27913.290623714012</v>
      </c>
      <c r="X107" s="13">
        <f ca="1"/>
        <v>28089.457482145433</v>
      </c>
      <c r="Y107" s="13">
        <f ca="1"/>
        <v>28266.760163007944</v>
      </c>
      <c r="Z107" s="13">
        <f ca="1"/>
        <v>28445.206164117557</v>
      </c>
      <c r="AA107" s="13">
        <f ca="1"/>
        <v>28624.803034029916</v>
      </c>
      <c r="AB107" s="13">
        <f ca="1"/>
        <v>28805.558372392275</v>
      </c>
      <c r="AC107" s="13">
        <f ca="1"/>
        <v>28987.479830298191</v>
      </c>
      <c r="AD107" s="13">
        <f ca="1"/>
        <v>29170.575110644379</v>
      </c>
      <c r="AE107" s="13">
        <f ca="1"/>
        <v>29354.851968490442</v>
      </c>
      <c r="AF107" s="13">
        <f ca="1"/>
        <v>29540.318211420949</v>
      </c>
      <c r="AG107" s="13">
        <f ca="1"/>
        <v>29726.9816999102</v>
      </c>
      <c r="AH107" s="13">
        <f ca="1"/>
        <v>29914.850347689498</v>
      </c>
      <c r="AI107" s="13">
        <f ca="1"/>
        <v>30103.932122117145</v>
      </c>
      <c r="AJ107" s="13">
        <f ca="1"/>
        <v>30294.23504455086</v>
      </c>
      <c r="AK107" s="13">
        <f ca="1"/>
        <v>30485.767190723196</v>
      </c>
      <c r="AL107" s="56">
        <f ca="1"/>
        <v>30678.536691119229</v>
      </c>
      <c r="AM107" s="10"/>
    </row>
    <row r="108" spans="2:39">
      <c r="B108" s="10"/>
      <c r="C108" s="28" t="str">
        <f>INDEX(_fuel,1)</f>
        <v>Electricity</v>
      </c>
      <c r="D108" s="12" t="str">
        <f>_yearDol &amp; "$"</f>
        <v>2015$</v>
      </c>
      <c r="E108" s="13">
        <f ca="1">SUMPRODUCT(dFactor,tpSurvAxH,INDEX(elecAxH,1,1)*allOnes,OFFSET(tPrcElec,0,0,1,_maxLT))</f>
        <v>24825.162504091502</v>
      </c>
      <c r="F108" s="13">
        <f ca="1">SUMPRODUCT(dFactor,tpSurvAxH,INDEX(elecAxH,1,1)*allOnes,OFFSET(tPrcElec,0,1,1,_maxLT))</f>
        <v>25028.310026053321</v>
      </c>
      <c r="G108" s="13">
        <f ca="1">SUMPRODUCT(dFactor,tpSurvAxH,INDEX(elecAxH,1,1)*allOnes,OFFSET(tPrcElec,0,2,1,_maxLT))</f>
        <v>25225.154747933542</v>
      </c>
      <c r="H108" s="13">
        <f ca="1">SUMPRODUCT(dFactor,tpSurvAxH,INDEX(elecAxH,1,1)*allOnes,OFFSET(tPrcElec,0,3,1,_maxLT))</f>
        <v>25402.139188797206</v>
      </c>
      <c r="I108" s="13">
        <f ca="1">SUMPRODUCT(dFactor,tpSurvAxH,INDEX(elecAxH,1,1)*allOnes,OFFSET(tPrcElec,0,4,1,_maxLT))</f>
        <v>25562.134994559281</v>
      </c>
      <c r="J108" s="13">
        <f ca="1">SUMPRODUCT(dFactor,tpSurvAxH,INDEX(elecAxH,1,1)*allOnes,OFFSET(tPrcElec,0,5,1,_maxLT))</f>
        <v>25723.16001233337</v>
      </c>
      <c r="K108" s="13">
        <f ca="1">SUMPRODUCT(dFactor,tpSurvAxH,INDEX(elecAxH,1,1)*allOnes,OFFSET(tPrcElec,0,6,1,_maxLT))</f>
        <v>25885.221019438144</v>
      </c>
      <c r="L108" s="13">
        <f ca="1">SUMPRODUCT(dFactor,tpSurvAxH,INDEX(elecAxH,1,1)*allOnes,OFFSET(tPrcElec,0,7,1,_maxLT))</f>
        <v>26048.324838939654</v>
      </c>
      <c r="M108" s="13">
        <f ca="1">SUMPRODUCT(dFactor,tpSurvAxH,INDEX(elecAxH,1,1)*allOnes,OFFSET(tPrcElec,0,8,1,_maxLT))</f>
        <v>26212.478339967889</v>
      </c>
      <c r="N108" s="13">
        <f ca="1">SUMPRODUCT(dFactor,tpSurvAxH,INDEX(elecAxH,1,1)*allOnes,OFFSET(tPrcElec,0,9,1,_maxLT))</f>
        <v>26377.688438035573</v>
      </c>
      <c r="O108" s="13">
        <f ca="1">SUMPRODUCT(dFactor,tpSurvAxH,INDEX(elecAxH,1,1)*allOnes,OFFSET(tPrcElec,0,10,1,_maxLT))</f>
        <v>26543.962095359424</v>
      </c>
      <c r="P108" s="13">
        <f ca="1">SUMPRODUCT(dFactor,tpSurvAxH,INDEX(elecAxH,1,1)*allOnes,OFFSET(tPrcElec,0,11,1,_maxLT))</f>
        <v>26711.306321183369</v>
      </c>
      <c r="Q108" s="13">
        <f ca="1">SUMPRODUCT(dFactor,tpSurvAxH,INDEX(elecAxH,1,1)*allOnes,OFFSET(tPrcElec,0,12,1,_maxLT))</f>
        <v>26879.728172104347</v>
      </c>
      <c r="R108" s="13">
        <f ca="1">SUMPRODUCT(dFactor,tpSurvAxH,INDEX(elecAxH,1,1)*allOnes,OFFSET(tPrcElec,0,13,1,_maxLT))</f>
        <v>27049.234752400233</v>
      </c>
      <c r="S108" s="13">
        <f ca="1">SUMPRODUCT(dFactor,tpSurvAxH,INDEX(elecAxH,1,1)*allOnes,OFFSET(tPrcElec,0,14,1,_maxLT))</f>
        <v>27219.833214360187</v>
      </c>
      <c r="T108" s="13">
        <f ca="1">SUMPRODUCT(dFactor,tpSurvAxH,INDEX(elecAxH,1,1)*allOnes,OFFSET(tPrcElec,0,15,1,_maxLT))</f>
        <v>27391.530758617333</v>
      </c>
      <c r="U108" s="13">
        <f ca="1">SUMPRODUCT(dFactor,tpSurvAxH,INDEX(elecAxH,1,1)*allOnes,OFFSET(tPrcElec,0,16,1,_maxLT))</f>
        <v>27564.334634483715</v>
      </c>
      <c r="V108" s="13">
        <f ca="1">SUMPRODUCT(dFactor,tpSurvAxH,INDEX(elecAxH,1,1)*allOnes,OFFSET(tPrcElec,0,17,1,_maxLT))</f>
        <v>27738.25214028775</v>
      </c>
      <c r="W108" s="13">
        <f ca="1">SUMPRODUCT(dFactor,tpSurvAxH,INDEX(elecAxH,1,1)*allOnes,OFFSET(tPrcElec,0,18,1,_maxLT))</f>
        <v>27913.290623714012</v>
      </c>
      <c r="X108" s="13">
        <f ca="1">SUMPRODUCT(dFactor,tpSurvAxH,INDEX(elecAxH,1,1)*allOnes,OFFSET(tPrcElec,0,19,1,_maxLT))</f>
        <v>28089.457482145433</v>
      </c>
      <c r="Y108" s="13">
        <f ca="1">SUMPRODUCT(dFactor,tpSurvAxH,INDEX(elecAxH,1,1)*allOnes,OFFSET(tPrcElec,0,20,1,_maxLT))</f>
        <v>28266.760163007944</v>
      </c>
      <c r="Z108" s="13">
        <f ca="1">SUMPRODUCT(dFactor,tpSurvAxH,INDEX(elecAxH,1,1)*allOnes,OFFSET(tPrcElec,0,21,1,_maxLT))</f>
        <v>28445.206164117557</v>
      </c>
      <c r="AA108" s="13">
        <f ca="1">SUMPRODUCT(dFactor,tpSurvAxH,INDEX(elecAxH,1,1)*allOnes,OFFSET(tPrcElec,0,22,1,_maxLT))</f>
        <v>28624.803034029916</v>
      </c>
      <c r="AB108" s="13">
        <f ca="1">SUMPRODUCT(dFactor,tpSurvAxH,INDEX(elecAxH,1,1)*allOnes,OFFSET(tPrcElec,0,23,1,_maxLT))</f>
        <v>28805.558372392275</v>
      </c>
      <c r="AC108" s="13">
        <f ca="1">SUMPRODUCT(dFactor,tpSurvAxH,INDEX(elecAxH,1,1)*allOnes,OFFSET(tPrcElec,0,24,1,_maxLT))</f>
        <v>28987.479830298191</v>
      </c>
      <c r="AD108" s="13">
        <f ca="1">SUMPRODUCT(dFactor,tpSurvAxH,INDEX(elecAxH,1,1)*allOnes,OFFSET(tPrcElec,0,25,1,_maxLT))</f>
        <v>29170.575110644379</v>
      </c>
      <c r="AE108" s="13">
        <f ca="1">SUMPRODUCT(dFactor,tpSurvAxH,INDEX(elecAxH,1,1)*allOnes,OFFSET(tPrcElec,0,26,1,_maxLT))</f>
        <v>29354.851968490442</v>
      </c>
      <c r="AF108" s="13">
        <f ca="1">SUMPRODUCT(dFactor,tpSurvAxH,INDEX(elecAxH,1,1)*allOnes,OFFSET(tPrcElec,0,27,1,_maxLT))</f>
        <v>29540.318211420949</v>
      </c>
      <c r="AG108" s="13">
        <f ca="1">SUMPRODUCT(dFactor,tpSurvAxH,INDEX(elecAxH,1,1)*allOnes,OFFSET(tPrcElec,0,28,1,_maxLT))</f>
        <v>29726.9816999102</v>
      </c>
      <c r="AH108" s="13">
        <f ca="1">SUMPRODUCT(dFactor,tpSurvAxH,INDEX(elecAxH,1,1)*allOnes,OFFSET(tPrcElec,0,29,1,_maxLT))</f>
        <v>29914.850347689498</v>
      </c>
      <c r="AI108" s="13">
        <f ca="1">SUMPRODUCT(dFactor,tpSurvAxH,INDEX(elecAxH,1,1)*allOnes,OFFSET(tPrcElec,0,30,1,_maxLT))</f>
        <v>30103.932122117145</v>
      </c>
      <c r="AJ108" s="13">
        <f ca="1">SUMPRODUCT(dFactor,tpSurvAxH,INDEX(elecAxH,1,1)*allOnes,OFFSET(tPrcElec,0,31,1,_maxLT))</f>
        <v>30294.23504455086</v>
      </c>
      <c r="AK108" s="13">
        <f ca="1">SUMPRODUCT(dFactor,tpSurvAxH,INDEX(elecAxH,1,1)*allOnes,OFFSET(tPrcElec,0,32,1,_maxLT))</f>
        <v>30485.767190723196</v>
      </c>
      <c r="AL108" s="56">
        <f ca="1">SUMPRODUCT(dFactor,tpSurvAxH,INDEX(elecAxH,1,1)*allOnes,OFFSET(tPrcElec,0,33,1,_maxLT))</f>
        <v>30678.536691119229</v>
      </c>
      <c r="AM108" s="10"/>
    </row>
    <row r="109" spans="2:39">
      <c r="B109" s="10"/>
      <c r="C109" s="16" t="s">
        <v>79</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5"/>
      <c r="AM109" s="10"/>
    </row>
    <row r="110" spans="2:39">
      <c r="B110" s="10"/>
      <c r="C110" s="28" t="str">
        <f>INDEX(_fuel,1)</f>
        <v>Electricity</v>
      </c>
      <c r="D110" s="12" t="s">
        <v>83</v>
      </c>
      <c r="E110" s="39">
        <f ca="1">SUMPRODUCT(OFFSET(tConvElecAxH,0,0,1,_maxLT),INDEX(elecAxH,1,1)*allOnes,tpSurvAxH)</f>
        <v>5002.4407182553987</v>
      </c>
      <c r="F110" s="39">
        <f ca="1">SUMPRODUCT(OFFSET(tConvElecAxH,0,1,1,_maxLT),INDEX(elecAxH,1,1)*allOnes,tpSurvAxH)</f>
        <v>4966.3713251295376</v>
      </c>
      <c r="G110" s="39">
        <f ca="1">SUMPRODUCT(OFFSET(tConvElecAxH,0,2,1,_maxLT),INDEX(elecAxH,1,1)*allOnes,tpSurvAxH)</f>
        <v>4934.4050786619155</v>
      </c>
      <c r="H110" s="39">
        <f ca="1">SUMPRODUCT(OFFSET(tConvElecAxH,0,3,1,_maxLT),INDEX(elecAxH,1,1)*allOnes,tpSurvAxH)</f>
        <v>4903.8667497125898</v>
      </c>
      <c r="I110" s="39">
        <f ca="1">SUMPRODUCT(OFFSET(tConvElecAxH,0,4,1,_maxLT),INDEX(elecAxH,1,1)*allOnes,tpSurvAxH)</f>
        <v>4877.0208961284916</v>
      </c>
      <c r="J110" s="39">
        <f ca="1">SUMPRODUCT(OFFSET(tConvElecAxH,0,5,1,_maxLT),INDEX(elecAxH,1,1)*allOnes,tpSurvAxH)</f>
        <v>4856.069160480436</v>
      </c>
      <c r="K110" s="39">
        <f ca="1">SUMPRODUCT(OFFSET(tConvElecAxH,0,6,1,_maxLT),INDEX(elecAxH,1,1)*allOnes,tpSurvAxH)</f>
        <v>4838.6757363362703</v>
      </c>
      <c r="L110" s="39">
        <f ca="1">SUMPRODUCT(OFFSET(tConvElecAxH,0,7,1,_maxLT),INDEX(elecAxH,1,1)*allOnes,tpSurvAxH)</f>
        <v>4821.1043214669007</v>
      </c>
      <c r="M110" s="39">
        <f ca="1">SUMPRODUCT(OFFSET(tConvElecAxH,0,8,1,_maxLT),INDEX(elecAxH,1,1)*allOnes,tpSurvAxH)</f>
        <v>4806.9200244550466</v>
      </c>
      <c r="N110" s="39">
        <f ca="1">SUMPRODUCT(OFFSET(tConvElecAxH,0,9,1,_maxLT),INDEX(elecAxH,1,1)*allOnes,tpSurvAxH)</f>
        <v>4797.020234308442</v>
      </c>
      <c r="O110" s="39">
        <f ca="1">SUMPRODUCT(OFFSET(tConvElecAxH,0,10,1,_maxLT),INDEX(elecAxH,1,1)*allOnes,tpSurvAxH)</f>
        <v>4789.6647752104309</v>
      </c>
      <c r="P110" s="39">
        <f ca="1">SUMPRODUCT(OFFSET(tConvElecAxH,0,11,1,_maxLT),INDEX(elecAxH,1,1)*allOnes,tpSurvAxH)</f>
        <v>4783.4183498493403</v>
      </c>
      <c r="Q110" s="39">
        <f ca="1">SUMPRODUCT(OFFSET(tConvElecAxH,0,12,1,_maxLT),INDEX(elecAxH,1,1)*allOnes,tpSurvAxH)</f>
        <v>4778.7577806931004</v>
      </c>
      <c r="R110" s="39">
        <f ca="1">SUMPRODUCT(OFFSET(tConvElecAxH,0,13,1,_maxLT),INDEX(elecAxH,1,1)*allOnes,tpSurvAxH)</f>
        <v>4775.1705212591241</v>
      </c>
      <c r="S110" s="39">
        <f ca="1">SUMPRODUCT(OFFSET(tConvElecAxH,0,14,1,_maxLT),INDEX(elecAxH,1,1)*allOnes,tpSurvAxH)</f>
        <v>4774.5135392365628</v>
      </c>
      <c r="T110" s="39">
        <f ca="1">SUMPRODUCT(OFFSET(tConvElecAxH,0,15,1,_maxLT),INDEX(elecAxH,1,1)*allOnes,tpSurvAxH)</f>
        <v>4775.1119114393023</v>
      </c>
      <c r="U110" s="39">
        <f ca="1">SUMPRODUCT(OFFSET(tConvElecAxH,0,16,1,_maxLT),INDEX(elecAxH,1,1)*allOnes,tpSurvAxH)</f>
        <v>4776.1052874980087</v>
      </c>
      <c r="V110" s="39">
        <f ca="1">SUMPRODUCT(OFFSET(tConvElecAxH,0,17,1,_maxLT),INDEX(elecAxH,1,1)*allOnes,tpSurvAxH)</f>
        <v>4777.6362831609604</v>
      </c>
      <c r="W110" s="39">
        <f ca="1">SUMPRODUCT(OFFSET(tConvElecAxH,0,18,1,_maxLT),INDEX(elecAxH,1,1)*allOnes,tpSurvAxH)</f>
        <v>4779.1265284413148</v>
      </c>
      <c r="X110" s="39">
        <f ca="1">SUMPRODUCT(OFFSET(tConvElecAxH,0,19,1,_maxLT),INDEX(elecAxH,1,1)*allOnes,tpSurvAxH)</f>
        <v>4780.369414830222</v>
      </c>
      <c r="Y110" s="39">
        <f ca="1">SUMPRODUCT(OFFSET(tConvElecAxH,0,20,1,_maxLT),INDEX(elecAxH,1,1)*allOnes,tpSurvAxH)</f>
        <v>4781.1971293365677</v>
      </c>
      <c r="Z110" s="39">
        <f ca="1">SUMPRODUCT(OFFSET(tConvElecAxH,0,21,1,_maxLT),INDEX(elecAxH,1,1)*allOnes,tpSurvAxH)</f>
        <v>4781.7630530548176</v>
      </c>
      <c r="AA110" s="39">
        <f ca="1">SUMPRODUCT(OFFSET(tConvElecAxH,0,22,1,_maxLT),INDEX(elecAxH,1,1)*allOnes,tpSurvAxH)</f>
        <v>4781.7630530548176</v>
      </c>
      <c r="AB110" s="39">
        <f ca="1">SUMPRODUCT(OFFSET(tConvElecAxH,0,23,1,_maxLT),INDEX(elecAxH,1,1)*allOnes,tpSurvAxH)</f>
        <v>4781.7630530548176</v>
      </c>
      <c r="AC110" s="39">
        <f ca="1">SUMPRODUCT(OFFSET(tConvElecAxH,0,24,1,_maxLT),INDEX(elecAxH,1,1)*allOnes,tpSurvAxH)</f>
        <v>4781.7630530548176</v>
      </c>
      <c r="AD110" s="39">
        <f ca="1">SUMPRODUCT(OFFSET(tConvElecAxH,0,25,1,_maxLT),INDEX(elecAxH,1,1)*allOnes,tpSurvAxH)</f>
        <v>4781.7630530548176</v>
      </c>
      <c r="AE110" s="39">
        <f ca="1">SUMPRODUCT(OFFSET(tConvElecAxH,0,26,1,_maxLT),INDEX(elecAxH,1,1)*allOnes,tpSurvAxH)</f>
        <v>4781.7630530548176</v>
      </c>
      <c r="AF110" s="39">
        <f ca="1">SUMPRODUCT(OFFSET(tConvElecAxH,0,27,1,_maxLT),INDEX(elecAxH,1,1)*allOnes,tpSurvAxH)</f>
        <v>4781.7630530548176</v>
      </c>
      <c r="AG110" s="39">
        <f ca="1">SUMPRODUCT(OFFSET(tConvElecAxH,0,28,1,_maxLT),INDEX(elecAxH,1,1)*allOnes,tpSurvAxH)</f>
        <v>4781.7630530548176</v>
      </c>
      <c r="AH110" s="39">
        <f ca="1">SUMPRODUCT(OFFSET(tConvElecAxH,0,29,1,_maxLT),INDEX(elecAxH,1,1)*allOnes,tpSurvAxH)</f>
        <v>4781.7630530548176</v>
      </c>
      <c r="AI110" s="39">
        <f ca="1">SUMPRODUCT(OFFSET(tConvElecAxH,0,30,1,_maxLT),INDEX(elecAxH,1,1)*allOnes,tpSurvAxH)</f>
        <v>4781.7630530548176</v>
      </c>
      <c r="AJ110" s="39">
        <f ca="1">SUMPRODUCT(OFFSET(tConvElecAxH,0,31,1,_maxLT),INDEX(elecAxH,1,1)*allOnes,tpSurvAxH)</f>
        <v>4781.7630530548176</v>
      </c>
      <c r="AK110" s="39">
        <f ca="1">SUMPRODUCT(OFFSET(tConvElecAxH,0,32,1,_maxLT),INDEX(elecAxH,1,1)*allOnes,tpSurvAxH)</f>
        <v>4781.7630530548176</v>
      </c>
      <c r="AL110" s="40">
        <f ca="1">SUMPRODUCT(OFFSET(tConvElecAxH,0,33,1,_maxLT),INDEX(elecAxH,1,1)*allOnes,tpSurvAxH)</f>
        <v>4781.7630530548176</v>
      </c>
      <c r="AM110" s="10"/>
    </row>
    <row r="111" spans="2:39">
      <c r="B111" s="10"/>
      <c r="C111" s="57" t="str">
        <f>"EL 1: " &amp; INDEX(_doName,1,2)</f>
        <v>EL 1: EL 1</v>
      </c>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3"/>
      <c r="AM111" s="10"/>
    </row>
    <row r="112" spans="2:39">
      <c r="B112" s="10"/>
      <c r="C112" s="16" t="s">
        <v>69</v>
      </c>
      <c r="D112" s="12" t="str">
        <f>_yearDol &amp; "$"</f>
        <v>2015$</v>
      </c>
      <c r="E112" s="13">
        <f t="array" ref="E112:AL112">INDEX(mspAxH,1,2)*tPIdxAll + INDEX(instAxH,1,2) + IF(bESav,SUMPRODUCT(dFactor,tpSurvAxH,INDEX(mrAxH,1,2)*allOnes),0)</f>
        <v>4357.8100000000004</v>
      </c>
      <c r="F112" s="13">
        <v>4357.8100000000004</v>
      </c>
      <c r="G112" s="13">
        <v>4357.8100000000004</v>
      </c>
      <c r="H112" s="13">
        <v>4357.8100000000004</v>
      </c>
      <c r="I112" s="13">
        <v>4357.8100000000004</v>
      </c>
      <c r="J112" s="13">
        <v>4357.8100000000004</v>
      </c>
      <c r="K112" s="13">
        <v>4357.8100000000004</v>
      </c>
      <c r="L112" s="13">
        <v>4357.8100000000004</v>
      </c>
      <c r="M112" s="13">
        <v>4357.8100000000004</v>
      </c>
      <c r="N112" s="13">
        <v>4357.8100000000004</v>
      </c>
      <c r="O112" s="13">
        <v>4357.8100000000004</v>
      </c>
      <c r="P112" s="13">
        <v>4357.8100000000004</v>
      </c>
      <c r="Q112" s="13">
        <v>4357.8100000000004</v>
      </c>
      <c r="R112" s="13">
        <v>4357.8100000000004</v>
      </c>
      <c r="S112" s="13">
        <v>4357.8100000000004</v>
      </c>
      <c r="T112" s="13">
        <v>4357.8100000000004</v>
      </c>
      <c r="U112" s="13">
        <v>4357.8100000000004</v>
      </c>
      <c r="V112" s="13">
        <v>4357.8100000000004</v>
      </c>
      <c r="W112" s="13">
        <v>4357.8100000000004</v>
      </c>
      <c r="X112" s="13">
        <v>4357.8100000000004</v>
      </c>
      <c r="Y112" s="13">
        <v>4357.8100000000004</v>
      </c>
      <c r="Z112" s="13">
        <v>4357.8100000000004</v>
      </c>
      <c r="AA112" s="13">
        <v>4357.8100000000004</v>
      </c>
      <c r="AB112" s="13">
        <v>4357.8100000000004</v>
      </c>
      <c r="AC112" s="13">
        <v>4357.8100000000004</v>
      </c>
      <c r="AD112" s="13">
        <v>4357.8100000000004</v>
      </c>
      <c r="AE112" s="13">
        <v>4357.8100000000004</v>
      </c>
      <c r="AF112" s="13">
        <v>4357.8100000000004</v>
      </c>
      <c r="AG112" s="13">
        <v>4357.8100000000004</v>
      </c>
      <c r="AH112" s="13">
        <v>4357.8100000000004</v>
      </c>
      <c r="AI112" s="13">
        <v>4357.8100000000004</v>
      </c>
      <c r="AJ112" s="13">
        <v>4357.8100000000004</v>
      </c>
      <c r="AK112" s="13">
        <v>4357.8100000000004</v>
      </c>
      <c r="AL112" s="56">
        <v>4357.8100000000004</v>
      </c>
      <c r="AM112" s="10"/>
    </row>
    <row r="113" spans="2:39">
      <c r="B113" s="10"/>
      <c r="C113" s="16" t="str">
        <f>zEO&amp;" Costs"</f>
        <v>Operating Costs</v>
      </c>
      <c r="D113" s="12" t="str">
        <f>_yearDol &amp; "$"</f>
        <v>2015$</v>
      </c>
      <c r="E113" s="13">
        <f t="array" aca="1" ref="E113:AL113" ca="1">(tlccEFuElecbc1) + IF(bOSav,SUMPRODUCT(dFactor,tpSurvAxH,INDEX(mrAxH,1,2)*allOnes),0)</f>
        <v>47690.333235947001</v>
      </c>
      <c r="F113" s="13">
        <f ca="1"/>
        <v>48080.589413195405</v>
      </c>
      <c r="G113" s="13">
        <f ca="1"/>
        <v>48458.737607820825</v>
      </c>
      <c r="H113" s="13">
        <f ca="1"/>
        <v>48798.73324575372</v>
      </c>
      <c r="I113" s="13">
        <f ca="1"/>
        <v>49106.092897151306</v>
      </c>
      <c r="J113" s="13">
        <f ca="1"/>
        <v>49415.429714411017</v>
      </c>
      <c r="K113" s="13">
        <f ca="1"/>
        <v>49726.756717088487</v>
      </c>
      <c r="L113" s="13">
        <f ca="1"/>
        <v>50040.087012622331</v>
      </c>
      <c r="M113" s="13">
        <f ca="1"/>
        <v>50355.433796942249</v>
      </c>
      <c r="N113" s="13">
        <f ca="1"/>
        <v>50672.810355081318</v>
      </c>
      <c r="O113" s="13">
        <f ca="1"/>
        <v>50992.230061793278</v>
      </c>
      <c r="P113" s="13">
        <f ca="1"/>
        <v>51313.706382173448</v>
      </c>
      <c r="Q113" s="13">
        <f ca="1"/>
        <v>51637.252872284509</v>
      </c>
      <c r="R113" s="13">
        <f ca="1"/>
        <v>51962.88317978663</v>
      </c>
      <c r="S113" s="13">
        <f ca="1"/>
        <v>52290.611044571757</v>
      </c>
      <c r="T113" s="13">
        <f ca="1"/>
        <v>52620.450299403128</v>
      </c>
      <c r="U113" s="13">
        <f ca="1"/>
        <v>52952.414870558394</v>
      </c>
      <c r="V113" s="13">
        <f ca="1"/>
        <v>53286.518778478123</v>
      </c>
      <c r="W113" s="13">
        <f ca="1"/>
        <v>53622.776138418383</v>
      </c>
      <c r="X113" s="13">
        <f ca="1"/>
        <v>53961.201161108154</v>
      </c>
      <c r="Y113" s="13">
        <f ca="1"/>
        <v>54301.808153411497</v>
      </c>
      <c r="Z113" s="13">
        <f ca="1"/>
        <v>54644.611518994177</v>
      </c>
      <c r="AA113" s="13">
        <f ca="1"/>
        <v>54989.625758995266</v>
      </c>
      <c r="AB113" s="13">
        <f ca="1"/>
        <v>55336.865472703394</v>
      </c>
      <c r="AC113" s="13">
        <f ca="1"/>
        <v>55686.345358237762</v>
      </c>
      <c r="AD113" s="13">
        <f ca="1"/>
        <v>56038.080213234149</v>
      </c>
      <c r="AE113" s="13">
        <f ca="1"/>
        <v>56392.08493553572</v>
      </c>
      <c r="AF113" s="13">
        <f ca="1"/>
        <v>56748.374523888604</v>
      </c>
      <c r="AG113" s="13">
        <f ca="1"/>
        <v>57106.964078642544</v>
      </c>
      <c r="AH113" s="13">
        <f ca="1"/>
        <v>57467.868802456724</v>
      </c>
      <c r="AI113" s="13">
        <f ca="1"/>
        <v>57831.104001010273</v>
      </c>
      <c r="AJ113" s="13">
        <f ca="1"/>
        <v>58196.685083717901</v>
      </c>
      <c r="AK113" s="13">
        <f ca="1"/>
        <v>58564.627564450879</v>
      </c>
      <c r="AL113" s="56">
        <f ca="1"/>
        <v>58934.947062262778</v>
      </c>
      <c r="AM113" s="10"/>
    </row>
    <row r="114" spans="2:39">
      <c r="B114" s="10"/>
      <c r="C114" s="28" t="str">
        <f>INDEX(_fuel,1)</f>
        <v>Electricity</v>
      </c>
      <c r="D114" s="12" t="str">
        <f>_yearDol &amp; "$"</f>
        <v>2015$</v>
      </c>
      <c r="E114" s="13">
        <f ca="1">SUMPRODUCT(dFactor,tpSurvAxH,INDEX(elecAxH,1,2)*allOnes,OFFSET(tPrcElec,0,0,1,_maxLT))</f>
        <v>47690.333235947001</v>
      </c>
      <c r="F114" s="13">
        <f ca="1">SUMPRODUCT(dFactor,tpSurvAxH,INDEX(elecAxH,1,2)*allOnes,OFFSET(tPrcElec,0,1,1,_maxLT))</f>
        <v>48080.589413195405</v>
      </c>
      <c r="G114" s="13">
        <f ca="1">SUMPRODUCT(dFactor,tpSurvAxH,INDEX(elecAxH,1,2)*allOnes,OFFSET(tPrcElec,0,2,1,_maxLT))</f>
        <v>48458.737607820825</v>
      </c>
      <c r="H114" s="13">
        <f ca="1">SUMPRODUCT(dFactor,tpSurvAxH,INDEX(elecAxH,1,2)*allOnes,OFFSET(tPrcElec,0,3,1,_maxLT))</f>
        <v>48798.73324575372</v>
      </c>
      <c r="I114" s="13">
        <f ca="1">SUMPRODUCT(dFactor,tpSurvAxH,INDEX(elecAxH,1,2)*allOnes,OFFSET(tPrcElec,0,4,1,_maxLT))</f>
        <v>49106.092897151306</v>
      </c>
      <c r="J114" s="13">
        <f ca="1">SUMPRODUCT(dFactor,tpSurvAxH,INDEX(elecAxH,1,2)*allOnes,OFFSET(tPrcElec,0,5,1,_maxLT))</f>
        <v>49415.429714411017</v>
      </c>
      <c r="K114" s="13">
        <f ca="1">SUMPRODUCT(dFactor,tpSurvAxH,INDEX(elecAxH,1,2)*allOnes,OFFSET(tPrcElec,0,6,1,_maxLT))</f>
        <v>49726.756717088487</v>
      </c>
      <c r="L114" s="13">
        <f ca="1">SUMPRODUCT(dFactor,tpSurvAxH,INDEX(elecAxH,1,2)*allOnes,OFFSET(tPrcElec,0,7,1,_maxLT))</f>
        <v>50040.087012622331</v>
      </c>
      <c r="M114" s="13">
        <f ca="1">SUMPRODUCT(dFactor,tpSurvAxH,INDEX(elecAxH,1,2)*allOnes,OFFSET(tPrcElec,0,8,1,_maxLT))</f>
        <v>50355.433796942249</v>
      </c>
      <c r="N114" s="13">
        <f ca="1">SUMPRODUCT(dFactor,tpSurvAxH,INDEX(elecAxH,1,2)*allOnes,OFFSET(tPrcElec,0,9,1,_maxLT))</f>
        <v>50672.810355081318</v>
      </c>
      <c r="O114" s="13">
        <f ca="1">SUMPRODUCT(dFactor,tpSurvAxH,INDEX(elecAxH,1,2)*allOnes,OFFSET(tPrcElec,0,10,1,_maxLT))</f>
        <v>50992.230061793278</v>
      </c>
      <c r="P114" s="13">
        <f ca="1">SUMPRODUCT(dFactor,tpSurvAxH,INDEX(elecAxH,1,2)*allOnes,OFFSET(tPrcElec,0,11,1,_maxLT))</f>
        <v>51313.706382173448</v>
      </c>
      <c r="Q114" s="13">
        <f ca="1">SUMPRODUCT(dFactor,tpSurvAxH,INDEX(elecAxH,1,2)*allOnes,OFFSET(tPrcElec,0,12,1,_maxLT))</f>
        <v>51637.252872284509</v>
      </c>
      <c r="R114" s="13">
        <f ca="1">SUMPRODUCT(dFactor,tpSurvAxH,INDEX(elecAxH,1,2)*allOnes,OFFSET(tPrcElec,0,13,1,_maxLT))</f>
        <v>51962.88317978663</v>
      </c>
      <c r="S114" s="13">
        <f ca="1">SUMPRODUCT(dFactor,tpSurvAxH,INDEX(elecAxH,1,2)*allOnes,OFFSET(tPrcElec,0,14,1,_maxLT))</f>
        <v>52290.611044571757</v>
      </c>
      <c r="T114" s="13">
        <f ca="1">SUMPRODUCT(dFactor,tpSurvAxH,INDEX(elecAxH,1,2)*allOnes,OFFSET(tPrcElec,0,15,1,_maxLT))</f>
        <v>52620.450299403128</v>
      </c>
      <c r="U114" s="13">
        <f ca="1">SUMPRODUCT(dFactor,tpSurvAxH,INDEX(elecAxH,1,2)*allOnes,OFFSET(tPrcElec,0,16,1,_maxLT))</f>
        <v>52952.414870558394</v>
      </c>
      <c r="V114" s="13">
        <f ca="1">SUMPRODUCT(dFactor,tpSurvAxH,INDEX(elecAxH,1,2)*allOnes,OFFSET(tPrcElec,0,17,1,_maxLT))</f>
        <v>53286.518778478123</v>
      </c>
      <c r="W114" s="13">
        <f ca="1">SUMPRODUCT(dFactor,tpSurvAxH,INDEX(elecAxH,1,2)*allOnes,OFFSET(tPrcElec,0,18,1,_maxLT))</f>
        <v>53622.776138418383</v>
      </c>
      <c r="X114" s="13">
        <f ca="1">SUMPRODUCT(dFactor,tpSurvAxH,INDEX(elecAxH,1,2)*allOnes,OFFSET(tPrcElec,0,19,1,_maxLT))</f>
        <v>53961.201161108154</v>
      </c>
      <c r="Y114" s="13">
        <f ca="1">SUMPRODUCT(dFactor,tpSurvAxH,INDEX(elecAxH,1,2)*allOnes,OFFSET(tPrcElec,0,20,1,_maxLT))</f>
        <v>54301.808153411497</v>
      </c>
      <c r="Z114" s="13">
        <f ca="1">SUMPRODUCT(dFactor,tpSurvAxH,INDEX(elecAxH,1,2)*allOnes,OFFSET(tPrcElec,0,21,1,_maxLT))</f>
        <v>54644.611518994177</v>
      </c>
      <c r="AA114" s="13">
        <f ca="1">SUMPRODUCT(dFactor,tpSurvAxH,INDEX(elecAxH,1,2)*allOnes,OFFSET(tPrcElec,0,22,1,_maxLT))</f>
        <v>54989.625758995266</v>
      </c>
      <c r="AB114" s="13">
        <f ca="1">SUMPRODUCT(dFactor,tpSurvAxH,INDEX(elecAxH,1,2)*allOnes,OFFSET(tPrcElec,0,23,1,_maxLT))</f>
        <v>55336.865472703394</v>
      </c>
      <c r="AC114" s="13">
        <f ca="1">SUMPRODUCT(dFactor,tpSurvAxH,INDEX(elecAxH,1,2)*allOnes,OFFSET(tPrcElec,0,24,1,_maxLT))</f>
        <v>55686.345358237762</v>
      </c>
      <c r="AD114" s="13">
        <f ca="1">SUMPRODUCT(dFactor,tpSurvAxH,INDEX(elecAxH,1,2)*allOnes,OFFSET(tPrcElec,0,25,1,_maxLT))</f>
        <v>56038.080213234149</v>
      </c>
      <c r="AE114" s="13">
        <f ca="1">SUMPRODUCT(dFactor,tpSurvAxH,INDEX(elecAxH,1,2)*allOnes,OFFSET(tPrcElec,0,26,1,_maxLT))</f>
        <v>56392.08493553572</v>
      </c>
      <c r="AF114" s="13">
        <f ca="1">SUMPRODUCT(dFactor,tpSurvAxH,INDEX(elecAxH,1,2)*allOnes,OFFSET(tPrcElec,0,27,1,_maxLT))</f>
        <v>56748.374523888604</v>
      </c>
      <c r="AG114" s="13">
        <f ca="1">SUMPRODUCT(dFactor,tpSurvAxH,INDEX(elecAxH,1,2)*allOnes,OFFSET(tPrcElec,0,28,1,_maxLT))</f>
        <v>57106.964078642544</v>
      </c>
      <c r="AH114" s="13">
        <f ca="1">SUMPRODUCT(dFactor,tpSurvAxH,INDEX(elecAxH,1,2)*allOnes,OFFSET(tPrcElec,0,29,1,_maxLT))</f>
        <v>57467.868802456724</v>
      </c>
      <c r="AI114" s="13">
        <f ca="1">SUMPRODUCT(dFactor,tpSurvAxH,INDEX(elecAxH,1,2)*allOnes,OFFSET(tPrcElec,0,30,1,_maxLT))</f>
        <v>57831.104001010273</v>
      </c>
      <c r="AJ114" s="13">
        <f ca="1">SUMPRODUCT(dFactor,tpSurvAxH,INDEX(elecAxH,1,2)*allOnes,OFFSET(tPrcElec,0,31,1,_maxLT))</f>
        <v>58196.685083717901</v>
      </c>
      <c r="AK114" s="13">
        <f ca="1">SUMPRODUCT(dFactor,tpSurvAxH,INDEX(elecAxH,1,2)*allOnes,OFFSET(tPrcElec,0,32,1,_maxLT))</f>
        <v>58564.627564450879</v>
      </c>
      <c r="AL114" s="56">
        <f ca="1">SUMPRODUCT(dFactor,tpSurvAxH,INDEX(elecAxH,1,2)*allOnes,OFFSET(tPrcElec,0,33,1,_maxLT))</f>
        <v>58934.947062262778</v>
      </c>
      <c r="AM114" s="10"/>
    </row>
    <row r="115" spans="2:39">
      <c r="B115" s="10"/>
      <c r="C115" s="16" t="s">
        <v>79</v>
      </c>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5"/>
      <c r="AM115" s="10"/>
    </row>
    <row r="116" spans="2:39">
      <c r="B116" s="10"/>
      <c r="C116" s="28" t="str">
        <f>INDEX(_fuel,1)</f>
        <v>Electricity</v>
      </c>
      <c r="D116" s="12" t="s">
        <v>83</v>
      </c>
      <c r="E116" s="39">
        <f ca="1">SUMPRODUCT(OFFSET(tConvElecAxH,0,0,1,_maxLT),INDEX(elecAxH,1,2)*allOnes,tpSurvAxH)</f>
        <v>9609.9296351978082</v>
      </c>
      <c r="F116" s="39">
        <f ca="1">SUMPRODUCT(OFFSET(tConvElecAxH,0,1,1,_maxLT),INDEX(elecAxH,1,2)*allOnes,tpSurvAxH)</f>
        <v>9540.6385931952773</v>
      </c>
      <c r="G116" s="39">
        <f ca="1">SUMPRODUCT(OFFSET(tConvElecAxH,0,2,1,_maxLT),INDEX(elecAxH,1,2)*allOnes,tpSurvAxH)</f>
        <v>9479.2298936110528</v>
      </c>
      <c r="H116" s="39">
        <f ca="1">SUMPRODUCT(OFFSET(tConvElecAxH,0,3,1,_maxLT),INDEX(elecAxH,1,2)*allOnes,tpSurvAxH)</f>
        <v>9420.5642923759224</v>
      </c>
      <c r="I116" s="39">
        <f ca="1">SUMPRODUCT(OFFSET(tConvElecAxH,0,4,1,_maxLT),INDEX(elecAxH,1,2)*allOnes,tpSurvAxH)</f>
        <v>9368.9921142192616</v>
      </c>
      <c r="J116" s="39">
        <f ca="1">SUMPRODUCT(OFFSET(tConvElecAxH,0,5,1,_maxLT),INDEX(elecAxH,1,2)*allOnes,tpSurvAxH)</f>
        <v>9328.7428205937886</v>
      </c>
      <c r="K116" s="39">
        <f ca="1">SUMPRODUCT(OFFSET(tConvElecAxH,0,6,1,_maxLT),INDEX(elecAxH,1,2)*allOnes,tpSurvAxH)</f>
        <v>9295.3292148051969</v>
      </c>
      <c r="L116" s="39">
        <f ca="1">SUMPRODUCT(OFFSET(tConvElecAxH,0,7,1,_maxLT),INDEX(elecAxH,1,2)*allOnes,tpSurvAxH)</f>
        <v>9261.5736802579704</v>
      </c>
      <c r="M116" s="39">
        <f ca="1">SUMPRODUCT(OFFSET(tConvElecAxH,0,8,1,_maxLT),INDEX(elecAxH,1,2)*allOnes,tpSurvAxH)</f>
        <v>9234.3249623049087</v>
      </c>
      <c r="N116" s="39">
        <f ca="1">SUMPRODUCT(OFFSET(tConvElecAxH,0,9,1,_maxLT),INDEX(elecAxH,1,2)*allOnes,tpSurvAxH)</f>
        <v>9215.3069884656761</v>
      </c>
      <c r="O116" s="39">
        <f ca="1">SUMPRODUCT(OFFSET(tConvElecAxH,0,10,1,_maxLT),INDEX(elecAxH,1,2)*allOnes,tpSurvAxH)</f>
        <v>9201.1767971555601</v>
      </c>
      <c r="P116" s="39">
        <f ca="1">SUMPRODUCT(OFFSET(tConvElecAxH,0,11,1,_maxLT),INDEX(elecAxH,1,2)*allOnes,tpSurvAxH)</f>
        <v>9189.1771130868328</v>
      </c>
      <c r="Q116" s="39">
        <f ca="1">SUMPRODUCT(OFFSET(tConvElecAxH,0,12,1,_maxLT),INDEX(elecAxH,1,2)*allOnes,tpSurvAxH)</f>
        <v>9180.2239351934895</v>
      </c>
      <c r="R116" s="39">
        <f ca="1">SUMPRODUCT(OFFSET(tConvElecAxH,0,13,1,_maxLT),INDEX(elecAxH,1,2)*allOnes,tpSurvAxH)</f>
        <v>9173.3326369882161</v>
      </c>
      <c r="S116" s="39">
        <f ca="1">SUMPRODUCT(OFFSET(tConvElecAxH,0,14,1,_maxLT),INDEX(elecAxH,1,2)*allOnes,tpSurvAxH)</f>
        <v>9172.0705428697675</v>
      </c>
      <c r="T116" s="39">
        <f ca="1">SUMPRODUCT(OFFSET(tConvElecAxH,0,15,1,_maxLT),INDEX(elecAxH,1,2)*allOnes,tpSurvAxH)</f>
        <v>9173.2200447005398</v>
      </c>
      <c r="U116" s="39">
        <f ca="1">SUMPRODUCT(OFFSET(tConvElecAxH,0,16,1,_maxLT),INDEX(elecAxH,1,2)*allOnes,tpSurvAxH)</f>
        <v>9175.1283679697463</v>
      </c>
      <c r="V116" s="39">
        <f ca="1">SUMPRODUCT(OFFSET(tConvElecAxH,0,17,1,_maxLT),INDEX(elecAxH,1,2)*allOnes,tpSurvAxH)</f>
        <v>9178.0694844009831</v>
      </c>
      <c r="W116" s="39">
        <f ca="1">SUMPRODUCT(OFFSET(tConvElecAxH,0,18,1,_maxLT),INDEX(elecAxH,1,2)*allOnes,tpSurvAxH)</f>
        <v>9180.9323173839166</v>
      </c>
      <c r="X116" s="39">
        <f ca="1">SUMPRODUCT(OFFSET(tConvElecAxH,0,19,1,_maxLT),INDEX(elecAxH,1,2)*allOnes,tpSurvAxH)</f>
        <v>9183.3199620187352</v>
      </c>
      <c r="Y116" s="39">
        <f ca="1">SUMPRODUCT(OFFSET(tConvElecAxH,0,20,1,_maxLT),INDEX(elecAxH,1,2)*allOnes,tpSurvAxH)</f>
        <v>9184.9100414643526</v>
      </c>
      <c r="Z116" s="39">
        <f ca="1">SUMPRODUCT(OFFSET(tConvElecAxH,0,21,1,_maxLT),INDEX(elecAxH,1,2)*allOnes,tpSurvAxH)</f>
        <v>9185.9972081930737</v>
      </c>
      <c r="AA116" s="39">
        <f ca="1">SUMPRODUCT(OFFSET(tConvElecAxH,0,22,1,_maxLT),INDEX(elecAxH,1,2)*allOnes,tpSurvAxH)</f>
        <v>9185.9972081930737</v>
      </c>
      <c r="AB116" s="39">
        <f ca="1">SUMPRODUCT(OFFSET(tConvElecAxH,0,23,1,_maxLT),INDEX(elecAxH,1,2)*allOnes,tpSurvAxH)</f>
        <v>9185.9972081930737</v>
      </c>
      <c r="AC116" s="39">
        <f ca="1">SUMPRODUCT(OFFSET(tConvElecAxH,0,24,1,_maxLT),INDEX(elecAxH,1,2)*allOnes,tpSurvAxH)</f>
        <v>9185.9972081930737</v>
      </c>
      <c r="AD116" s="39">
        <f ca="1">SUMPRODUCT(OFFSET(tConvElecAxH,0,25,1,_maxLT),INDEX(elecAxH,1,2)*allOnes,tpSurvAxH)</f>
        <v>9185.9972081930737</v>
      </c>
      <c r="AE116" s="39">
        <f ca="1">SUMPRODUCT(OFFSET(tConvElecAxH,0,26,1,_maxLT),INDEX(elecAxH,1,2)*allOnes,tpSurvAxH)</f>
        <v>9185.9972081930737</v>
      </c>
      <c r="AF116" s="39">
        <f ca="1">SUMPRODUCT(OFFSET(tConvElecAxH,0,27,1,_maxLT),INDEX(elecAxH,1,2)*allOnes,tpSurvAxH)</f>
        <v>9185.9972081930737</v>
      </c>
      <c r="AG116" s="39">
        <f ca="1">SUMPRODUCT(OFFSET(tConvElecAxH,0,28,1,_maxLT),INDEX(elecAxH,1,2)*allOnes,tpSurvAxH)</f>
        <v>9185.9972081930737</v>
      </c>
      <c r="AH116" s="39">
        <f ca="1">SUMPRODUCT(OFFSET(tConvElecAxH,0,29,1,_maxLT),INDEX(elecAxH,1,2)*allOnes,tpSurvAxH)</f>
        <v>9185.9972081930737</v>
      </c>
      <c r="AI116" s="39">
        <f ca="1">SUMPRODUCT(OFFSET(tConvElecAxH,0,30,1,_maxLT),INDEX(elecAxH,1,2)*allOnes,tpSurvAxH)</f>
        <v>9185.9972081930737</v>
      </c>
      <c r="AJ116" s="39">
        <f ca="1">SUMPRODUCT(OFFSET(tConvElecAxH,0,31,1,_maxLT),INDEX(elecAxH,1,2)*allOnes,tpSurvAxH)</f>
        <v>9185.9972081930737</v>
      </c>
      <c r="AK116" s="39">
        <f ca="1">SUMPRODUCT(OFFSET(tConvElecAxH,0,32,1,_maxLT),INDEX(elecAxH,1,2)*allOnes,tpSurvAxH)</f>
        <v>9185.9972081930737</v>
      </c>
      <c r="AL116" s="40">
        <f ca="1">SUMPRODUCT(OFFSET(tConvElecAxH,0,33,1,_maxLT),INDEX(elecAxH,1,2)*allOnes,tpSurvAxH)</f>
        <v>9185.9972081930737</v>
      </c>
      <c r="AM116" s="10"/>
    </row>
    <row r="117" spans="2:39">
      <c r="B117" s="10"/>
      <c r="C117" s="57" t="str">
        <f>"EL 2: " &amp; INDEX(_doName,1,3)</f>
        <v>EL 2: EL 2</v>
      </c>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3"/>
      <c r="AM117" s="10"/>
    </row>
    <row r="118" spans="2:39">
      <c r="B118" s="10"/>
      <c r="C118" s="16" t="s">
        <v>69</v>
      </c>
      <c r="D118" s="12" t="str">
        <f>_yearDol &amp; "$"</f>
        <v>2015$</v>
      </c>
      <c r="E118" s="13">
        <f t="array" ref="E118:AL118">INDEX(mspAxH,1,3)*tPIdxAll + INDEX(instAxH,1,3) + IF(bESav,SUMPRODUCT(dFactor,tpSurvAxH,INDEX(mrAxH,1,3)*allOnes),0)</f>
        <v>5053.1087500000003</v>
      </c>
      <c r="F118" s="13">
        <v>5053.1087500000003</v>
      </c>
      <c r="G118" s="13">
        <v>5053.1087500000003</v>
      </c>
      <c r="H118" s="13">
        <v>5053.1087500000003</v>
      </c>
      <c r="I118" s="13">
        <v>5053.1087500000003</v>
      </c>
      <c r="J118" s="13">
        <v>5053.1087500000003</v>
      </c>
      <c r="K118" s="13">
        <v>5053.1087500000003</v>
      </c>
      <c r="L118" s="13">
        <v>5053.1087500000003</v>
      </c>
      <c r="M118" s="13">
        <v>5053.1087500000003</v>
      </c>
      <c r="N118" s="13">
        <v>5053.1087500000003</v>
      </c>
      <c r="O118" s="13">
        <v>5053.1087500000003</v>
      </c>
      <c r="P118" s="13">
        <v>5053.1087500000003</v>
      </c>
      <c r="Q118" s="13">
        <v>5053.1087500000003</v>
      </c>
      <c r="R118" s="13">
        <v>5053.1087500000003</v>
      </c>
      <c r="S118" s="13">
        <v>5053.1087500000003</v>
      </c>
      <c r="T118" s="13">
        <v>5053.1087500000003</v>
      </c>
      <c r="U118" s="13">
        <v>5053.1087500000003</v>
      </c>
      <c r="V118" s="13">
        <v>5053.1087500000003</v>
      </c>
      <c r="W118" s="13">
        <v>5053.1087500000003</v>
      </c>
      <c r="X118" s="13">
        <v>5053.1087500000003</v>
      </c>
      <c r="Y118" s="13">
        <v>5053.1087500000003</v>
      </c>
      <c r="Z118" s="13">
        <v>5053.1087500000003</v>
      </c>
      <c r="AA118" s="13">
        <v>5053.1087500000003</v>
      </c>
      <c r="AB118" s="13">
        <v>5053.1087500000003</v>
      </c>
      <c r="AC118" s="13">
        <v>5053.1087500000003</v>
      </c>
      <c r="AD118" s="13">
        <v>5053.1087500000003</v>
      </c>
      <c r="AE118" s="13">
        <v>5053.1087500000003</v>
      </c>
      <c r="AF118" s="13">
        <v>5053.1087500000003</v>
      </c>
      <c r="AG118" s="13">
        <v>5053.1087500000003</v>
      </c>
      <c r="AH118" s="13">
        <v>5053.1087500000003</v>
      </c>
      <c r="AI118" s="13">
        <v>5053.1087500000003</v>
      </c>
      <c r="AJ118" s="13">
        <v>5053.1087500000003</v>
      </c>
      <c r="AK118" s="13">
        <v>5053.1087500000003</v>
      </c>
      <c r="AL118" s="56">
        <v>5053.1087500000003</v>
      </c>
      <c r="AM118" s="10"/>
    </row>
    <row r="119" spans="2:39">
      <c r="B119" s="10"/>
      <c r="C119" s="16" t="str">
        <f>zEO&amp;" Costs"</f>
        <v>Operating Costs</v>
      </c>
      <c r="D119" s="12" t="str">
        <f>_yearDol &amp; "$"</f>
        <v>2015$</v>
      </c>
      <c r="E119" s="13">
        <f t="array" aca="1" ref="E119:AL119" ca="1">(tlccEFuElecbc2) + IF(bOSav,SUMPRODUCT(dFactor,tpSurvAxH,INDEX(mrAxH,1,3)*allOnes),0)</f>
        <v>44282.605140253385</v>
      </c>
      <c r="F119" s="13">
        <f ca="1"/>
        <v>44644.975436873727</v>
      </c>
      <c r="G119" s="13">
        <f ca="1"/>
        <v>44996.10293066271</v>
      </c>
      <c r="H119" s="13">
        <f ca="1"/>
        <v>45311.804070965081</v>
      </c>
      <c r="I119" s="13">
        <f ca="1"/>
        <v>45597.20123964388</v>
      </c>
      <c r="J119" s="13">
        <f ca="1"/>
        <v>45884.434295162326</v>
      </c>
      <c r="K119" s="13">
        <f ca="1"/>
        <v>46173.515326759589</v>
      </c>
      <c r="L119" s="13">
        <f ca="1"/>
        <v>46464.456505278067</v>
      </c>
      <c r="M119" s="13">
        <f ca="1"/>
        <v>46757.270083727955</v>
      </c>
      <c r="N119" s="13">
        <f ca="1"/>
        <v>47051.968397856166</v>
      </c>
      <c r="O119" s="13">
        <f ca="1"/>
        <v>47348.563866718992</v>
      </c>
      <c r="P119" s="13">
        <f ca="1"/>
        <v>47647.068993259134</v>
      </c>
      <c r="Q119" s="13">
        <f ca="1"/>
        <v>47947.49636488637</v>
      </c>
      <c r="R119" s="13">
        <f ca="1"/>
        <v>48249.858654062948</v>
      </c>
      <c r="S119" s="13">
        <f ca="1"/>
        <v>48554.168618892472</v>
      </c>
      <c r="T119" s="13">
        <f ca="1"/>
        <v>48860.439103713572</v>
      </c>
      <c r="U119" s="13">
        <f ca="1"/>
        <v>49168.683039697273</v>
      </c>
      <c r="V119" s="13">
        <f ca="1"/>
        <v>49478.913445449034</v>
      </c>
      <c r="W119" s="13">
        <f ca="1"/>
        <v>49791.14342761477</v>
      </c>
      <c r="X119" s="13">
        <f ca="1"/>
        <v>50105.386181491311</v>
      </c>
      <c r="Y119" s="13">
        <f ca="1"/>
        <v>50421.654991641029</v>
      </c>
      <c r="Z119" s="13">
        <f ca="1"/>
        <v>50739.963232511225</v>
      </c>
      <c r="AA119" s="13">
        <f ca="1"/>
        <v>51060.32436905738</v>
      </c>
      <c r="AB119" s="13">
        <f ca="1"/>
        <v>51382.751957371256</v>
      </c>
      <c r="AC119" s="13">
        <f ca="1"/>
        <v>51707.259645313243</v>
      </c>
      <c r="AD119" s="13">
        <f ca="1"/>
        <v>52033.861173149278</v>
      </c>
      <c r="AE119" s="13">
        <f ca="1"/>
        <v>52362.570374192321</v>
      </c>
      <c r="AF119" s="13">
        <f ca="1"/>
        <v>52693.401175448293</v>
      </c>
      <c r="AG119" s="13">
        <f ca="1"/>
        <v>53026.367598266632</v>
      </c>
      <c r="AH119" s="13">
        <f ca="1"/>
        <v>53361.483758995644</v>
      </c>
      <c r="AI119" s="13">
        <f ca="1"/>
        <v>53698.763869642113</v>
      </c>
      <c r="AJ119" s="13">
        <f ca="1"/>
        <v>54038.222238536153</v>
      </c>
      <c r="AK119" s="13">
        <f ca="1"/>
        <v>54379.873271000382</v>
      </c>
      <c r="AL119" s="56">
        <f ca="1"/>
        <v>54723.731470023849</v>
      </c>
      <c r="AM119" s="10"/>
    </row>
    <row r="120" spans="2:39">
      <c r="B120" s="10"/>
      <c r="C120" s="28" t="str">
        <f>INDEX(_fuel,1)</f>
        <v>Electricity</v>
      </c>
      <c r="D120" s="12" t="str">
        <f>_yearDol &amp; "$"</f>
        <v>2015$</v>
      </c>
      <c r="E120" s="13">
        <f ca="1">SUMPRODUCT(dFactor,tpSurvAxH,INDEX(elecAxH,1,3)*allOnes,OFFSET(tPrcElec,0,0,1,_maxLT))</f>
        <v>44282.605140253385</v>
      </c>
      <c r="F120" s="13">
        <f ca="1">SUMPRODUCT(dFactor,tpSurvAxH,INDEX(elecAxH,1,3)*allOnes,OFFSET(tPrcElec,0,1,1,_maxLT))</f>
        <v>44644.975436873727</v>
      </c>
      <c r="G120" s="13">
        <f ca="1">SUMPRODUCT(dFactor,tpSurvAxH,INDEX(elecAxH,1,3)*allOnes,OFFSET(tPrcElec,0,2,1,_maxLT))</f>
        <v>44996.10293066271</v>
      </c>
      <c r="H120" s="13">
        <f ca="1">SUMPRODUCT(dFactor,tpSurvAxH,INDEX(elecAxH,1,3)*allOnes,OFFSET(tPrcElec,0,3,1,_maxLT))</f>
        <v>45311.804070965081</v>
      </c>
      <c r="I120" s="13">
        <f ca="1">SUMPRODUCT(dFactor,tpSurvAxH,INDEX(elecAxH,1,3)*allOnes,OFFSET(tPrcElec,0,4,1,_maxLT))</f>
        <v>45597.20123964388</v>
      </c>
      <c r="J120" s="13">
        <f ca="1">SUMPRODUCT(dFactor,tpSurvAxH,INDEX(elecAxH,1,3)*allOnes,OFFSET(tPrcElec,0,5,1,_maxLT))</f>
        <v>45884.434295162326</v>
      </c>
      <c r="K120" s="13">
        <f ca="1">SUMPRODUCT(dFactor,tpSurvAxH,INDEX(elecAxH,1,3)*allOnes,OFFSET(tPrcElec,0,6,1,_maxLT))</f>
        <v>46173.515326759589</v>
      </c>
      <c r="L120" s="13">
        <f ca="1">SUMPRODUCT(dFactor,tpSurvAxH,INDEX(elecAxH,1,3)*allOnes,OFFSET(tPrcElec,0,7,1,_maxLT))</f>
        <v>46464.456505278067</v>
      </c>
      <c r="M120" s="13">
        <f ca="1">SUMPRODUCT(dFactor,tpSurvAxH,INDEX(elecAxH,1,3)*allOnes,OFFSET(tPrcElec,0,8,1,_maxLT))</f>
        <v>46757.270083727955</v>
      </c>
      <c r="N120" s="13">
        <f ca="1">SUMPRODUCT(dFactor,tpSurvAxH,INDEX(elecAxH,1,3)*allOnes,OFFSET(tPrcElec,0,9,1,_maxLT))</f>
        <v>47051.968397856166</v>
      </c>
      <c r="O120" s="13">
        <f ca="1">SUMPRODUCT(dFactor,tpSurvAxH,INDEX(elecAxH,1,3)*allOnes,OFFSET(tPrcElec,0,10,1,_maxLT))</f>
        <v>47348.563866718992</v>
      </c>
      <c r="P120" s="13">
        <f ca="1">SUMPRODUCT(dFactor,tpSurvAxH,INDEX(elecAxH,1,3)*allOnes,OFFSET(tPrcElec,0,11,1,_maxLT))</f>
        <v>47647.068993259134</v>
      </c>
      <c r="Q120" s="13">
        <f ca="1">SUMPRODUCT(dFactor,tpSurvAxH,INDEX(elecAxH,1,3)*allOnes,OFFSET(tPrcElec,0,12,1,_maxLT))</f>
        <v>47947.49636488637</v>
      </c>
      <c r="R120" s="13">
        <f ca="1">SUMPRODUCT(dFactor,tpSurvAxH,INDEX(elecAxH,1,3)*allOnes,OFFSET(tPrcElec,0,13,1,_maxLT))</f>
        <v>48249.858654062948</v>
      </c>
      <c r="S120" s="13">
        <f ca="1">SUMPRODUCT(dFactor,tpSurvAxH,INDEX(elecAxH,1,3)*allOnes,OFFSET(tPrcElec,0,14,1,_maxLT))</f>
        <v>48554.168618892472</v>
      </c>
      <c r="T120" s="13">
        <f ca="1">SUMPRODUCT(dFactor,tpSurvAxH,INDEX(elecAxH,1,3)*allOnes,OFFSET(tPrcElec,0,15,1,_maxLT))</f>
        <v>48860.439103713572</v>
      </c>
      <c r="U120" s="13">
        <f ca="1">SUMPRODUCT(dFactor,tpSurvAxH,INDEX(elecAxH,1,3)*allOnes,OFFSET(tPrcElec,0,16,1,_maxLT))</f>
        <v>49168.683039697273</v>
      </c>
      <c r="V120" s="13">
        <f ca="1">SUMPRODUCT(dFactor,tpSurvAxH,INDEX(elecAxH,1,3)*allOnes,OFFSET(tPrcElec,0,17,1,_maxLT))</f>
        <v>49478.913445449034</v>
      </c>
      <c r="W120" s="13">
        <f ca="1">SUMPRODUCT(dFactor,tpSurvAxH,INDEX(elecAxH,1,3)*allOnes,OFFSET(tPrcElec,0,18,1,_maxLT))</f>
        <v>49791.14342761477</v>
      </c>
      <c r="X120" s="13">
        <f ca="1">SUMPRODUCT(dFactor,tpSurvAxH,INDEX(elecAxH,1,3)*allOnes,OFFSET(tPrcElec,0,19,1,_maxLT))</f>
        <v>50105.386181491311</v>
      </c>
      <c r="Y120" s="13">
        <f ca="1">SUMPRODUCT(dFactor,tpSurvAxH,INDEX(elecAxH,1,3)*allOnes,OFFSET(tPrcElec,0,20,1,_maxLT))</f>
        <v>50421.654991641029</v>
      </c>
      <c r="Z120" s="13">
        <f ca="1">SUMPRODUCT(dFactor,tpSurvAxH,INDEX(elecAxH,1,3)*allOnes,OFFSET(tPrcElec,0,21,1,_maxLT))</f>
        <v>50739.963232511225</v>
      </c>
      <c r="AA120" s="13">
        <f ca="1">SUMPRODUCT(dFactor,tpSurvAxH,INDEX(elecAxH,1,3)*allOnes,OFFSET(tPrcElec,0,22,1,_maxLT))</f>
        <v>51060.32436905738</v>
      </c>
      <c r="AB120" s="13">
        <f ca="1">SUMPRODUCT(dFactor,tpSurvAxH,INDEX(elecAxH,1,3)*allOnes,OFFSET(tPrcElec,0,23,1,_maxLT))</f>
        <v>51382.751957371256</v>
      </c>
      <c r="AC120" s="13">
        <f ca="1">SUMPRODUCT(dFactor,tpSurvAxH,INDEX(elecAxH,1,3)*allOnes,OFFSET(tPrcElec,0,24,1,_maxLT))</f>
        <v>51707.259645313243</v>
      </c>
      <c r="AD120" s="13">
        <f ca="1">SUMPRODUCT(dFactor,tpSurvAxH,INDEX(elecAxH,1,3)*allOnes,OFFSET(tPrcElec,0,25,1,_maxLT))</f>
        <v>52033.861173149278</v>
      </c>
      <c r="AE120" s="13">
        <f ca="1">SUMPRODUCT(dFactor,tpSurvAxH,INDEX(elecAxH,1,3)*allOnes,OFFSET(tPrcElec,0,26,1,_maxLT))</f>
        <v>52362.570374192321</v>
      </c>
      <c r="AF120" s="13">
        <f ca="1">SUMPRODUCT(dFactor,tpSurvAxH,INDEX(elecAxH,1,3)*allOnes,OFFSET(tPrcElec,0,27,1,_maxLT))</f>
        <v>52693.401175448293</v>
      </c>
      <c r="AG120" s="13">
        <f ca="1">SUMPRODUCT(dFactor,tpSurvAxH,INDEX(elecAxH,1,3)*allOnes,OFFSET(tPrcElec,0,28,1,_maxLT))</f>
        <v>53026.367598266632</v>
      </c>
      <c r="AH120" s="13">
        <f ca="1">SUMPRODUCT(dFactor,tpSurvAxH,INDEX(elecAxH,1,3)*allOnes,OFFSET(tPrcElec,0,29,1,_maxLT))</f>
        <v>53361.483758995644</v>
      </c>
      <c r="AI120" s="13">
        <f ca="1">SUMPRODUCT(dFactor,tpSurvAxH,INDEX(elecAxH,1,3)*allOnes,OFFSET(tPrcElec,0,30,1,_maxLT))</f>
        <v>53698.763869642113</v>
      </c>
      <c r="AJ120" s="13">
        <f ca="1">SUMPRODUCT(dFactor,tpSurvAxH,INDEX(elecAxH,1,3)*allOnes,OFFSET(tPrcElec,0,31,1,_maxLT))</f>
        <v>54038.222238536153</v>
      </c>
      <c r="AK120" s="13">
        <f ca="1">SUMPRODUCT(dFactor,tpSurvAxH,INDEX(elecAxH,1,3)*allOnes,OFFSET(tPrcElec,0,32,1,_maxLT))</f>
        <v>54379.873271000382</v>
      </c>
      <c r="AL120" s="56">
        <f ca="1">SUMPRODUCT(dFactor,tpSurvAxH,INDEX(elecAxH,1,3)*allOnes,OFFSET(tPrcElec,0,33,1,_maxLT))</f>
        <v>54723.731470023849</v>
      </c>
      <c r="AM120" s="10"/>
    </row>
    <row r="121" spans="2:39">
      <c r="B121" s="10"/>
      <c r="C121" s="16" t="s">
        <v>79</v>
      </c>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5"/>
      <c r="AM121" s="10"/>
    </row>
    <row r="122" spans="2:39">
      <c r="B122" s="10"/>
      <c r="C122" s="28" t="str">
        <f>INDEX(_fuel,1)</f>
        <v>Electricity</v>
      </c>
      <c r="D122" s="12" t="s">
        <v>83</v>
      </c>
      <c r="E122" s="39">
        <f ca="1">SUMPRODUCT(OFFSET(tConvElecAxH,0,0,1,_maxLT),INDEX(elecAxH,1,3)*allOnes,tpSurvAxH)</f>
        <v>8923.2490231441552</v>
      </c>
      <c r="F122" s="39">
        <f ca="1">SUMPRODUCT(OFFSET(tConvElecAxH,0,1,1,_maxLT),INDEX(elecAxH,1,3)*allOnes,tpSurvAxH)</f>
        <v>8858.909194827711</v>
      </c>
      <c r="G122" s="39">
        <f ca="1">SUMPRODUCT(OFFSET(tConvElecAxH,0,2,1,_maxLT),INDEX(elecAxH,1,3)*allOnes,tpSurvAxH)</f>
        <v>8801.8884736175896</v>
      </c>
      <c r="H122" s="39">
        <f ca="1">SUMPRODUCT(OFFSET(tConvElecAxH,0,3,1,_maxLT),INDEX(elecAxH,1,3)*allOnes,tpSurvAxH)</f>
        <v>8747.4148417820179</v>
      </c>
      <c r="I122" s="39">
        <f ca="1">SUMPRODUCT(OFFSET(tConvElecAxH,0,4,1,_maxLT),INDEX(elecAxH,1,3)*allOnes,tpSurvAxH)</f>
        <v>8699.5277701980231</v>
      </c>
      <c r="J122" s="39">
        <f ca="1">SUMPRODUCT(OFFSET(tConvElecAxH,0,5,1,_maxLT),INDEX(elecAxH,1,3)*allOnes,tpSurvAxH)</f>
        <v>8662.1545027902921</v>
      </c>
      <c r="K122" s="39">
        <f ca="1">SUMPRODUCT(OFFSET(tConvElecAxH,0,6,1,_maxLT),INDEX(elecAxH,1,3)*allOnes,tpSurvAxH)</f>
        <v>8631.1284769471131</v>
      </c>
      <c r="L122" s="39">
        <f ca="1">SUMPRODUCT(OFFSET(tConvElecAxH,0,7,1,_maxLT),INDEX(elecAxH,1,3)*allOnes,tpSurvAxH)</f>
        <v>8599.7849549746934</v>
      </c>
      <c r="M122" s="39">
        <f ca="1">SUMPRODUCT(OFFSET(tConvElecAxH,0,8,1,_maxLT),INDEX(elecAxH,1,3)*allOnes,tpSurvAxH)</f>
        <v>8574.4833029245019</v>
      </c>
      <c r="N122" s="39">
        <f ca="1">SUMPRODUCT(OFFSET(tConvElecAxH,0,9,1,_maxLT),INDEX(elecAxH,1,3)*allOnes,tpSurvAxH)</f>
        <v>8556.8242645209793</v>
      </c>
      <c r="O122" s="39">
        <f ca="1">SUMPRODUCT(OFFSET(tConvElecAxH,0,10,1,_maxLT),INDEX(elecAxH,1,3)*allOnes,tpSurvAxH)</f>
        <v>8543.703750574341</v>
      </c>
      <c r="P122" s="39">
        <f ca="1">SUMPRODUCT(OFFSET(tConvElecAxH,0,11,1,_maxLT),INDEX(elecAxH,1,3)*allOnes,tpSurvAxH)</f>
        <v>8532.5615077891143</v>
      </c>
      <c r="Q122" s="39">
        <f ca="1">SUMPRODUCT(OFFSET(tConvElecAxH,0,12,1,_maxLT),INDEX(elecAxH,1,3)*allOnes,tpSurvAxH)</f>
        <v>8524.2480821009394</v>
      </c>
      <c r="R122" s="39">
        <f ca="1">SUMPRODUCT(OFFSET(tConvElecAxH,0,13,1,_maxLT),INDEX(elecAxH,1,3)*allOnes,tpSurvAxH)</f>
        <v>8517.8492038247459</v>
      </c>
      <c r="S122" s="39">
        <f ca="1">SUMPRODUCT(OFFSET(tConvElecAxH,0,14,1,_maxLT),INDEX(elecAxH,1,3)*allOnes,tpSurvAxH)</f>
        <v>8516.6772930473435</v>
      </c>
      <c r="T122" s="39">
        <f ca="1">SUMPRODUCT(OFFSET(tConvElecAxH,0,15,1,_maxLT),INDEX(elecAxH,1,3)*allOnes,tpSurvAxH)</f>
        <v>8517.7446568551895</v>
      </c>
      <c r="U122" s="39">
        <f ca="1">SUMPRODUCT(OFFSET(tConvElecAxH,0,16,1,_maxLT),INDEX(elecAxH,1,3)*allOnes,tpSurvAxH)</f>
        <v>8519.5166202715936</v>
      </c>
      <c r="V122" s="39">
        <f ca="1">SUMPRODUCT(OFFSET(tConvElecAxH,0,17,1,_maxLT),INDEX(elecAxH,1,3)*allOnes,tpSurvAxH)</f>
        <v>8522.2475782825513</v>
      </c>
      <c r="W122" s="39">
        <f ca="1">SUMPRODUCT(OFFSET(tConvElecAxH,0,18,1,_maxLT),INDEX(elecAxH,1,3)*allOnes,tpSurvAxH)</f>
        <v>8524.905846614176</v>
      </c>
      <c r="X122" s="39">
        <f ca="1">SUMPRODUCT(OFFSET(tConvElecAxH,0,19,1,_maxLT),INDEX(elecAxH,1,3)*allOnes,tpSurvAxH)</f>
        <v>8527.122881333893</v>
      </c>
      <c r="Y122" s="39">
        <f ca="1">SUMPRODUCT(OFFSET(tConvElecAxH,0,20,1,_maxLT),INDEX(elecAxH,1,3)*allOnes,tpSurvAxH)</f>
        <v>8528.5993411414511</v>
      </c>
      <c r="Z122" s="39">
        <f ca="1">SUMPRODUCT(OFFSET(tConvElecAxH,0,21,1,_maxLT),INDEX(elecAxH,1,3)*allOnes,tpSurvAxH)</f>
        <v>8529.6088240220033</v>
      </c>
      <c r="AA122" s="39">
        <f ca="1">SUMPRODUCT(OFFSET(tConvElecAxH,0,22,1,_maxLT),INDEX(elecAxH,1,3)*allOnes,tpSurvAxH)</f>
        <v>8529.6088240220033</v>
      </c>
      <c r="AB122" s="39">
        <f ca="1">SUMPRODUCT(OFFSET(tConvElecAxH,0,23,1,_maxLT),INDEX(elecAxH,1,3)*allOnes,tpSurvAxH)</f>
        <v>8529.6088240220033</v>
      </c>
      <c r="AC122" s="39">
        <f ca="1">SUMPRODUCT(OFFSET(tConvElecAxH,0,24,1,_maxLT),INDEX(elecAxH,1,3)*allOnes,tpSurvAxH)</f>
        <v>8529.6088240220033</v>
      </c>
      <c r="AD122" s="39">
        <f ca="1">SUMPRODUCT(OFFSET(tConvElecAxH,0,25,1,_maxLT),INDEX(elecAxH,1,3)*allOnes,tpSurvAxH)</f>
        <v>8529.6088240220033</v>
      </c>
      <c r="AE122" s="39">
        <f ca="1">SUMPRODUCT(OFFSET(tConvElecAxH,0,26,1,_maxLT),INDEX(elecAxH,1,3)*allOnes,tpSurvAxH)</f>
        <v>8529.6088240220033</v>
      </c>
      <c r="AF122" s="39">
        <f ca="1">SUMPRODUCT(OFFSET(tConvElecAxH,0,27,1,_maxLT),INDEX(elecAxH,1,3)*allOnes,tpSurvAxH)</f>
        <v>8529.6088240220033</v>
      </c>
      <c r="AG122" s="39">
        <f ca="1">SUMPRODUCT(OFFSET(tConvElecAxH,0,28,1,_maxLT),INDEX(elecAxH,1,3)*allOnes,tpSurvAxH)</f>
        <v>8529.6088240220033</v>
      </c>
      <c r="AH122" s="39">
        <f ca="1">SUMPRODUCT(OFFSET(tConvElecAxH,0,29,1,_maxLT),INDEX(elecAxH,1,3)*allOnes,tpSurvAxH)</f>
        <v>8529.6088240220033</v>
      </c>
      <c r="AI122" s="39">
        <f ca="1">SUMPRODUCT(OFFSET(tConvElecAxH,0,30,1,_maxLT),INDEX(elecAxH,1,3)*allOnes,tpSurvAxH)</f>
        <v>8529.6088240220033</v>
      </c>
      <c r="AJ122" s="39">
        <f ca="1">SUMPRODUCT(OFFSET(tConvElecAxH,0,31,1,_maxLT),INDEX(elecAxH,1,3)*allOnes,tpSurvAxH)</f>
        <v>8529.6088240220033</v>
      </c>
      <c r="AK122" s="39">
        <f ca="1">SUMPRODUCT(OFFSET(tConvElecAxH,0,32,1,_maxLT),INDEX(elecAxH,1,3)*allOnes,tpSurvAxH)</f>
        <v>8529.6088240220033</v>
      </c>
      <c r="AL122" s="40">
        <f ca="1">SUMPRODUCT(OFFSET(tConvElecAxH,0,33,1,_maxLT),INDEX(elecAxH,1,3)*allOnes,tpSurvAxH)</f>
        <v>8529.6088240220033</v>
      </c>
      <c r="AM122" s="10"/>
    </row>
    <row r="123" spans="2:39">
      <c r="B123" s="10"/>
      <c r="C123" s="57" t="str">
        <f>"EL 3: " &amp; INDEX(_doName,1,4)</f>
        <v>EL 3: EL 3</v>
      </c>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3"/>
      <c r="AM123" s="10"/>
    </row>
    <row r="124" spans="2:39">
      <c r="B124" s="10"/>
      <c r="C124" s="16" t="s">
        <v>69</v>
      </c>
      <c r="D124" s="12" t="str">
        <f>_yearDol &amp; "$"</f>
        <v>2015$</v>
      </c>
      <c r="E124" s="13">
        <f t="array" ref="E124:AL124">INDEX(mspAxH,1,4)*tPIdxAll + INDEX(instAxH,1,4) + IF(bESav,SUMPRODUCT(dFactor,tpSurvAxH,INDEX(mrAxH,1,4)*allOnes),0)</f>
        <v>5056.6307106598897</v>
      </c>
      <c r="F124" s="13">
        <v>5056.6307106598897</v>
      </c>
      <c r="G124" s="13">
        <v>5056.6307106598897</v>
      </c>
      <c r="H124" s="13">
        <v>5056.6307106598897</v>
      </c>
      <c r="I124" s="13">
        <v>5056.6307106598897</v>
      </c>
      <c r="J124" s="13">
        <v>5056.6307106598897</v>
      </c>
      <c r="K124" s="13">
        <v>5056.6307106598897</v>
      </c>
      <c r="L124" s="13">
        <v>5056.6307106598897</v>
      </c>
      <c r="M124" s="13">
        <v>5056.6307106598897</v>
      </c>
      <c r="N124" s="13">
        <v>5056.6307106598897</v>
      </c>
      <c r="O124" s="13">
        <v>5056.6307106598897</v>
      </c>
      <c r="P124" s="13">
        <v>5056.6307106598897</v>
      </c>
      <c r="Q124" s="13">
        <v>5056.6307106598897</v>
      </c>
      <c r="R124" s="13">
        <v>5056.6307106598897</v>
      </c>
      <c r="S124" s="13">
        <v>5056.6307106598897</v>
      </c>
      <c r="T124" s="13">
        <v>5056.6307106598897</v>
      </c>
      <c r="U124" s="13">
        <v>5056.6307106598897</v>
      </c>
      <c r="V124" s="13">
        <v>5056.6307106598897</v>
      </c>
      <c r="W124" s="13">
        <v>5056.6307106598897</v>
      </c>
      <c r="X124" s="13">
        <v>5056.6307106598897</v>
      </c>
      <c r="Y124" s="13">
        <v>5056.6307106598897</v>
      </c>
      <c r="Z124" s="13">
        <v>5056.6307106598897</v>
      </c>
      <c r="AA124" s="13">
        <v>5056.6307106598897</v>
      </c>
      <c r="AB124" s="13">
        <v>5056.6307106598897</v>
      </c>
      <c r="AC124" s="13">
        <v>5056.6307106598897</v>
      </c>
      <c r="AD124" s="13">
        <v>5056.6307106598897</v>
      </c>
      <c r="AE124" s="13">
        <v>5056.6307106598897</v>
      </c>
      <c r="AF124" s="13">
        <v>5056.6307106598897</v>
      </c>
      <c r="AG124" s="13">
        <v>5056.6307106598897</v>
      </c>
      <c r="AH124" s="13">
        <v>5056.6307106598897</v>
      </c>
      <c r="AI124" s="13">
        <v>5056.6307106598897</v>
      </c>
      <c r="AJ124" s="13">
        <v>5056.6307106598897</v>
      </c>
      <c r="AK124" s="13">
        <v>5056.6307106598897</v>
      </c>
      <c r="AL124" s="56">
        <v>5056.6307106598897</v>
      </c>
      <c r="AM124" s="10"/>
    </row>
    <row r="125" spans="2:39">
      <c r="B125" s="10"/>
      <c r="C125" s="16" t="str">
        <f>zEO&amp;" Costs"</f>
        <v>Operating Costs</v>
      </c>
      <c r="D125" s="12" t="str">
        <f>_yearDol &amp; "$"</f>
        <v>2015$</v>
      </c>
      <c r="E125" s="13">
        <f t="array" aca="1" ref="E125:AL125" ca="1">(tlccEFuElecbc3) + IF(bOSav,SUMPRODUCT(dFactor,tpSurvAxH,INDEX(mrAxH,1,4)*allOnes),0)</f>
        <v>44062.106260280314</v>
      </c>
      <c r="F125" s="13">
        <f ca="1"/>
        <v>44422.672185990552</v>
      </c>
      <c r="G125" s="13">
        <f ca="1"/>
        <v>44772.051290793279</v>
      </c>
      <c r="H125" s="13">
        <f ca="1"/>
        <v>45086.180442554709</v>
      </c>
      <c r="I125" s="13">
        <f ca="1"/>
        <v>45370.156516972202</v>
      </c>
      <c r="J125" s="13">
        <f ca="1"/>
        <v>45655.95933669417</v>
      </c>
      <c r="K125" s="13">
        <f ca="1"/>
        <v>45943.600930763154</v>
      </c>
      <c r="L125" s="13">
        <f ca="1"/>
        <v>46233.093409418616</v>
      </c>
      <c r="M125" s="13">
        <f ca="1"/>
        <v>46524.448964658572</v>
      </c>
      <c r="N125" s="13">
        <f ca="1"/>
        <v>46817.67987080595</v>
      </c>
      <c r="O125" s="13">
        <f ca="1"/>
        <v>47112.798485078107</v>
      </c>
      <c r="P125" s="13">
        <f ca="1"/>
        <v>47409.817248161089</v>
      </c>
      <c r="Q125" s="13">
        <f ca="1"/>
        <v>47708.748684787497</v>
      </c>
      <c r="R125" s="13">
        <f ca="1"/>
        <v>48009.605404318841</v>
      </c>
      <c r="S125" s="13">
        <f ca="1"/>
        <v>48312.400101331674</v>
      </c>
      <c r="T125" s="13">
        <f ca="1"/>
        <v>48617.145556207965</v>
      </c>
      <c r="U125" s="13">
        <f ca="1"/>
        <v>48923.854635729949</v>
      </c>
      <c r="V125" s="13">
        <f ca="1"/>
        <v>49232.540293678663</v>
      </c>
      <c r="W125" s="13">
        <f ca="1"/>
        <v>49543.215571437511</v>
      </c>
      <c r="X125" s="13">
        <f ca="1"/>
        <v>49855.893598599097</v>
      </c>
      <c r="Y125" s="13">
        <f ca="1"/>
        <v>50170.587593577344</v>
      </c>
      <c r="Z125" s="13">
        <f ca="1"/>
        <v>50487.310864223335</v>
      </c>
      <c r="AA125" s="13">
        <f ca="1"/>
        <v>50806.07680844573</v>
      </c>
      <c r="AB125" s="13">
        <f ca="1"/>
        <v>51126.898914835692</v>
      </c>
      <c r="AC125" s="13">
        <f ca="1"/>
        <v>51449.790763296063</v>
      </c>
      <c r="AD125" s="13">
        <f ca="1"/>
        <v>51774.766025675141</v>
      </c>
      <c r="AE125" s="13">
        <f ca="1"/>
        <v>52101.838466404828</v>
      </c>
      <c r="AF125" s="13">
        <f ca="1"/>
        <v>52431.021943143474</v>
      </c>
      <c r="AG125" s="13">
        <f ca="1"/>
        <v>52762.330407423295</v>
      </c>
      <c r="AH125" s="13">
        <f ca="1"/>
        <v>53095.77790530221</v>
      </c>
      <c r="AI125" s="13">
        <f ca="1"/>
        <v>53431.378578020449</v>
      </c>
      <c r="AJ125" s="13">
        <f ca="1"/>
        <v>53769.146662661748</v>
      </c>
      <c r="AK125" s="13">
        <f ca="1"/>
        <v>54109.096492819517</v>
      </c>
      <c r="AL125" s="56">
        <f ca="1"/>
        <v>54451.24249926729</v>
      </c>
      <c r="AM125" s="10"/>
    </row>
    <row r="126" spans="2:39">
      <c r="B126" s="10"/>
      <c r="C126" s="28" t="str">
        <f>INDEX(_fuel,1)</f>
        <v>Electricity</v>
      </c>
      <c r="D126" s="12" t="str">
        <f>_yearDol &amp; "$"</f>
        <v>2015$</v>
      </c>
      <c r="E126" s="13">
        <f ca="1">SUMPRODUCT(dFactor,tpSurvAxH,INDEX(elecAxH,1,4)*allOnes,OFFSET(tPrcElec,0,0,1,_maxLT))</f>
        <v>44062.106260280314</v>
      </c>
      <c r="F126" s="13">
        <f ca="1">SUMPRODUCT(dFactor,tpSurvAxH,INDEX(elecAxH,1,4)*allOnes,OFFSET(tPrcElec,0,1,1,_maxLT))</f>
        <v>44422.672185990552</v>
      </c>
      <c r="G126" s="13">
        <f ca="1">SUMPRODUCT(dFactor,tpSurvAxH,INDEX(elecAxH,1,4)*allOnes,OFFSET(tPrcElec,0,2,1,_maxLT))</f>
        <v>44772.051290793279</v>
      </c>
      <c r="H126" s="13">
        <f ca="1">SUMPRODUCT(dFactor,tpSurvAxH,INDEX(elecAxH,1,4)*allOnes,OFFSET(tPrcElec,0,3,1,_maxLT))</f>
        <v>45086.180442554709</v>
      </c>
      <c r="I126" s="13">
        <f ca="1">SUMPRODUCT(dFactor,tpSurvAxH,INDEX(elecAxH,1,4)*allOnes,OFFSET(tPrcElec,0,4,1,_maxLT))</f>
        <v>45370.156516972202</v>
      </c>
      <c r="J126" s="13">
        <f ca="1">SUMPRODUCT(dFactor,tpSurvAxH,INDEX(elecAxH,1,4)*allOnes,OFFSET(tPrcElec,0,5,1,_maxLT))</f>
        <v>45655.95933669417</v>
      </c>
      <c r="K126" s="13">
        <f ca="1">SUMPRODUCT(dFactor,tpSurvAxH,INDEX(elecAxH,1,4)*allOnes,OFFSET(tPrcElec,0,6,1,_maxLT))</f>
        <v>45943.600930763154</v>
      </c>
      <c r="L126" s="13">
        <f ca="1">SUMPRODUCT(dFactor,tpSurvAxH,INDEX(elecAxH,1,4)*allOnes,OFFSET(tPrcElec,0,7,1,_maxLT))</f>
        <v>46233.093409418616</v>
      </c>
      <c r="M126" s="13">
        <f ca="1">SUMPRODUCT(dFactor,tpSurvAxH,INDEX(elecAxH,1,4)*allOnes,OFFSET(tPrcElec,0,8,1,_maxLT))</f>
        <v>46524.448964658572</v>
      </c>
      <c r="N126" s="13">
        <f ca="1">SUMPRODUCT(dFactor,tpSurvAxH,INDEX(elecAxH,1,4)*allOnes,OFFSET(tPrcElec,0,9,1,_maxLT))</f>
        <v>46817.67987080595</v>
      </c>
      <c r="O126" s="13">
        <f ca="1">SUMPRODUCT(dFactor,tpSurvAxH,INDEX(elecAxH,1,4)*allOnes,OFFSET(tPrcElec,0,10,1,_maxLT))</f>
        <v>47112.798485078107</v>
      </c>
      <c r="P126" s="13">
        <f ca="1">SUMPRODUCT(dFactor,tpSurvAxH,INDEX(elecAxH,1,4)*allOnes,OFFSET(tPrcElec,0,11,1,_maxLT))</f>
        <v>47409.817248161089</v>
      </c>
      <c r="Q126" s="13">
        <f ca="1">SUMPRODUCT(dFactor,tpSurvAxH,INDEX(elecAxH,1,4)*allOnes,OFFSET(tPrcElec,0,12,1,_maxLT))</f>
        <v>47708.748684787497</v>
      </c>
      <c r="R126" s="13">
        <f ca="1">SUMPRODUCT(dFactor,tpSurvAxH,INDEX(elecAxH,1,4)*allOnes,OFFSET(tPrcElec,0,13,1,_maxLT))</f>
        <v>48009.605404318841</v>
      </c>
      <c r="S126" s="13">
        <f ca="1">SUMPRODUCT(dFactor,tpSurvAxH,INDEX(elecAxH,1,4)*allOnes,OFFSET(tPrcElec,0,14,1,_maxLT))</f>
        <v>48312.400101331674</v>
      </c>
      <c r="T126" s="13">
        <f ca="1">SUMPRODUCT(dFactor,tpSurvAxH,INDEX(elecAxH,1,4)*allOnes,OFFSET(tPrcElec,0,15,1,_maxLT))</f>
        <v>48617.145556207965</v>
      </c>
      <c r="U126" s="13">
        <f ca="1">SUMPRODUCT(dFactor,tpSurvAxH,INDEX(elecAxH,1,4)*allOnes,OFFSET(tPrcElec,0,16,1,_maxLT))</f>
        <v>48923.854635729949</v>
      </c>
      <c r="V126" s="13">
        <f ca="1">SUMPRODUCT(dFactor,tpSurvAxH,INDEX(elecAxH,1,4)*allOnes,OFFSET(tPrcElec,0,17,1,_maxLT))</f>
        <v>49232.540293678663</v>
      </c>
      <c r="W126" s="13">
        <f ca="1">SUMPRODUCT(dFactor,tpSurvAxH,INDEX(elecAxH,1,4)*allOnes,OFFSET(tPrcElec,0,18,1,_maxLT))</f>
        <v>49543.215571437511</v>
      </c>
      <c r="X126" s="13">
        <f ca="1">SUMPRODUCT(dFactor,tpSurvAxH,INDEX(elecAxH,1,4)*allOnes,OFFSET(tPrcElec,0,19,1,_maxLT))</f>
        <v>49855.893598599097</v>
      </c>
      <c r="Y126" s="13">
        <f ca="1">SUMPRODUCT(dFactor,tpSurvAxH,INDEX(elecAxH,1,4)*allOnes,OFFSET(tPrcElec,0,20,1,_maxLT))</f>
        <v>50170.587593577344</v>
      </c>
      <c r="Z126" s="13">
        <f ca="1">SUMPRODUCT(dFactor,tpSurvAxH,INDEX(elecAxH,1,4)*allOnes,OFFSET(tPrcElec,0,21,1,_maxLT))</f>
        <v>50487.310864223335</v>
      </c>
      <c r="AA126" s="13">
        <f ca="1">SUMPRODUCT(dFactor,tpSurvAxH,INDEX(elecAxH,1,4)*allOnes,OFFSET(tPrcElec,0,22,1,_maxLT))</f>
        <v>50806.07680844573</v>
      </c>
      <c r="AB126" s="13">
        <f ca="1">SUMPRODUCT(dFactor,tpSurvAxH,INDEX(elecAxH,1,4)*allOnes,OFFSET(tPrcElec,0,23,1,_maxLT))</f>
        <v>51126.898914835692</v>
      </c>
      <c r="AC126" s="13">
        <f ca="1">SUMPRODUCT(dFactor,tpSurvAxH,INDEX(elecAxH,1,4)*allOnes,OFFSET(tPrcElec,0,24,1,_maxLT))</f>
        <v>51449.790763296063</v>
      </c>
      <c r="AD126" s="13">
        <f ca="1">SUMPRODUCT(dFactor,tpSurvAxH,INDEX(elecAxH,1,4)*allOnes,OFFSET(tPrcElec,0,25,1,_maxLT))</f>
        <v>51774.766025675141</v>
      </c>
      <c r="AE126" s="13">
        <f ca="1">SUMPRODUCT(dFactor,tpSurvAxH,INDEX(elecAxH,1,4)*allOnes,OFFSET(tPrcElec,0,26,1,_maxLT))</f>
        <v>52101.838466404828</v>
      </c>
      <c r="AF126" s="13">
        <f ca="1">SUMPRODUCT(dFactor,tpSurvAxH,INDEX(elecAxH,1,4)*allOnes,OFFSET(tPrcElec,0,27,1,_maxLT))</f>
        <v>52431.021943143474</v>
      </c>
      <c r="AG126" s="13">
        <f ca="1">SUMPRODUCT(dFactor,tpSurvAxH,INDEX(elecAxH,1,4)*allOnes,OFFSET(tPrcElec,0,28,1,_maxLT))</f>
        <v>52762.330407423295</v>
      </c>
      <c r="AH126" s="13">
        <f ca="1">SUMPRODUCT(dFactor,tpSurvAxH,INDEX(elecAxH,1,4)*allOnes,OFFSET(tPrcElec,0,29,1,_maxLT))</f>
        <v>53095.77790530221</v>
      </c>
      <c r="AI126" s="13">
        <f ca="1">SUMPRODUCT(dFactor,tpSurvAxH,INDEX(elecAxH,1,4)*allOnes,OFFSET(tPrcElec,0,30,1,_maxLT))</f>
        <v>53431.378578020449</v>
      </c>
      <c r="AJ126" s="13">
        <f ca="1">SUMPRODUCT(dFactor,tpSurvAxH,INDEX(elecAxH,1,4)*allOnes,OFFSET(tPrcElec,0,31,1,_maxLT))</f>
        <v>53769.146662661748</v>
      </c>
      <c r="AK126" s="13">
        <f ca="1">SUMPRODUCT(dFactor,tpSurvAxH,INDEX(elecAxH,1,4)*allOnes,OFFSET(tPrcElec,0,32,1,_maxLT))</f>
        <v>54109.096492819517</v>
      </c>
      <c r="AL126" s="56">
        <f ca="1">SUMPRODUCT(dFactor,tpSurvAxH,INDEX(elecAxH,1,4)*allOnes,OFFSET(tPrcElec,0,33,1,_maxLT))</f>
        <v>54451.24249926729</v>
      </c>
      <c r="AM126" s="10"/>
    </row>
    <row r="127" spans="2:39">
      <c r="B127" s="10"/>
      <c r="C127" s="16" t="s">
        <v>79</v>
      </c>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5"/>
      <c r="AM127" s="10"/>
    </row>
    <row r="128" spans="2:39">
      <c r="B128" s="10"/>
      <c r="C128" s="28" t="str">
        <f>INDEX(_fuel,1)</f>
        <v>Electricity</v>
      </c>
      <c r="D128" s="12" t="s">
        <v>83</v>
      </c>
      <c r="E128" s="39">
        <f ca="1">SUMPRODUCT(OFFSET(tConvElecAxH,0,0,1,_maxLT),INDEX(elecAxH,1,4)*allOnes,tpSurvAxH)</f>
        <v>8878.8169846700821</v>
      </c>
      <c r="F128" s="39">
        <f ca="1">SUMPRODUCT(OFFSET(tConvElecAxH,0,1,1,_maxLT),INDEX(elecAxH,1,4)*allOnes,tpSurvAxH)</f>
        <v>8814.7975272992153</v>
      </c>
      <c r="G128" s="39">
        <f ca="1">SUMPRODUCT(OFFSET(tConvElecAxH,0,2,1,_maxLT),INDEX(elecAxH,1,4)*allOnes,tpSurvAxH)</f>
        <v>8758.0607325907604</v>
      </c>
      <c r="H128" s="39">
        <f ca="1">SUMPRODUCT(OFFSET(tConvElecAxH,0,3,1,_maxLT),INDEX(elecAxH,1,4)*allOnes,tpSurvAxH)</f>
        <v>8703.8583443906919</v>
      </c>
      <c r="I128" s="39">
        <f ca="1">SUMPRODUCT(OFFSET(tConvElecAxH,0,4,1,_maxLT),INDEX(elecAxH,1,4)*allOnes,tpSurvAxH)</f>
        <v>8656.2097196102695</v>
      </c>
      <c r="J128" s="39">
        <f ca="1">SUMPRODUCT(OFFSET(tConvElecAxH,0,5,1,_maxLT),INDEX(elecAxH,1,4)*allOnes,tpSurvAxH)</f>
        <v>8619.0225470264104</v>
      </c>
      <c r="K128" s="39">
        <f ca="1">SUMPRODUCT(OFFSET(tConvElecAxH,0,6,1,_maxLT),INDEX(elecAxH,1,4)*allOnes,tpSurvAxH)</f>
        <v>8588.1510108282473</v>
      </c>
      <c r="L128" s="39">
        <f ca="1">SUMPRODUCT(OFFSET(tConvElecAxH,0,7,1,_maxLT),INDEX(elecAxH,1,4)*allOnes,tpSurvAxH)</f>
        <v>8556.9635594272731</v>
      </c>
      <c r="M128" s="39">
        <f ca="1">SUMPRODUCT(OFFSET(tConvElecAxH,0,8,1,_maxLT),INDEX(elecAxH,1,4)*allOnes,tpSurvAxH)</f>
        <v>8531.7878933239535</v>
      </c>
      <c r="N128" s="39">
        <f ca="1">SUMPRODUCT(OFFSET(tConvElecAxH,0,9,1,_maxLT),INDEX(elecAxH,1,4)*allOnes,tpSurvAxH)</f>
        <v>8514.2167855689768</v>
      </c>
      <c r="O128" s="39">
        <f ca="1">SUMPRODUCT(OFFSET(tConvElecAxH,0,10,1,_maxLT),INDEX(elecAxH,1,4)*allOnes,tpSurvAxH)</f>
        <v>8501.1616033394021</v>
      </c>
      <c r="P128" s="39">
        <f ca="1">SUMPRODUCT(OFFSET(tConvElecAxH,0,11,1,_maxLT),INDEX(elecAxH,1,4)*allOnes,tpSurvAxH)</f>
        <v>8490.0748417537743</v>
      </c>
      <c r="Q128" s="39">
        <f ca="1">SUMPRODUCT(OFFSET(tConvElecAxH,0,12,1,_maxLT),INDEX(elecAxH,1,4)*allOnes,tpSurvAxH)</f>
        <v>8481.8028115762554</v>
      </c>
      <c r="R128" s="39">
        <f ca="1">SUMPRODUCT(OFFSET(tConvElecAxH,0,13,1,_maxLT),INDEX(elecAxH,1,4)*allOnes,tpSurvAxH)</f>
        <v>8475.4357955965243</v>
      </c>
      <c r="S128" s="39">
        <f ca="1">SUMPRODUCT(OFFSET(tConvElecAxH,0,14,1,_maxLT),INDEX(elecAxH,1,4)*allOnes,tpSurvAxH)</f>
        <v>8474.2697201807259</v>
      </c>
      <c r="T128" s="39">
        <f ca="1">SUMPRODUCT(OFFSET(tConvElecAxH,0,15,1,_maxLT),INDEX(elecAxH,1,4)*allOnes,tpSurvAxH)</f>
        <v>8475.3317692036035</v>
      </c>
      <c r="U128" s="39">
        <f ca="1">SUMPRODUCT(OFFSET(tConvElecAxH,0,16,1,_maxLT),INDEX(elecAxH,1,4)*allOnes,tpSurvAxH)</f>
        <v>8477.0949093823638</v>
      </c>
      <c r="V128" s="39">
        <f ca="1">SUMPRODUCT(OFFSET(tConvElecAxH,0,17,1,_maxLT),INDEX(elecAxH,1,4)*allOnes,tpSurvAxH)</f>
        <v>8479.8122689796601</v>
      </c>
      <c r="W128" s="39">
        <f ca="1">SUMPRODUCT(OFFSET(tConvElecAxH,0,18,1,_maxLT),INDEX(elecAxH,1,4)*allOnes,tpSurvAxH)</f>
        <v>8482.4573008454554</v>
      </c>
      <c r="X128" s="39">
        <f ca="1">SUMPRODUCT(OFFSET(tConvElecAxH,0,19,1,_maxLT),INDEX(elecAxH,1,4)*allOnes,tpSurvAxH)</f>
        <v>8484.6632961588184</v>
      </c>
      <c r="Y128" s="39">
        <f ca="1">SUMPRODUCT(OFFSET(tConvElecAxH,0,20,1,_maxLT),INDEX(elecAxH,1,4)*allOnes,tpSurvAxH)</f>
        <v>8486.1324041465614</v>
      </c>
      <c r="Z128" s="39">
        <f ca="1">SUMPRODUCT(OFFSET(tConvElecAxH,0,21,1,_maxLT),INDEX(elecAxH,1,4)*allOnes,tpSurvAxH)</f>
        <v>8487.1368604519193</v>
      </c>
      <c r="AA128" s="39">
        <f ca="1">SUMPRODUCT(OFFSET(tConvElecAxH,0,22,1,_maxLT),INDEX(elecAxH,1,4)*allOnes,tpSurvAxH)</f>
        <v>8487.1368604519193</v>
      </c>
      <c r="AB128" s="39">
        <f ca="1">SUMPRODUCT(OFFSET(tConvElecAxH,0,23,1,_maxLT),INDEX(elecAxH,1,4)*allOnes,tpSurvAxH)</f>
        <v>8487.1368604519193</v>
      </c>
      <c r="AC128" s="39">
        <f ca="1">SUMPRODUCT(OFFSET(tConvElecAxH,0,24,1,_maxLT),INDEX(elecAxH,1,4)*allOnes,tpSurvAxH)</f>
        <v>8487.1368604519193</v>
      </c>
      <c r="AD128" s="39">
        <f ca="1">SUMPRODUCT(OFFSET(tConvElecAxH,0,25,1,_maxLT),INDEX(elecAxH,1,4)*allOnes,tpSurvAxH)</f>
        <v>8487.1368604519193</v>
      </c>
      <c r="AE128" s="39">
        <f ca="1">SUMPRODUCT(OFFSET(tConvElecAxH,0,26,1,_maxLT),INDEX(elecAxH,1,4)*allOnes,tpSurvAxH)</f>
        <v>8487.1368604519193</v>
      </c>
      <c r="AF128" s="39">
        <f ca="1">SUMPRODUCT(OFFSET(tConvElecAxH,0,27,1,_maxLT),INDEX(elecAxH,1,4)*allOnes,tpSurvAxH)</f>
        <v>8487.1368604519193</v>
      </c>
      <c r="AG128" s="39">
        <f ca="1">SUMPRODUCT(OFFSET(tConvElecAxH,0,28,1,_maxLT),INDEX(elecAxH,1,4)*allOnes,tpSurvAxH)</f>
        <v>8487.1368604519193</v>
      </c>
      <c r="AH128" s="39">
        <f ca="1">SUMPRODUCT(OFFSET(tConvElecAxH,0,29,1,_maxLT),INDEX(elecAxH,1,4)*allOnes,tpSurvAxH)</f>
        <v>8487.1368604519193</v>
      </c>
      <c r="AI128" s="39">
        <f ca="1">SUMPRODUCT(OFFSET(tConvElecAxH,0,30,1,_maxLT),INDEX(elecAxH,1,4)*allOnes,tpSurvAxH)</f>
        <v>8487.1368604519193</v>
      </c>
      <c r="AJ128" s="39">
        <f ca="1">SUMPRODUCT(OFFSET(tConvElecAxH,0,31,1,_maxLT),INDEX(elecAxH,1,4)*allOnes,tpSurvAxH)</f>
        <v>8487.1368604519193</v>
      </c>
      <c r="AK128" s="39">
        <f ca="1">SUMPRODUCT(OFFSET(tConvElecAxH,0,32,1,_maxLT),INDEX(elecAxH,1,4)*allOnes,tpSurvAxH)</f>
        <v>8487.1368604519193</v>
      </c>
      <c r="AL128" s="40">
        <f ca="1">SUMPRODUCT(OFFSET(tConvElecAxH,0,33,1,_maxLT),INDEX(elecAxH,1,4)*allOnes,tpSurvAxH)</f>
        <v>8487.1368604519193</v>
      </c>
      <c r="AM128" s="10"/>
    </row>
    <row r="129" spans="2:39">
      <c r="B129" s="10"/>
      <c r="C129" s="57" t="str">
        <f>"EL 4: " &amp; INDEX(_doName,1,5)</f>
        <v>EL 4: EL 4</v>
      </c>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3"/>
      <c r="AM129" s="10"/>
    </row>
    <row r="130" spans="2:39">
      <c r="B130" s="10"/>
      <c r="C130" s="16" t="s">
        <v>69</v>
      </c>
      <c r="D130" s="12" t="str">
        <f>_yearDol &amp; "$"</f>
        <v>2015$</v>
      </c>
      <c r="E130" s="13">
        <f t="array" ref="E130:AL130">INDEX(mspAxH,1,5)*tPIdxAll + INDEX(instAxH,1,5) + IF(bESav,SUMPRODUCT(dFactor,tpSurvAxH,INDEX(mrAxH,1,5)*allOnes),0)</f>
        <v>5622.5439436619699</v>
      </c>
      <c r="F130" s="13">
        <v>5622.5439436619699</v>
      </c>
      <c r="G130" s="13">
        <v>5622.5439436619699</v>
      </c>
      <c r="H130" s="13">
        <v>5622.5439436619699</v>
      </c>
      <c r="I130" s="13">
        <v>5622.5439436619699</v>
      </c>
      <c r="J130" s="13">
        <v>5622.5439436619699</v>
      </c>
      <c r="K130" s="13">
        <v>5622.5439436619699</v>
      </c>
      <c r="L130" s="13">
        <v>5622.5439436619699</v>
      </c>
      <c r="M130" s="13">
        <v>5622.5439436619699</v>
      </c>
      <c r="N130" s="13">
        <v>5622.5439436619699</v>
      </c>
      <c r="O130" s="13">
        <v>5622.5439436619699</v>
      </c>
      <c r="P130" s="13">
        <v>5622.5439436619699</v>
      </c>
      <c r="Q130" s="13">
        <v>5622.5439436619699</v>
      </c>
      <c r="R130" s="13">
        <v>5622.5439436619699</v>
      </c>
      <c r="S130" s="13">
        <v>5622.5439436619699</v>
      </c>
      <c r="T130" s="13">
        <v>5622.5439436619699</v>
      </c>
      <c r="U130" s="13">
        <v>5622.5439436619699</v>
      </c>
      <c r="V130" s="13">
        <v>5622.5439436619699</v>
      </c>
      <c r="W130" s="13">
        <v>5622.5439436619699</v>
      </c>
      <c r="X130" s="13">
        <v>5622.5439436619699</v>
      </c>
      <c r="Y130" s="13">
        <v>5622.5439436619699</v>
      </c>
      <c r="Z130" s="13">
        <v>5622.5439436619699</v>
      </c>
      <c r="AA130" s="13">
        <v>5622.5439436619699</v>
      </c>
      <c r="AB130" s="13">
        <v>5622.5439436619699</v>
      </c>
      <c r="AC130" s="13">
        <v>5622.5439436619699</v>
      </c>
      <c r="AD130" s="13">
        <v>5622.5439436619699</v>
      </c>
      <c r="AE130" s="13">
        <v>5622.5439436619699</v>
      </c>
      <c r="AF130" s="13">
        <v>5622.5439436619699</v>
      </c>
      <c r="AG130" s="13">
        <v>5622.5439436619699</v>
      </c>
      <c r="AH130" s="13">
        <v>5622.5439436619699</v>
      </c>
      <c r="AI130" s="13">
        <v>5622.5439436619699</v>
      </c>
      <c r="AJ130" s="13">
        <v>5622.5439436619699</v>
      </c>
      <c r="AK130" s="13">
        <v>5622.5439436619699</v>
      </c>
      <c r="AL130" s="56">
        <v>5622.5439436619699</v>
      </c>
      <c r="AM130" s="10"/>
    </row>
    <row r="131" spans="2:39">
      <c r="B131" s="10"/>
      <c r="C131" s="16" t="str">
        <f>zEO&amp;" Costs"</f>
        <v>Operating Costs</v>
      </c>
      <c r="D131" s="12" t="str">
        <f>_yearDol &amp; "$"</f>
        <v>2015$</v>
      </c>
      <c r="E131" s="13">
        <f t="array" aca="1" ref="E131:AL131" ca="1">(tlccEFuElecbc4) + IF(bOSav,SUMPRODUCT(dFactor,tpSurvAxH,INDEX(mrAxH,1,5)*allOnes),0)</f>
        <v>52757.98021689392</v>
      </c>
      <c r="F131" s="13">
        <f ca="1"/>
        <v>53189.705606123767</v>
      </c>
      <c r="G131" s="13">
        <f ca="1"/>
        <v>53608.036400173798</v>
      </c>
      <c r="H131" s="13">
        <f ca="1"/>
        <v>53984.160489119589</v>
      </c>
      <c r="I131" s="13">
        <f ca="1"/>
        <v>54324.18064221181</v>
      </c>
      <c r="J131" s="13">
        <f ca="1"/>
        <v>54666.388057802767</v>
      </c>
      <c r="K131" s="13">
        <f ca="1"/>
        <v>55010.797138925765</v>
      </c>
      <c r="L131" s="13">
        <f ca="1"/>
        <v>55357.422385835758</v>
      </c>
      <c r="M131" s="13">
        <f ca="1"/>
        <v>55706.278396681759</v>
      </c>
      <c r="N131" s="13">
        <f ca="1"/>
        <v>56057.379868184704</v>
      </c>
      <c r="O131" s="13">
        <f ca="1"/>
        <v>56410.74159631988</v>
      </c>
      <c r="P131" s="13">
        <f ca="1"/>
        <v>56766.378477003986</v>
      </c>
      <c r="Q131" s="13">
        <f ca="1"/>
        <v>57124.305506787445</v>
      </c>
      <c r="R131" s="13">
        <f ca="1"/>
        <v>57484.537783551372</v>
      </c>
      <c r="S131" s="13">
        <f ca="1"/>
        <v>57847.090507209577</v>
      </c>
      <c r="T131" s="13">
        <f ca="1"/>
        <v>58211.978980415559</v>
      </c>
      <c r="U131" s="13">
        <f ca="1"/>
        <v>58579.218609274307</v>
      </c>
      <c r="V131" s="13">
        <f ca="1"/>
        <v>58948.824904059613</v>
      </c>
      <c r="W131" s="13">
        <f ca="1"/>
        <v>59320.813479936063</v>
      </c>
      <c r="X131" s="13">
        <f ca="1"/>
        <v>59695.200057686205</v>
      </c>
      <c r="Y131" s="13">
        <f ca="1"/>
        <v>60072.000464443037</v>
      </c>
      <c r="Z131" s="13">
        <f ca="1"/>
        <v>60451.230634427753</v>
      </c>
      <c r="AA131" s="13">
        <f ca="1"/>
        <v>60832.906609692356</v>
      </c>
      <c r="AB131" s="13">
        <f ca="1"/>
        <v>61217.044540867937</v>
      </c>
      <c r="AC131" s="13">
        <f ca="1"/>
        <v>61603.660687918222</v>
      </c>
      <c r="AD131" s="13">
        <f ca="1"/>
        <v>61992.771420898105</v>
      </c>
      <c r="AE131" s="13">
        <f ca="1"/>
        <v>62384.393220717997</v>
      </c>
      <c r="AF131" s="13">
        <f ca="1"/>
        <v>62778.542679913546</v>
      </c>
      <c r="AG131" s="13">
        <f ca="1"/>
        <v>63175.236503420623</v>
      </c>
      <c r="AH131" s="13">
        <f ca="1"/>
        <v>63574.491509355903</v>
      </c>
      <c r="AI131" s="13">
        <f ca="1"/>
        <v>63976.324629803108</v>
      </c>
      <c r="AJ131" s="13">
        <f ca="1"/>
        <v>64380.752911604679</v>
      </c>
      <c r="AK131" s="13">
        <f ca="1"/>
        <v>64787.7935171594</v>
      </c>
      <c r="AL131" s="56">
        <f ca="1"/>
        <v>65197.463725225076</v>
      </c>
      <c r="AM131" s="10"/>
    </row>
    <row r="132" spans="2:39">
      <c r="B132" s="10"/>
      <c r="C132" s="28" t="str">
        <f>INDEX(_fuel,1)</f>
        <v>Electricity</v>
      </c>
      <c r="D132" s="12" t="str">
        <f>_yearDol &amp; "$"</f>
        <v>2015$</v>
      </c>
      <c r="E132" s="13">
        <f ca="1">SUMPRODUCT(dFactor,tpSurvAxH,INDEX(elecAxH,1,5)*allOnes,OFFSET(tPrcElec,0,0,1,_maxLT))</f>
        <v>52757.98021689392</v>
      </c>
      <c r="F132" s="13">
        <f ca="1">SUMPRODUCT(dFactor,tpSurvAxH,INDEX(elecAxH,1,5)*allOnes,OFFSET(tPrcElec,0,1,1,_maxLT))</f>
        <v>53189.705606123767</v>
      </c>
      <c r="G132" s="13">
        <f ca="1">SUMPRODUCT(dFactor,tpSurvAxH,INDEX(elecAxH,1,5)*allOnes,OFFSET(tPrcElec,0,2,1,_maxLT))</f>
        <v>53608.036400173798</v>
      </c>
      <c r="H132" s="13">
        <f ca="1">SUMPRODUCT(dFactor,tpSurvAxH,INDEX(elecAxH,1,5)*allOnes,OFFSET(tPrcElec,0,3,1,_maxLT))</f>
        <v>53984.160489119589</v>
      </c>
      <c r="I132" s="13">
        <f ca="1">SUMPRODUCT(dFactor,tpSurvAxH,INDEX(elecAxH,1,5)*allOnes,OFFSET(tPrcElec,0,4,1,_maxLT))</f>
        <v>54324.18064221181</v>
      </c>
      <c r="J132" s="13">
        <f ca="1">SUMPRODUCT(dFactor,tpSurvAxH,INDEX(elecAxH,1,5)*allOnes,OFFSET(tPrcElec,0,5,1,_maxLT))</f>
        <v>54666.388057802767</v>
      </c>
      <c r="K132" s="13">
        <f ca="1">SUMPRODUCT(dFactor,tpSurvAxH,INDEX(elecAxH,1,5)*allOnes,OFFSET(tPrcElec,0,6,1,_maxLT))</f>
        <v>55010.797138925765</v>
      </c>
      <c r="L132" s="13">
        <f ca="1">SUMPRODUCT(dFactor,tpSurvAxH,INDEX(elecAxH,1,5)*allOnes,OFFSET(tPrcElec,0,7,1,_maxLT))</f>
        <v>55357.422385835758</v>
      </c>
      <c r="M132" s="13">
        <f ca="1">SUMPRODUCT(dFactor,tpSurvAxH,INDEX(elecAxH,1,5)*allOnes,OFFSET(tPrcElec,0,8,1,_maxLT))</f>
        <v>55706.278396681759</v>
      </c>
      <c r="N132" s="13">
        <f ca="1">SUMPRODUCT(dFactor,tpSurvAxH,INDEX(elecAxH,1,5)*allOnes,OFFSET(tPrcElec,0,9,1,_maxLT))</f>
        <v>56057.379868184704</v>
      </c>
      <c r="O132" s="13">
        <f ca="1">SUMPRODUCT(dFactor,tpSurvAxH,INDEX(elecAxH,1,5)*allOnes,OFFSET(tPrcElec,0,10,1,_maxLT))</f>
        <v>56410.74159631988</v>
      </c>
      <c r="P132" s="13">
        <f ca="1">SUMPRODUCT(dFactor,tpSurvAxH,INDEX(elecAxH,1,5)*allOnes,OFFSET(tPrcElec,0,11,1,_maxLT))</f>
        <v>56766.378477003986</v>
      </c>
      <c r="Q132" s="13">
        <f ca="1">SUMPRODUCT(dFactor,tpSurvAxH,INDEX(elecAxH,1,5)*allOnes,OFFSET(tPrcElec,0,12,1,_maxLT))</f>
        <v>57124.305506787445</v>
      </c>
      <c r="R132" s="13">
        <f ca="1">SUMPRODUCT(dFactor,tpSurvAxH,INDEX(elecAxH,1,5)*allOnes,OFFSET(tPrcElec,0,13,1,_maxLT))</f>
        <v>57484.537783551372</v>
      </c>
      <c r="S132" s="13">
        <f ca="1">SUMPRODUCT(dFactor,tpSurvAxH,INDEX(elecAxH,1,5)*allOnes,OFFSET(tPrcElec,0,14,1,_maxLT))</f>
        <v>57847.090507209577</v>
      </c>
      <c r="T132" s="13">
        <f ca="1">SUMPRODUCT(dFactor,tpSurvAxH,INDEX(elecAxH,1,5)*allOnes,OFFSET(tPrcElec,0,15,1,_maxLT))</f>
        <v>58211.978980415559</v>
      </c>
      <c r="U132" s="13">
        <f ca="1">SUMPRODUCT(dFactor,tpSurvAxH,INDEX(elecAxH,1,5)*allOnes,OFFSET(tPrcElec,0,16,1,_maxLT))</f>
        <v>58579.218609274307</v>
      </c>
      <c r="V132" s="13">
        <f ca="1">SUMPRODUCT(dFactor,tpSurvAxH,INDEX(elecAxH,1,5)*allOnes,OFFSET(tPrcElec,0,17,1,_maxLT))</f>
        <v>58948.824904059613</v>
      </c>
      <c r="W132" s="13">
        <f ca="1">SUMPRODUCT(dFactor,tpSurvAxH,INDEX(elecAxH,1,5)*allOnes,OFFSET(tPrcElec,0,18,1,_maxLT))</f>
        <v>59320.813479936063</v>
      </c>
      <c r="X132" s="13">
        <f ca="1">SUMPRODUCT(dFactor,tpSurvAxH,INDEX(elecAxH,1,5)*allOnes,OFFSET(tPrcElec,0,19,1,_maxLT))</f>
        <v>59695.200057686205</v>
      </c>
      <c r="Y132" s="13">
        <f ca="1">SUMPRODUCT(dFactor,tpSurvAxH,INDEX(elecAxH,1,5)*allOnes,OFFSET(tPrcElec,0,20,1,_maxLT))</f>
        <v>60072.000464443037</v>
      </c>
      <c r="Z132" s="13">
        <f ca="1">SUMPRODUCT(dFactor,tpSurvAxH,INDEX(elecAxH,1,5)*allOnes,OFFSET(tPrcElec,0,21,1,_maxLT))</f>
        <v>60451.230634427753</v>
      </c>
      <c r="AA132" s="13">
        <f ca="1">SUMPRODUCT(dFactor,tpSurvAxH,INDEX(elecAxH,1,5)*allOnes,OFFSET(tPrcElec,0,22,1,_maxLT))</f>
        <v>60832.906609692356</v>
      </c>
      <c r="AB132" s="13">
        <f ca="1">SUMPRODUCT(dFactor,tpSurvAxH,INDEX(elecAxH,1,5)*allOnes,OFFSET(tPrcElec,0,23,1,_maxLT))</f>
        <v>61217.044540867937</v>
      </c>
      <c r="AC132" s="13">
        <f ca="1">SUMPRODUCT(dFactor,tpSurvAxH,INDEX(elecAxH,1,5)*allOnes,OFFSET(tPrcElec,0,24,1,_maxLT))</f>
        <v>61603.660687918222</v>
      </c>
      <c r="AD132" s="13">
        <f ca="1">SUMPRODUCT(dFactor,tpSurvAxH,INDEX(elecAxH,1,5)*allOnes,OFFSET(tPrcElec,0,25,1,_maxLT))</f>
        <v>61992.771420898105</v>
      </c>
      <c r="AE132" s="13">
        <f ca="1">SUMPRODUCT(dFactor,tpSurvAxH,INDEX(elecAxH,1,5)*allOnes,OFFSET(tPrcElec,0,26,1,_maxLT))</f>
        <v>62384.393220717997</v>
      </c>
      <c r="AF132" s="13">
        <f ca="1">SUMPRODUCT(dFactor,tpSurvAxH,INDEX(elecAxH,1,5)*allOnes,OFFSET(tPrcElec,0,27,1,_maxLT))</f>
        <v>62778.542679913546</v>
      </c>
      <c r="AG132" s="13">
        <f ca="1">SUMPRODUCT(dFactor,tpSurvAxH,INDEX(elecAxH,1,5)*allOnes,OFFSET(tPrcElec,0,28,1,_maxLT))</f>
        <v>63175.236503420623</v>
      </c>
      <c r="AH132" s="13">
        <f ca="1">SUMPRODUCT(dFactor,tpSurvAxH,INDEX(elecAxH,1,5)*allOnes,OFFSET(tPrcElec,0,29,1,_maxLT))</f>
        <v>63574.491509355903</v>
      </c>
      <c r="AI132" s="13">
        <f ca="1">SUMPRODUCT(dFactor,tpSurvAxH,INDEX(elecAxH,1,5)*allOnes,OFFSET(tPrcElec,0,30,1,_maxLT))</f>
        <v>63976.324629803108</v>
      </c>
      <c r="AJ132" s="13">
        <f ca="1">SUMPRODUCT(dFactor,tpSurvAxH,INDEX(elecAxH,1,5)*allOnes,OFFSET(tPrcElec,0,31,1,_maxLT))</f>
        <v>64380.752911604679</v>
      </c>
      <c r="AK132" s="13">
        <f ca="1">SUMPRODUCT(dFactor,tpSurvAxH,INDEX(elecAxH,1,5)*allOnes,OFFSET(tPrcElec,0,32,1,_maxLT))</f>
        <v>64787.7935171594</v>
      </c>
      <c r="AL132" s="56">
        <f ca="1">SUMPRODUCT(dFactor,tpSurvAxH,INDEX(elecAxH,1,5)*allOnes,OFFSET(tPrcElec,0,33,1,_maxLT))</f>
        <v>65197.463725225076</v>
      </c>
      <c r="AM132" s="10"/>
    </row>
    <row r="133" spans="2:39">
      <c r="B133" s="10"/>
      <c r="C133" s="16" t="s">
        <v>79</v>
      </c>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5"/>
      <c r="AM133" s="10"/>
    </row>
    <row r="134" spans="2:39">
      <c r="B134" s="10"/>
      <c r="C134" s="28" t="str">
        <f>INDEX(_fuel,1)</f>
        <v>Electricity</v>
      </c>
      <c r="D134" s="12" t="s">
        <v>83</v>
      </c>
      <c r="E134" s="39">
        <f ca="1">SUMPRODUCT(OFFSET(tConvElecAxH,0,0,1,_maxLT),INDEX(elecAxH,1,5)*allOnes,tpSurvAxH)</f>
        <v>10631.095301245497</v>
      </c>
      <c r="F134" s="39">
        <f ca="1">SUMPRODUCT(OFFSET(tConvElecAxH,0,1,1,_maxLT),INDEX(elecAxH,1,5)*allOnes,tpSurvAxH)</f>
        <v>10554.441288259446</v>
      </c>
      <c r="G134" s="39">
        <f ca="1">SUMPRODUCT(OFFSET(tConvElecAxH,0,2,1,_maxLT),INDEX(elecAxH,1,5)*allOnes,tpSurvAxH)</f>
        <v>10486.507207325667</v>
      </c>
      <c r="H134" s="39">
        <f ca="1">SUMPRODUCT(OFFSET(tConvElecAxH,0,3,1,_maxLT),INDEX(elecAxH,1,5)*allOnes,tpSurvAxH)</f>
        <v>10421.607710522774</v>
      </c>
      <c r="I134" s="39">
        <f ca="1">SUMPRODUCT(OFFSET(tConvElecAxH,0,4,1,_maxLT),INDEX(elecAxH,1,5)*allOnes,tpSurvAxH)</f>
        <v>10364.555394669373</v>
      </c>
      <c r="J134" s="39">
        <f ca="1">SUMPRODUCT(OFFSET(tConvElecAxH,0,5,1,_maxLT),INDEX(elecAxH,1,5)*allOnes,tpSurvAxH)</f>
        <v>10320.029150192724</v>
      </c>
      <c r="K134" s="39">
        <f ca="1">SUMPRODUCT(OFFSET(tConvElecAxH,0,6,1,_maxLT),INDEX(elecAxH,1,5)*allOnes,tpSurvAxH)</f>
        <v>10283.064964087167</v>
      </c>
      <c r="L134" s="39">
        <f ca="1">SUMPRODUCT(OFFSET(tConvElecAxH,0,7,1,_maxLT),INDEX(elecAxH,1,5)*allOnes,tpSurvAxH)</f>
        <v>10245.72251535563</v>
      </c>
      <c r="M134" s="39">
        <f ca="1">SUMPRODUCT(OFFSET(tConvElecAxH,0,8,1,_maxLT),INDEX(elecAxH,1,5)*allOnes,tpSurvAxH)</f>
        <v>10215.578307396527</v>
      </c>
      <c r="N134" s="39">
        <f ca="1">SUMPRODUCT(OFFSET(tConvElecAxH,0,9,1,_maxLT),INDEX(elecAxH,1,5)*allOnes,tpSurvAxH)</f>
        <v>10194.539454876633</v>
      </c>
      <c r="O134" s="39">
        <f ca="1">SUMPRODUCT(OFFSET(tConvElecAxH,0,10,1,_maxLT),INDEX(elecAxH,1,5)*allOnes,tpSurvAxH)</f>
        <v>10178.907768054238</v>
      </c>
      <c r="P134" s="39">
        <f ca="1">SUMPRODUCT(OFFSET(tConvElecAxH,0,11,1,_maxLT),INDEX(elecAxH,1,5)*allOnes,tpSurvAxH)</f>
        <v>10165.632979396863</v>
      </c>
      <c r="Q134" s="39">
        <f ca="1">SUMPRODUCT(OFFSET(tConvElecAxH,0,12,1,_maxLT),INDEX(elecAxH,1,5)*allOnes,tpSurvAxH)</f>
        <v>10155.728423271446</v>
      </c>
      <c r="R134" s="39">
        <f ca="1">SUMPRODUCT(OFFSET(tConvElecAxH,0,13,1,_maxLT),INDEX(elecAxH,1,5)*allOnes,tpSurvAxH)</f>
        <v>10148.104845290058</v>
      </c>
      <c r="S134" s="39">
        <f ca="1">SUMPRODUCT(OFFSET(tConvElecAxH,0,14,1,_maxLT),INDEX(elecAxH,1,5)*allOnes,tpSurvAxH)</f>
        <v>10146.708639140616</v>
      </c>
      <c r="T134" s="39">
        <f ca="1">SUMPRODUCT(OFFSET(tConvElecAxH,0,15,1,_maxLT),INDEX(elecAxH,1,5)*allOnes,tpSurvAxH)</f>
        <v>10147.980288775505</v>
      </c>
      <c r="U134" s="39">
        <f ca="1">SUMPRODUCT(OFFSET(tConvElecAxH,0,16,1,_maxLT),INDEX(elecAxH,1,5)*allOnes,tpSurvAxH)</f>
        <v>10150.091393363224</v>
      </c>
      <c r="V134" s="39">
        <f ca="1">SUMPRODUCT(OFFSET(tConvElecAxH,0,17,1,_maxLT),INDEX(elecAxH,1,5)*allOnes,tpSurvAxH)</f>
        <v>10153.345037277328</v>
      </c>
      <c r="W134" s="39">
        <f ca="1">SUMPRODUCT(OFFSET(tConvElecAxH,0,18,1,_maxLT),INDEX(elecAxH,1,5)*allOnes,tpSurvAxH)</f>
        <v>10156.512079225444</v>
      </c>
      <c r="X134" s="39">
        <f ca="1">SUMPRODUCT(OFFSET(tConvElecAxH,0,19,1,_maxLT),INDEX(elecAxH,1,5)*allOnes,tpSurvAxH)</f>
        <v>10159.153438592457</v>
      </c>
      <c r="Y134" s="39">
        <f ca="1">SUMPRODUCT(OFFSET(tConvElecAxH,0,20,1,_maxLT),INDEX(elecAxH,1,5)*allOnes,tpSurvAxH)</f>
        <v>10160.912482286283</v>
      </c>
      <c r="Z134" s="39">
        <f ca="1">SUMPRODUCT(OFFSET(tConvElecAxH,0,21,1,_maxLT),INDEX(elecAxH,1,5)*allOnes,tpSurvAxH)</f>
        <v>10162.115172996842</v>
      </c>
      <c r="AA134" s="39">
        <f ca="1">SUMPRODUCT(OFFSET(tConvElecAxH,0,22,1,_maxLT),INDEX(elecAxH,1,5)*allOnes,tpSurvAxH)</f>
        <v>10162.115172996842</v>
      </c>
      <c r="AB134" s="39">
        <f ca="1">SUMPRODUCT(OFFSET(tConvElecAxH,0,23,1,_maxLT),INDEX(elecAxH,1,5)*allOnes,tpSurvAxH)</f>
        <v>10162.115172996842</v>
      </c>
      <c r="AC134" s="39">
        <f ca="1">SUMPRODUCT(OFFSET(tConvElecAxH,0,24,1,_maxLT),INDEX(elecAxH,1,5)*allOnes,tpSurvAxH)</f>
        <v>10162.115172996842</v>
      </c>
      <c r="AD134" s="39">
        <f ca="1">SUMPRODUCT(OFFSET(tConvElecAxH,0,25,1,_maxLT),INDEX(elecAxH,1,5)*allOnes,tpSurvAxH)</f>
        <v>10162.115172996842</v>
      </c>
      <c r="AE134" s="39">
        <f ca="1">SUMPRODUCT(OFFSET(tConvElecAxH,0,26,1,_maxLT),INDEX(elecAxH,1,5)*allOnes,tpSurvAxH)</f>
        <v>10162.115172996842</v>
      </c>
      <c r="AF134" s="39">
        <f ca="1">SUMPRODUCT(OFFSET(tConvElecAxH,0,27,1,_maxLT),INDEX(elecAxH,1,5)*allOnes,tpSurvAxH)</f>
        <v>10162.115172996842</v>
      </c>
      <c r="AG134" s="39">
        <f ca="1">SUMPRODUCT(OFFSET(tConvElecAxH,0,28,1,_maxLT),INDEX(elecAxH,1,5)*allOnes,tpSurvAxH)</f>
        <v>10162.115172996842</v>
      </c>
      <c r="AH134" s="39">
        <f ca="1">SUMPRODUCT(OFFSET(tConvElecAxH,0,29,1,_maxLT),INDEX(elecAxH,1,5)*allOnes,tpSurvAxH)</f>
        <v>10162.115172996842</v>
      </c>
      <c r="AI134" s="39">
        <f ca="1">SUMPRODUCT(OFFSET(tConvElecAxH,0,30,1,_maxLT),INDEX(elecAxH,1,5)*allOnes,tpSurvAxH)</f>
        <v>10162.115172996842</v>
      </c>
      <c r="AJ134" s="39">
        <f ca="1">SUMPRODUCT(OFFSET(tConvElecAxH,0,31,1,_maxLT),INDEX(elecAxH,1,5)*allOnes,tpSurvAxH)</f>
        <v>10162.115172996842</v>
      </c>
      <c r="AK134" s="39">
        <f ca="1">SUMPRODUCT(OFFSET(tConvElecAxH,0,32,1,_maxLT),INDEX(elecAxH,1,5)*allOnes,tpSurvAxH)</f>
        <v>10162.115172996842</v>
      </c>
      <c r="AL134" s="40">
        <f ca="1">SUMPRODUCT(OFFSET(tConvElecAxH,0,33,1,_maxLT),INDEX(elecAxH,1,5)*allOnes,tpSurvAxH)</f>
        <v>10162.115172996842</v>
      </c>
      <c r="AM134" s="10"/>
    </row>
    <row r="135" spans="2:39">
      <c r="B135" s="10"/>
      <c r="C135" s="57" t="str">
        <f>"EL 5: " &amp; INDEX(_doName,1,6)</f>
        <v>EL 5: EL 5</v>
      </c>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3"/>
      <c r="AM135" s="10"/>
    </row>
    <row r="136" spans="2:39">
      <c r="B136" s="10"/>
      <c r="C136" s="16" t="s">
        <v>69</v>
      </c>
      <c r="D136" s="12" t="str">
        <f>_yearDol &amp; "$"</f>
        <v>2015$</v>
      </c>
      <c r="E136" s="13">
        <f t="array" ref="E136:AL136">INDEX(mspAxH,1,6)*tPIdxAll + INDEX(instAxH,1,6) + IF(bESav,SUMPRODUCT(dFactor,tpSurvAxH,INDEX(mrAxH,1,6)*allOnes),0)</f>
        <v>6430.7128342618098</v>
      </c>
      <c r="F136" s="13">
        <v>6430.7128342618098</v>
      </c>
      <c r="G136" s="13">
        <v>6430.7128342618098</v>
      </c>
      <c r="H136" s="13">
        <v>6430.7128342618098</v>
      </c>
      <c r="I136" s="13">
        <v>6430.7128342618098</v>
      </c>
      <c r="J136" s="13">
        <v>6430.7128342618098</v>
      </c>
      <c r="K136" s="13">
        <v>6430.7128342618098</v>
      </c>
      <c r="L136" s="13">
        <v>6430.7128342618098</v>
      </c>
      <c r="M136" s="13">
        <v>6430.7128342618098</v>
      </c>
      <c r="N136" s="13">
        <v>6430.7128342618098</v>
      </c>
      <c r="O136" s="13">
        <v>6430.7128342618098</v>
      </c>
      <c r="P136" s="13">
        <v>6430.7128342618098</v>
      </c>
      <c r="Q136" s="13">
        <v>6430.7128342618098</v>
      </c>
      <c r="R136" s="13">
        <v>6430.7128342618098</v>
      </c>
      <c r="S136" s="13">
        <v>6430.7128342618098</v>
      </c>
      <c r="T136" s="13">
        <v>6430.7128342618098</v>
      </c>
      <c r="U136" s="13">
        <v>6430.7128342618098</v>
      </c>
      <c r="V136" s="13">
        <v>6430.7128342618098</v>
      </c>
      <c r="W136" s="13">
        <v>6430.7128342618098</v>
      </c>
      <c r="X136" s="13">
        <v>6430.7128342618098</v>
      </c>
      <c r="Y136" s="13">
        <v>6430.7128342618098</v>
      </c>
      <c r="Z136" s="13">
        <v>6430.7128342618098</v>
      </c>
      <c r="AA136" s="13">
        <v>6430.7128342618098</v>
      </c>
      <c r="AB136" s="13">
        <v>6430.7128342618098</v>
      </c>
      <c r="AC136" s="13">
        <v>6430.7128342618098</v>
      </c>
      <c r="AD136" s="13">
        <v>6430.7128342618098</v>
      </c>
      <c r="AE136" s="13">
        <v>6430.7128342618098</v>
      </c>
      <c r="AF136" s="13">
        <v>6430.7128342618098</v>
      </c>
      <c r="AG136" s="13">
        <v>6430.7128342618098</v>
      </c>
      <c r="AH136" s="13">
        <v>6430.7128342618098</v>
      </c>
      <c r="AI136" s="13">
        <v>6430.7128342618098</v>
      </c>
      <c r="AJ136" s="13">
        <v>6430.7128342618098</v>
      </c>
      <c r="AK136" s="13">
        <v>6430.7128342618098</v>
      </c>
      <c r="AL136" s="56">
        <v>6430.7128342618098</v>
      </c>
      <c r="AM136" s="10"/>
    </row>
    <row r="137" spans="2:39">
      <c r="B137" s="10"/>
      <c r="C137" s="16" t="str">
        <f>zEO&amp;" Costs"</f>
        <v>Operating Costs</v>
      </c>
      <c r="D137" s="12" t="str">
        <f>_yearDol &amp; "$"</f>
        <v>2015$</v>
      </c>
      <c r="E137" s="13">
        <f t="array" aca="1" ref="E137:AL137" ca="1">(tlccEFuElecbc5) + IF(bOSav,SUMPRODUCT(dFactor,tpSurvAxH,INDEX(mrAxH,1,6)*allOnes),0)</f>
        <v>64255.050575274661</v>
      </c>
      <c r="F137" s="13">
        <f ca="1"/>
        <v>64780.857981197878</v>
      </c>
      <c r="G137" s="13">
        <f ca="1"/>
        <v>65290.351828732833</v>
      </c>
      <c r="H137" s="13">
        <f ca="1"/>
        <v>65748.441244939342</v>
      </c>
      <c r="I137" s="13">
        <f ca="1"/>
        <v>66162.558920478434</v>
      </c>
      <c r="J137" s="13">
        <f ca="1"/>
        <v>66579.340508887079</v>
      </c>
      <c r="K137" s="13">
        <f ca="1"/>
        <v>66998.803551921781</v>
      </c>
      <c r="L137" s="13">
        <f ca="1"/>
        <v>67420.965709747048</v>
      </c>
      <c r="M137" s="13">
        <f ca="1"/>
        <v>67845.844761754852</v>
      </c>
      <c r="N137" s="13">
        <f ca="1"/>
        <v>68273.458607389693</v>
      </c>
      <c r="O137" s="13">
        <f ca="1"/>
        <v>68703.82526698029</v>
      </c>
      <c r="P137" s="13">
        <f ca="1"/>
        <v>69136.96288257603</v>
      </c>
      <c r="Q137" s="13">
        <f ca="1"/>
        <v>69572.889718790058</v>
      </c>
      <c r="R137" s="13">
        <f ca="1"/>
        <v>70011.624163648507</v>
      </c>
      <c r="S137" s="13">
        <f ca="1"/>
        <v>70453.184729445231</v>
      </c>
      <c r="T137" s="13">
        <f ca="1"/>
        <v>70897.590053602704</v>
      </c>
      <c r="U137" s="13">
        <f ca="1"/>
        <v>71344.858899539482</v>
      </c>
      <c r="V137" s="13">
        <f ca="1"/>
        <v>71795.010157543191</v>
      </c>
      <c r="W137" s="13">
        <f ca="1"/>
        <v>72248.062845650289</v>
      </c>
      <c r="X137" s="13">
        <f ca="1"/>
        <v>72704.036110531495</v>
      </c>
      <c r="Y137" s="13">
        <f ca="1"/>
        <v>73162.94922838427</v>
      </c>
      <c r="Z137" s="13">
        <f ca="1"/>
        <v>73624.821605830526</v>
      </c>
      <c r="AA137" s="13">
        <f ca="1"/>
        <v>74089.672780821827</v>
      </c>
      <c r="AB137" s="13">
        <f ca="1"/>
        <v>74557.522423550676</v>
      </c>
      <c r="AC137" s="13">
        <f ca="1"/>
        <v>75028.390337367789</v>
      </c>
      <c r="AD137" s="13">
        <f ca="1"/>
        <v>75502.29645970634</v>
      </c>
      <c r="AE137" s="13">
        <f ca="1"/>
        <v>75979.26086301294</v>
      </c>
      <c r="AF137" s="13">
        <f ca="1"/>
        <v>76459.303755684479</v>
      </c>
      <c r="AG137" s="13">
        <f ca="1"/>
        <v>76942.445483012882</v>
      </c>
      <c r="AH137" s="13">
        <f ca="1"/>
        <v>77428.706528134993</v>
      </c>
      <c r="AI137" s="13">
        <f ca="1"/>
        <v>77918.1075129909</v>
      </c>
      <c r="AJ137" s="13">
        <f ca="1"/>
        <v>78410.669199287528</v>
      </c>
      <c r="AK137" s="13">
        <f ca="1"/>
        <v>78906.412489469949</v>
      </c>
      <c r="AL137" s="56">
        <f ca="1"/>
        <v>79405.358427700106</v>
      </c>
      <c r="AM137" s="10"/>
    </row>
    <row r="138" spans="2:39">
      <c r="B138" s="10"/>
      <c r="C138" s="28" t="str">
        <f>INDEX(_fuel,1)</f>
        <v>Electricity</v>
      </c>
      <c r="D138" s="12" t="str">
        <f>_yearDol &amp; "$"</f>
        <v>2015$</v>
      </c>
      <c r="E138" s="13">
        <f ca="1">SUMPRODUCT(dFactor,tpSurvAxH,INDEX(elecAxH,1,6)*allOnes,OFFSET(tPrcElec,0,0,1,_maxLT))</f>
        <v>64255.050575274661</v>
      </c>
      <c r="F138" s="13">
        <f ca="1">SUMPRODUCT(dFactor,tpSurvAxH,INDEX(elecAxH,1,6)*allOnes,OFFSET(tPrcElec,0,1,1,_maxLT))</f>
        <v>64780.857981197878</v>
      </c>
      <c r="G138" s="13">
        <f ca="1">SUMPRODUCT(dFactor,tpSurvAxH,INDEX(elecAxH,1,6)*allOnes,OFFSET(tPrcElec,0,2,1,_maxLT))</f>
        <v>65290.351828732833</v>
      </c>
      <c r="H138" s="13">
        <f ca="1">SUMPRODUCT(dFactor,tpSurvAxH,INDEX(elecAxH,1,6)*allOnes,OFFSET(tPrcElec,0,3,1,_maxLT))</f>
        <v>65748.441244939342</v>
      </c>
      <c r="I138" s="13">
        <f ca="1">SUMPRODUCT(dFactor,tpSurvAxH,INDEX(elecAxH,1,6)*allOnes,OFFSET(tPrcElec,0,4,1,_maxLT))</f>
        <v>66162.558920478434</v>
      </c>
      <c r="J138" s="13">
        <f ca="1">SUMPRODUCT(dFactor,tpSurvAxH,INDEX(elecAxH,1,6)*allOnes,OFFSET(tPrcElec,0,5,1,_maxLT))</f>
        <v>66579.340508887079</v>
      </c>
      <c r="K138" s="13">
        <f ca="1">SUMPRODUCT(dFactor,tpSurvAxH,INDEX(elecAxH,1,6)*allOnes,OFFSET(tPrcElec,0,6,1,_maxLT))</f>
        <v>66998.803551921781</v>
      </c>
      <c r="L138" s="13">
        <f ca="1">SUMPRODUCT(dFactor,tpSurvAxH,INDEX(elecAxH,1,6)*allOnes,OFFSET(tPrcElec,0,7,1,_maxLT))</f>
        <v>67420.965709747048</v>
      </c>
      <c r="M138" s="13">
        <f ca="1">SUMPRODUCT(dFactor,tpSurvAxH,INDEX(elecAxH,1,6)*allOnes,OFFSET(tPrcElec,0,8,1,_maxLT))</f>
        <v>67845.844761754852</v>
      </c>
      <c r="N138" s="13">
        <f ca="1">SUMPRODUCT(dFactor,tpSurvAxH,INDEX(elecAxH,1,6)*allOnes,OFFSET(tPrcElec,0,9,1,_maxLT))</f>
        <v>68273.458607389693</v>
      </c>
      <c r="O138" s="13">
        <f ca="1">SUMPRODUCT(dFactor,tpSurvAxH,INDEX(elecAxH,1,6)*allOnes,OFFSET(tPrcElec,0,10,1,_maxLT))</f>
        <v>68703.82526698029</v>
      </c>
      <c r="P138" s="13">
        <f ca="1">SUMPRODUCT(dFactor,tpSurvAxH,INDEX(elecAxH,1,6)*allOnes,OFFSET(tPrcElec,0,11,1,_maxLT))</f>
        <v>69136.96288257603</v>
      </c>
      <c r="Q138" s="13">
        <f ca="1">SUMPRODUCT(dFactor,tpSurvAxH,INDEX(elecAxH,1,6)*allOnes,OFFSET(tPrcElec,0,12,1,_maxLT))</f>
        <v>69572.889718790058</v>
      </c>
      <c r="R138" s="13">
        <f ca="1">SUMPRODUCT(dFactor,tpSurvAxH,INDEX(elecAxH,1,6)*allOnes,OFFSET(tPrcElec,0,13,1,_maxLT))</f>
        <v>70011.624163648507</v>
      </c>
      <c r="S138" s="13">
        <f ca="1">SUMPRODUCT(dFactor,tpSurvAxH,INDEX(elecAxH,1,6)*allOnes,OFFSET(tPrcElec,0,14,1,_maxLT))</f>
        <v>70453.184729445231</v>
      </c>
      <c r="T138" s="13">
        <f ca="1">SUMPRODUCT(dFactor,tpSurvAxH,INDEX(elecAxH,1,6)*allOnes,OFFSET(tPrcElec,0,15,1,_maxLT))</f>
        <v>70897.590053602704</v>
      </c>
      <c r="U138" s="13">
        <f ca="1">SUMPRODUCT(dFactor,tpSurvAxH,INDEX(elecAxH,1,6)*allOnes,OFFSET(tPrcElec,0,16,1,_maxLT))</f>
        <v>71344.858899539482</v>
      </c>
      <c r="V138" s="13">
        <f ca="1">SUMPRODUCT(dFactor,tpSurvAxH,INDEX(elecAxH,1,6)*allOnes,OFFSET(tPrcElec,0,17,1,_maxLT))</f>
        <v>71795.010157543191</v>
      </c>
      <c r="W138" s="13">
        <f ca="1">SUMPRODUCT(dFactor,tpSurvAxH,INDEX(elecAxH,1,6)*allOnes,OFFSET(tPrcElec,0,18,1,_maxLT))</f>
        <v>72248.062845650289</v>
      </c>
      <c r="X138" s="13">
        <f ca="1">SUMPRODUCT(dFactor,tpSurvAxH,INDEX(elecAxH,1,6)*allOnes,OFFSET(tPrcElec,0,19,1,_maxLT))</f>
        <v>72704.036110531495</v>
      </c>
      <c r="Y138" s="13">
        <f ca="1">SUMPRODUCT(dFactor,tpSurvAxH,INDEX(elecAxH,1,6)*allOnes,OFFSET(tPrcElec,0,20,1,_maxLT))</f>
        <v>73162.94922838427</v>
      </c>
      <c r="Z138" s="13">
        <f ca="1">SUMPRODUCT(dFactor,tpSurvAxH,INDEX(elecAxH,1,6)*allOnes,OFFSET(tPrcElec,0,21,1,_maxLT))</f>
        <v>73624.821605830526</v>
      </c>
      <c r="AA138" s="13">
        <f ca="1">SUMPRODUCT(dFactor,tpSurvAxH,INDEX(elecAxH,1,6)*allOnes,OFFSET(tPrcElec,0,22,1,_maxLT))</f>
        <v>74089.672780821827</v>
      </c>
      <c r="AB138" s="13">
        <f ca="1">SUMPRODUCT(dFactor,tpSurvAxH,INDEX(elecAxH,1,6)*allOnes,OFFSET(tPrcElec,0,23,1,_maxLT))</f>
        <v>74557.522423550676</v>
      </c>
      <c r="AC138" s="13">
        <f ca="1">SUMPRODUCT(dFactor,tpSurvAxH,INDEX(elecAxH,1,6)*allOnes,OFFSET(tPrcElec,0,24,1,_maxLT))</f>
        <v>75028.390337367789</v>
      </c>
      <c r="AD138" s="13">
        <f ca="1">SUMPRODUCT(dFactor,tpSurvAxH,INDEX(elecAxH,1,6)*allOnes,OFFSET(tPrcElec,0,25,1,_maxLT))</f>
        <v>75502.29645970634</v>
      </c>
      <c r="AE138" s="13">
        <f ca="1">SUMPRODUCT(dFactor,tpSurvAxH,INDEX(elecAxH,1,6)*allOnes,OFFSET(tPrcElec,0,26,1,_maxLT))</f>
        <v>75979.26086301294</v>
      </c>
      <c r="AF138" s="13">
        <f ca="1">SUMPRODUCT(dFactor,tpSurvAxH,INDEX(elecAxH,1,6)*allOnes,OFFSET(tPrcElec,0,27,1,_maxLT))</f>
        <v>76459.303755684479</v>
      </c>
      <c r="AG138" s="13">
        <f ca="1">SUMPRODUCT(dFactor,tpSurvAxH,INDEX(elecAxH,1,6)*allOnes,OFFSET(tPrcElec,0,28,1,_maxLT))</f>
        <v>76942.445483012882</v>
      </c>
      <c r="AH138" s="13">
        <f ca="1">SUMPRODUCT(dFactor,tpSurvAxH,INDEX(elecAxH,1,6)*allOnes,OFFSET(tPrcElec,0,29,1,_maxLT))</f>
        <v>77428.706528134993</v>
      </c>
      <c r="AI138" s="13">
        <f ca="1">SUMPRODUCT(dFactor,tpSurvAxH,INDEX(elecAxH,1,6)*allOnes,OFFSET(tPrcElec,0,30,1,_maxLT))</f>
        <v>77918.1075129909</v>
      </c>
      <c r="AJ138" s="13">
        <f ca="1">SUMPRODUCT(dFactor,tpSurvAxH,INDEX(elecAxH,1,6)*allOnes,OFFSET(tPrcElec,0,31,1,_maxLT))</f>
        <v>78410.669199287528</v>
      </c>
      <c r="AK138" s="13">
        <f ca="1">SUMPRODUCT(dFactor,tpSurvAxH,INDEX(elecAxH,1,6)*allOnes,OFFSET(tPrcElec,0,32,1,_maxLT))</f>
        <v>78906.412489469949</v>
      </c>
      <c r="AL138" s="56">
        <f ca="1">SUMPRODUCT(dFactor,tpSurvAxH,INDEX(elecAxH,1,6)*allOnes,OFFSET(tPrcElec,0,33,1,_maxLT))</f>
        <v>79405.358427700106</v>
      </c>
      <c r="AM138" s="10"/>
    </row>
    <row r="139" spans="2:39">
      <c r="B139" s="10"/>
      <c r="C139" s="16" t="s">
        <v>79</v>
      </c>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5"/>
      <c r="AM139" s="10"/>
    </row>
    <row r="140" spans="2:39">
      <c r="B140" s="10"/>
      <c r="C140" s="28" t="str">
        <f>INDEX(_fuel,1)</f>
        <v>Electricity</v>
      </c>
      <c r="D140" s="12" t="s">
        <v>83</v>
      </c>
      <c r="E140" s="39">
        <f ca="1">SUMPRODUCT(OFFSET(tConvElecAxH,0,0,1,_maxLT),INDEX(elecAxH,1,6)*allOnes,tpSurvAxH)</f>
        <v>12947.833928512584</v>
      </c>
      <c r="F140" s="39">
        <f ca="1">SUMPRODUCT(OFFSET(tConvElecAxH,0,1,1,_maxLT),INDEX(elecAxH,1,6)*allOnes,tpSurvAxH)</f>
        <v>12854.475398467126</v>
      </c>
      <c r="G140" s="39">
        <f ca="1">SUMPRODUCT(OFFSET(tConvElecAxH,0,2,1,_maxLT),INDEX(elecAxH,1,6)*allOnes,tpSurvAxH)</f>
        <v>12771.737056547297</v>
      </c>
      <c r="H140" s="39">
        <f ca="1">SUMPRODUCT(OFFSET(tConvElecAxH,0,3,1,_maxLT),INDEX(elecAxH,1,6)*allOnes,tpSurvAxH)</f>
        <v>12692.694598283435</v>
      </c>
      <c r="I140" s="39">
        <f ca="1">SUMPRODUCT(OFFSET(tConvElecAxH,0,4,1,_maxLT),INDEX(elecAxH,1,6)*allOnes,tpSurvAxH)</f>
        <v>12623.209386273305</v>
      </c>
      <c r="J140" s="39">
        <f ca="1">SUMPRODUCT(OFFSET(tConvElecAxH,0,5,1,_maxLT),INDEX(elecAxH,1,6)*allOnes,tpSurvAxH)</f>
        <v>12568.979939296527</v>
      </c>
      <c r="K140" s="39">
        <f ca="1">SUMPRODUCT(OFFSET(tConvElecAxH,0,6,1,_maxLT),INDEX(elecAxH,1,6)*allOnes,tpSurvAxH)</f>
        <v>12523.960481805507</v>
      </c>
      <c r="L140" s="39">
        <f ca="1">SUMPRODUCT(OFFSET(tConvElecAxH,0,7,1,_maxLT),INDEX(elecAxH,1,6)*allOnes,tpSurvAxH)</f>
        <v>12478.480330329181</v>
      </c>
      <c r="M140" s="39">
        <f ca="1">SUMPRODUCT(OFFSET(tConvElecAxH,0,8,1,_maxLT),INDEX(elecAxH,1,6)*allOnes,tpSurvAxH)</f>
        <v>12441.767067255025</v>
      </c>
      <c r="N140" s="39">
        <f ca="1">SUMPRODUCT(OFFSET(tConvElecAxH,0,9,1,_maxLT),INDEX(elecAxH,1,6)*allOnes,tpSurvAxH)</f>
        <v>12416.143407532763</v>
      </c>
      <c r="O140" s="39">
        <f ca="1">SUMPRODUCT(OFFSET(tConvElecAxH,0,10,1,_maxLT),INDEX(elecAxH,1,6)*allOnes,tpSurvAxH)</f>
        <v>12397.105248315511</v>
      </c>
      <c r="P140" s="39">
        <f ca="1">SUMPRODUCT(OFFSET(tConvElecAxH,0,11,1,_maxLT),INDEX(elecAxH,1,6)*allOnes,tpSurvAxH)</f>
        <v>12380.937604803594</v>
      </c>
      <c r="Q140" s="39">
        <f ca="1">SUMPRODUCT(OFFSET(tConvElecAxH,0,12,1,_maxLT),INDEX(elecAxH,1,6)*allOnes,tpSurvAxH)</f>
        <v>12368.874638174697</v>
      </c>
      <c r="R140" s="39">
        <f ca="1">SUMPRODUCT(OFFSET(tConvElecAxH,0,13,1,_maxLT),INDEX(elecAxH,1,6)*allOnes,tpSurvAxH)</f>
        <v>12359.589722665332</v>
      </c>
      <c r="S140" s="39">
        <f ca="1">SUMPRODUCT(OFFSET(tConvElecAxH,0,14,1,_maxLT),INDEX(elecAxH,1,6)*allOnes,tpSurvAxH)</f>
        <v>12357.889253913931</v>
      </c>
      <c r="T140" s="39">
        <f ca="1">SUMPRODUCT(OFFSET(tConvElecAxH,0,15,1,_maxLT),INDEX(elecAxH,1,6)*allOnes,tpSurvAxH)</f>
        <v>12359.43802267399</v>
      </c>
      <c r="U140" s="39">
        <f ca="1">SUMPRODUCT(OFFSET(tConvElecAxH,0,16,1,_maxLT),INDEX(elecAxH,1,6)*allOnes,tpSurvAxH)</f>
        <v>12362.009181226609</v>
      </c>
      <c r="V140" s="39">
        <f ca="1">SUMPRODUCT(OFFSET(tConvElecAxH,0,17,1,_maxLT),INDEX(elecAxH,1,6)*allOnes,tpSurvAxH)</f>
        <v>12365.97186238679</v>
      </c>
      <c r="W140" s="39">
        <f ca="1">SUMPRODUCT(OFFSET(tConvElecAxH,0,18,1,_maxLT),INDEX(elecAxH,1,6)*allOnes,tpSurvAxH)</f>
        <v>12369.829069196332</v>
      </c>
      <c r="X140" s="39">
        <f ca="1">SUMPRODUCT(OFFSET(tConvElecAxH,0,19,1,_maxLT),INDEX(elecAxH,1,6)*allOnes,tpSurvAxH)</f>
        <v>12373.046036165446</v>
      </c>
      <c r="Y140" s="39">
        <f ca="1">SUMPRODUCT(OFFSET(tConvElecAxH,0,20,1,_maxLT),INDEX(elecAxH,1,6)*allOnes,tpSurvAxH)</f>
        <v>12375.188412371779</v>
      </c>
      <c r="Z140" s="39">
        <f ca="1">SUMPRODUCT(OFFSET(tConvElecAxH,0,21,1,_maxLT),INDEX(elecAxH,1,6)*allOnes,tpSurvAxH)</f>
        <v>12376.653194611654</v>
      </c>
      <c r="AA140" s="39">
        <f ca="1">SUMPRODUCT(OFFSET(tConvElecAxH,0,22,1,_maxLT),INDEX(elecAxH,1,6)*allOnes,tpSurvAxH)</f>
        <v>12376.653194611654</v>
      </c>
      <c r="AB140" s="39">
        <f ca="1">SUMPRODUCT(OFFSET(tConvElecAxH,0,23,1,_maxLT),INDEX(elecAxH,1,6)*allOnes,tpSurvAxH)</f>
        <v>12376.653194611654</v>
      </c>
      <c r="AC140" s="39">
        <f ca="1">SUMPRODUCT(OFFSET(tConvElecAxH,0,24,1,_maxLT),INDEX(elecAxH,1,6)*allOnes,tpSurvAxH)</f>
        <v>12376.653194611654</v>
      </c>
      <c r="AD140" s="39">
        <f ca="1">SUMPRODUCT(OFFSET(tConvElecAxH,0,25,1,_maxLT),INDEX(elecAxH,1,6)*allOnes,tpSurvAxH)</f>
        <v>12376.653194611654</v>
      </c>
      <c r="AE140" s="39">
        <f ca="1">SUMPRODUCT(OFFSET(tConvElecAxH,0,26,1,_maxLT),INDEX(elecAxH,1,6)*allOnes,tpSurvAxH)</f>
        <v>12376.653194611654</v>
      </c>
      <c r="AF140" s="39">
        <f ca="1">SUMPRODUCT(OFFSET(tConvElecAxH,0,27,1,_maxLT),INDEX(elecAxH,1,6)*allOnes,tpSurvAxH)</f>
        <v>12376.653194611654</v>
      </c>
      <c r="AG140" s="39">
        <f ca="1">SUMPRODUCT(OFFSET(tConvElecAxH,0,28,1,_maxLT),INDEX(elecAxH,1,6)*allOnes,tpSurvAxH)</f>
        <v>12376.653194611654</v>
      </c>
      <c r="AH140" s="39">
        <f ca="1">SUMPRODUCT(OFFSET(tConvElecAxH,0,29,1,_maxLT),INDEX(elecAxH,1,6)*allOnes,tpSurvAxH)</f>
        <v>12376.653194611654</v>
      </c>
      <c r="AI140" s="39">
        <f ca="1">SUMPRODUCT(OFFSET(tConvElecAxH,0,30,1,_maxLT),INDEX(elecAxH,1,6)*allOnes,tpSurvAxH)</f>
        <v>12376.653194611654</v>
      </c>
      <c r="AJ140" s="39">
        <f ca="1">SUMPRODUCT(OFFSET(tConvElecAxH,0,31,1,_maxLT),INDEX(elecAxH,1,6)*allOnes,tpSurvAxH)</f>
        <v>12376.653194611654</v>
      </c>
      <c r="AK140" s="39">
        <f ca="1">SUMPRODUCT(OFFSET(tConvElecAxH,0,32,1,_maxLT),INDEX(elecAxH,1,6)*allOnes,tpSurvAxH)</f>
        <v>12376.653194611654</v>
      </c>
      <c r="AL140" s="40">
        <f ca="1">SUMPRODUCT(OFFSET(tConvElecAxH,0,33,1,_maxLT),INDEX(elecAxH,1,6)*allOnes,tpSurvAxH)</f>
        <v>12376.653194611654</v>
      </c>
      <c r="AM140" s="10"/>
    </row>
    <row r="141" spans="2:39">
      <c r="B141" s="10"/>
      <c r="C141" s="57" t="str">
        <f>"EL 6: " &amp; INDEX(_doName,1,7)</f>
        <v>EL 6: EL 6</v>
      </c>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3"/>
      <c r="AM141" s="10"/>
    </row>
    <row r="142" spans="2:39">
      <c r="B142" s="10"/>
      <c r="C142" s="16" t="s">
        <v>69</v>
      </c>
      <c r="D142" s="12" t="str">
        <f>_yearDol &amp; "$"</f>
        <v>2015$</v>
      </c>
      <c r="E142" s="13">
        <f t="array" ref="E142:AL142">INDEX(mspAxH,1,7)*tPIdxAll + INDEX(instAxH,1,7) + IF(bESav,SUMPRODUCT(dFactor,tpSurvAxH,INDEX(mrAxH,1,7)*allOnes),0)</f>
        <v>7267.0659445983601</v>
      </c>
      <c r="F142" s="13">
        <v>7267.0659445983601</v>
      </c>
      <c r="G142" s="13">
        <v>7267.0659445983601</v>
      </c>
      <c r="H142" s="13">
        <v>7267.0659445983601</v>
      </c>
      <c r="I142" s="13">
        <v>7267.0659445983601</v>
      </c>
      <c r="J142" s="13">
        <v>7267.0659445983601</v>
      </c>
      <c r="K142" s="13">
        <v>7267.0659445983601</v>
      </c>
      <c r="L142" s="13">
        <v>7267.0659445983601</v>
      </c>
      <c r="M142" s="13">
        <v>7267.0659445983601</v>
      </c>
      <c r="N142" s="13">
        <v>7267.0659445983601</v>
      </c>
      <c r="O142" s="13">
        <v>7267.0659445983601</v>
      </c>
      <c r="P142" s="13">
        <v>7267.0659445983601</v>
      </c>
      <c r="Q142" s="13">
        <v>7267.0659445983601</v>
      </c>
      <c r="R142" s="13">
        <v>7267.0659445983601</v>
      </c>
      <c r="S142" s="13">
        <v>7267.0659445983601</v>
      </c>
      <c r="T142" s="13">
        <v>7267.0659445983601</v>
      </c>
      <c r="U142" s="13">
        <v>7267.0659445983601</v>
      </c>
      <c r="V142" s="13">
        <v>7267.0659445983601</v>
      </c>
      <c r="W142" s="13">
        <v>7267.0659445983601</v>
      </c>
      <c r="X142" s="13">
        <v>7267.0659445983601</v>
      </c>
      <c r="Y142" s="13">
        <v>7267.0659445983601</v>
      </c>
      <c r="Z142" s="13">
        <v>7267.0659445983601</v>
      </c>
      <c r="AA142" s="13">
        <v>7267.0659445983601</v>
      </c>
      <c r="AB142" s="13">
        <v>7267.0659445983601</v>
      </c>
      <c r="AC142" s="13">
        <v>7267.0659445983601</v>
      </c>
      <c r="AD142" s="13">
        <v>7267.0659445983601</v>
      </c>
      <c r="AE142" s="13">
        <v>7267.0659445983601</v>
      </c>
      <c r="AF142" s="13">
        <v>7267.0659445983601</v>
      </c>
      <c r="AG142" s="13">
        <v>7267.0659445983601</v>
      </c>
      <c r="AH142" s="13">
        <v>7267.0659445983601</v>
      </c>
      <c r="AI142" s="13">
        <v>7267.0659445983601</v>
      </c>
      <c r="AJ142" s="13">
        <v>7267.0659445983601</v>
      </c>
      <c r="AK142" s="13">
        <v>7267.0659445983601</v>
      </c>
      <c r="AL142" s="56">
        <v>7267.0659445983601</v>
      </c>
      <c r="AM142" s="10"/>
    </row>
    <row r="143" spans="2:39">
      <c r="B143" s="10"/>
      <c r="C143" s="16" t="str">
        <f>zEO&amp;" Costs"</f>
        <v>Operating Costs</v>
      </c>
      <c r="D143" s="12" t="str">
        <f>_yearDol &amp; "$"</f>
        <v>2015$</v>
      </c>
      <c r="E143" s="13">
        <f t="array" aca="1" ref="E143:AL143" ca="1">(tlccEFuElecbc6) + IF(bOSav,SUMPRODUCT(dFactor,tpSurvAxH,INDEX(mrAxH,1,7)*allOnes),0)</f>
        <v>40417.485286573319</v>
      </c>
      <c r="F143" s="13">
        <f ca="1"/>
        <v>40748.226806534869</v>
      </c>
      <c r="G143" s="13">
        <f ca="1"/>
        <v>41068.706829536677</v>
      </c>
      <c r="H143" s="13">
        <f ca="1"/>
        <v>41356.852618446595</v>
      </c>
      <c r="I143" s="13">
        <f ca="1"/>
        <v>41617.339458129376</v>
      </c>
      <c r="J143" s="13">
        <f ca="1"/>
        <v>41879.50194288983</v>
      </c>
      <c r="K143" s="13">
        <f ca="1"/>
        <v>42143.351106781709</v>
      </c>
      <c r="L143" s="13">
        <f ca="1"/>
        <v>42408.898058339393</v>
      </c>
      <c r="M143" s="13">
        <f ca="1"/>
        <v>42676.153981093383</v>
      </c>
      <c r="N143" s="13">
        <f ca="1"/>
        <v>42945.13013408913</v>
      </c>
      <c r="O143" s="13">
        <f ca="1"/>
        <v>43215.837852410157</v>
      </c>
      <c r="P143" s="13">
        <f ca="1"/>
        <v>43488.288547704375</v>
      </c>
      <c r="Q143" s="13">
        <f ca="1"/>
        <v>43762.49370871445</v>
      </c>
      <c r="R143" s="13">
        <f ca="1"/>
        <v>44038.464901811676</v>
      </c>
      <c r="S143" s="13">
        <f ca="1"/>
        <v>44316.213771533759</v>
      </c>
      <c r="T143" s="13">
        <f ca="1"/>
        <v>44595.752041126529</v>
      </c>
      <c r="U143" s="13">
        <f ca="1"/>
        <v>44877.091513089385</v>
      </c>
      <c r="V143" s="13">
        <f ca="1"/>
        <v>45160.244069724336</v>
      </c>
      <c r="W143" s="13">
        <f ca="1"/>
        <v>45445.221673689652</v>
      </c>
      <c r="X143" s="13">
        <f ca="1"/>
        <v>45732.036368556626</v>
      </c>
      <c r="Y143" s="13">
        <f ca="1"/>
        <v>46020.700279370853</v>
      </c>
      <c r="Z143" s="13">
        <f ca="1"/>
        <v>46311.225613217401</v>
      </c>
      <c r="AA143" s="13">
        <f ca="1"/>
        <v>46603.624659789624</v>
      </c>
      <c r="AB143" s="13">
        <f ca="1"/>
        <v>46897.909791962549</v>
      </c>
      <c r="AC143" s="13">
        <f ca="1"/>
        <v>47194.093466369988</v>
      </c>
      <c r="AD143" s="13">
        <f ca="1"/>
        <v>47492.188223985941</v>
      </c>
      <c r="AE143" s="13">
        <f ca="1"/>
        <v>47792.206690709841</v>
      </c>
      <c r="AF143" s="13">
        <f ca="1"/>
        <v>48094.161577956387</v>
      </c>
      <c r="AG143" s="13">
        <f ca="1"/>
        <v>48398.065683249202</v>
      </c>
      <c r="AH143" s="13">
        <f ca="1"/>
        <v>48703.931890818909</v>
      </c>
      <c r="AI143" s="13">
        <f ca="1"/>
        <v>49011.773172205423</v>
      </c>
      <c r="AJ143" s="13">
        <f ca="1"/>
        <v>49321.602586864436</v>
      </c>
      <c r="AK143" s="13">
        <f ca="1"/>
        <v>49633.433282778307</v>
      </c>
      <c r="AL143" s="56">
        <f ca="1"/>
        <v>49947.278497071355</v>
      </c>
      <c r="AM143" s="10"/>
    </row>
    <row r="144" spans="2:39">
      <c r="B144" s="10"/>
      <c r="C144" s="28" t="str">
        <f>INDEX(_fuel,1)</f>
        <v>Electricity</v>
      </c>
      <c r="D144" s="12" t="str">
        <f>_yearDol &amp; "$"</f>
        <v>2015$</v>
      </c>
      <c r="E144" s="13">
        <f ca="1">SUMPRODUCT(dFactor,tpSurvAxH,INDEX(elecAxH,1,7)*allOnes,OFFSET(tPrcElec,0,0,1,_maxLT))</f>
        <v>40417.485286573319</v>
      </c>
      <c r="F144" s="13">
        <f ca="1">SUMPRODUCT(dFactor,tpSurvAxH,INDEX(elecAxH,1,7)*allOnes,OFFSET(tPrcElec,0,1,1,_maxLT))</f>
        <v>40748.226806534869</v>
      </c>
      <c r="G144" s="13">
        <f ca="1">SUMPRODUCT(dFactor,tpSurvAxH,INDEX(elecAxH,1,7)*allOnes,OFFSET(tPrcElec,0,2,1,_maxLT))</f>
        <v>41068.706829536677</v>
      </c>
      <c r="H144" s="13">
        <f ca="1">SUMPRODUCT(dFactor,tpSurvAxH,INDEX(elecAxH,1,7)*allOnes,OFFSET(tPrcElec,0,3,1,_maxLT))</f>
        <v>41356.852618446595</v>
      </c>
      <c r="I144" s="13">
        <f ca="1">SUMPRODUCT(dFactor,tpSurvAxH,INDEX(elecAxH,1,7)*allOnes,OFFSET(tPrcElec,0,4,1,_maxLT))</f>
        <v>41617.339458129376</v>
      </c>
      <c r="J144" s="13">
        <f ca="1">SUMPRODUCT(dFactor,tpSurvAxH,INDEX(elecAxH,1,7)*allOnes,OFFSET(tPrcElec,0,5,1,_maxLT))</f>
        <v>41879.50194288983</v>
      </c>
      <c r="K144" s="13">
        <f ca="1">SUMPRODUCT(dFactor,tpSurvAxH,INDEX(elecAxH,1,7)*allOnes,OFFSET(tPrcElec,0,6,1,_maxLT))</f>
        <v>42143.351106781709</v>
      </c>
      <c r="L144" s="13">
        <f ca="1">SUMPRODUCT(dFactor,tpSurvAxH,INDEX(elecAxH,1,7)*allOnes,OFFSET(tPrcElec,0,7,1,_maxLT))</f>
        <v>42408.898058339393</v>
      </c>
      <c r="M144" s="13">
        <f ca="1">SUMPRODUCT(dFactor,tpSurvAxH,INDEX(elecAxH,1,7)*allOnes,OFFSET(tPrcElec,0,8,1,_maxLT))</f>
        <v>42676.153981093383</v>
      </c>
      <c r="N144" s="13">
        <f ca="1">SUMPRODUCT(dFactor,tpSurvAxH,INDEX(elecAxH,1,7)*allOnes,OFFSET(tPrcElec,0,9,1,_maxLT))</f>
        <v>42945.13013408913</v>
      </c>
      <c r="O144" s="13">
        <f ca="1">SUMPRODUCT(dFactor,tpSurvAxH,INDEX(elecAxH,1,7)*allOnes,OFFSET(tPrcElec,0,10,1,_maxLT))</f>
        <v>43215.837852410157</v>
      </c>
      <c r="P144" s="13">
        <f ca="1">SUMPRODUCT(dFactor,tpSurvAxH,INDEX(elecAxH,1,7)*allOnes,OFFSET(tPrcElec,0,11,1,_maxLT))</f>
        <v>43488.288547704375</v>
      </c>
      <c r="Q144" s="13">
        <f ca="1">SUMPRODUCT(dFactor,tpSurvAxH,INDEX(elecAxH,1,7)*allOnes,OFFSET(tPrcElec,0,12,1,_maxLT))</f>
        <v>43762.49370871445</v>
      </c>
      <c r="R144" s="13">
        <f ca="1">SUMPRODUCT(dFactor,tpSurvAxH,INDEX(elecAxH,1,7)*allOnes,OFFSET(tPrcElec,0,13,1,_maxLT))</f>
        <v>44038.464901811676</v>
      </c>
      <c r="S144" s="13">
        <f ca="1">SUMPRODUCT(dFactor,tpSurvAxH,INDEX(elecAxH,1,7)*allOnes,OFFSET(tPrcElec,0,14,1,_maxLT))</f>
        <v>44316.213771533759</v>
      </c>
      <c r="T144" s="13">
        <f ca="1">SUMPRODUCT(dFactor,tpSurvAxH,INDEX(elecAxH,1,7)*allOnes,OFFSET(tPrcElec,0,15,1,_maxLT))</f>
        <v>44595.752041126529</v>
      </c>
      <c r="U144" s="13">
        <f ca="1">SUMPRODUCT(dFactor,tpSurvAxH,INDEX(elecAxH,1,7)*allOnes,OFFSET(tPrcElec,0,16,1,_maxLT))</f>
        <v>44877.091513089385</v>
      </c>
      <c r="V144" s="13">
        <f ca="1">SUMPRODUCT(dFactor,tpSurvAxH,INDEX(elecAxH,1,7)*allOnes,OFFSET(tPrcElec,0,17,1,_maxLT))</f>
        <v>45160.244069724336</v>
      </c>
      <c r="W144" s="13">
        <f ca="1">SUMPRODUCT(dFactor,tpSurvAxH,INDEX(elecAxH,1,7)*allOnes,OFFSET(tPrcElec,0,18,1,_maxLT))</f>
        <v>45445.221673689652</v>
      </c>
      <c r="X144" s="13">
        <f ca="1">SUMPRODUCT(dFactor,tpSurvAxH,INDEX(elecAxH,1,7)*allOnes,OFFSET(tPrcElec,0,19,1,_maxLT))</f>
        <v>45732.036368556626</v>
      </c>
      <c r="Y144" s="13">
        <f ca="1">SUMPRODUCT(dFactor,tpSurvAxH,INDEX(elecAxH,1,7)*allOnes,OFFSET(tPrcElec,0,20,1,_maxLT))</f>
        <v>46020.700279370853</v>
      </c>
      <c r="Z144" s="13">
        <f ca="1">SUMPRODUCT(dFactor,tpSurvAxH,INDEX(elecAxH,1,7)*allOnes,OFFSET(tPrcElec,0,21,1,_maxLT))</f>
        <v>46311.225613217401</v>
      </c>
      <c r="AA144" s="13">
        <f ca="1">SUMPRODUCT(dFactor,tpSurvAxH,INDEX(elecAxH,1,7)*allOnes,OFFSET(tPrcElec,0,22,1,_maxLT))</f>
        <v>46603.624659789624</v>
      </c>
      <c r="AB144" s="13">
        <f ca="1">SUMPRODUCT(dFactor,tpSurvAxH,INDEX(elecAxH,1,7)*allOnes,OFFSET(tPrcElec,0,23,1,_maxLT))</f>
        <v>46897.909791962549</v>
      </c>
      <c r="AC144" s="13">
        <f ca="1">SUMPRODUCT(dFactor,tpSurvAxH,INDEX(elecAxH,1,7)*allOnes,OFFSET(tPrcElec,0,24,1,_maxLT))</f>
        <v>47194.093466369988</v>
      </c>
      <c r="AD144" s="13">
        <f ca="1">SUMPRODUCT(dFactor,tpSurvAxH,INDEX(elecAxH,1,7)*allOnes,OFFSET(tPrcElec,0,25,1,_maxLT))</f>
        <v>47492.188223985941</v>
      </c>
      <c r="AE144" s="13">
        <f ca="1">SUMPRODUCT(dFactor,tpSurvAxH,INDEX(elecAxH,1,7)*allOnes,OFFSET(tPrcElec,0,26,1,_maxLT))</f>
        <v>47792.206690709841</v>
      </c>
      <c r="AF144" s="13">
        <f ca="1">SUMPRODUCT(dFactor,tpSurvAxH,INDEX(elecAxH,1,7)*allOnes,OFFSET(tPrcElec,0,27,1,_maxLT))</f>
        <v>48094.161577956387</v>
      </c>
      <c r="AG144" s="13">
        <f ca="1">SUMPRODUCT(dFactor,tpSurvAxH,INDEX(elecAxH,1,7)*allOnes,OFFSET(tPrcElec,0,28,1,_maxLT))</f>
        <v>48398.065683249202</v>
      </c>
      <c r="AH144" s="13">
        <f ca="1">SUMPRODUCT(dFactor,tpSurvAxH,INDEX(elecAxH,1,7)*allOnes,OFFSET(tPrcElec,0,29,1,_maxLT))</f>
        <v>48703.931890818909</v>
      </c>
      <c r="AI144" s="13">
        <f ca="1">SUMPRODUCT(dFactor,tpSurvAxH,INDEX(elecAxH,1,7)*allOnes,OFFSET(tPrcElec,0,30,1,_maxLT))</f>
        <v>49011.773172205423</v>
      </c>
      <c r="AJ144" s="13">
        <f ca="1">SUMPRODUCT(dFactor,tpSurvAxH,INDEX(elecAxH,1,7)*allOnes,OFFSET(tPrcElec,0,31,1,_maxLT))</f>
        <v>49321.602586864436</v>
      </c>
      <c r="AK144" s="13">
        <f ca="1">SUMPRODUCT(dFactor,tpSurvAxH,INDEX(elecAxH,1,7)*allOnes,OFFSET(tPrcElec,0,32,1,_maxLT))</f>
        <v>49633.433282778307</v>
      </c>
      <c r="AL144" s="56">
        <f ca="1">SUMPRODUCT(dFactor,tpSurvAxH,INDEX(elecAxH,1,7)*allOnes,OFFSET(tPrcElec,0,33,1,_maxLT))</f>
        <v>49947.278497071355</v>
      </c>
      <c r="AM144" s="10"/>
    </row>
    <row r="145" spans="2:39">
      <c r="B145" s="10"/>
      <c r="C145" s="16" t="s">
        <v>79</v>
      </c>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5"/>
      <c r="AM145" s="10"/>
    </row>
    <row r="146" spans="2:39">
      <c r="B146" s="10"/>
      <c r="C146" s="28" t="str">
        <f>INDEX(_fuel,1)</f>
        <v>Electricity</v>
      </c>
      <c r="D146" s="12" t="s">
        <v>83</v>
      </c>
      <c r="E146" s="39">
        <f ca="1">SUMPRODUCT(OFFSET(tConvElecAxH,0,0,1,_maxLT),INDEX(elecAxH,1,7)*allOnes,tpSurvAxH)</f>
        <v>8144.4008309601268</v>
      </c>
      <c r="F146" s="39">
        <f ca="1">SUMPRODUCT(OFFSET(tConvElecAxH,0,1,1,_maxLT),INDEX(elecAxH,1,7)*allOnes,tpSurvAxH)</f>
        <v>8085.6767776646102</v>
      </c>
      <c r="G146" s="39">
        <f ca="1">SUMPRODUCT(OFFSET(tConvElecAxH,0,2,1,_maxLT),INDEX(elecAxH,1,7)*allOnes,tpSurvAxH)</f>
        <v>8033.6329976466914</v>
      </c>
      <c r="H146" s="39">
        <f ca="1">SUMPRODUCT(OFFSET(tConvElecAxH,0,3,1,_maxLT),INDEX(elecAxH,1,7)*allOnes,tpSurvAxH)</f>
        <v>7983.9139893307329</v>
      </c>
      <c r="I146" s="39">
        <f ca="1">SUMPRODUCT(OFFSET(tConvElecAxH,0,4,1,_maxLT),INDEX(elecAxH,1,7)*allOnes,tpSurvAxH)</f>
        <v>7940.2066463450828</v>
      </c>
      <c r="J146" s="39">
        <f ca="1">SUMPRODUCT(OFFSET(tConvElecAxH,0,5,1,_maxLT),INDEX(elecAxH,1,7)*allOnes,tpSurvAxH)</f>
        <v>7906.0954308739292</v>
      </c>
      <c r="K146" s="39">
        <f ca="1">SUMPRODUCT(OFFSET(tConvElecAxH,0,6,1,_maxLT),INDEX(elecAxH,1,7)*allOnes,tpSurvAxH)</f>
        <v>7877.7774505056605</v>
      </c>
      <c r="L146" s="39">
        <f ca="1">SUMPRODUCT(OFFSET(tConvElecAxH,0,7,1,_maxLT),INDEX(elecAxH,1,7)*allOnes,tpSurvAxH)</f>
        <v>7849.1696860316115</v>
      </c>
      <c r="M146" s="39">
        <f ca="1">SUMPRODUCT(OFFSET(tConvElecAxH,0,8,1,_maxLT),INDEX(elecAxH,1,7)*allOnes,tpSurvAxH)</f>
        <v>7826.0764387796553</v>
      </c>
      <c r="N146" s="39">
        <f ca="1">SUMPRODUCT(OFFSET(tConvElecAxH,0,9,1,_maxLT),INDEX(elecAxH,1,7)*allOnes,tpSurvAxH)</f>
        <v>7809.9587347152974</v>
      </c>
      <c r="O146" s="39">
        <f ca="1">SUMPRODUCT(OFFSET(tConvElecAxH,0,10,1,_maxLT),INDEX(elecAxH,1,7)*allOnes,tpSurvAxH)</f>
        <v>7797.9834189516696</v>
      </c>
      <c r="P146" s="39">
        <f ca="1">SUMPRODUCT(OFFSET(tConvElecAxH,0,11,1,_maxLT),INDEX(elecAxH,1,7)*allOnes,tpSurvAxH)</f>
        <v>7787.8137048527606</v>
      </c>
      <c r="Q146" s="39">
        <f ca="1">SUMPRODUCT(OFFSET(tConvElecAxH,0,12,1,_maxLT),INDEX(elecAxH,1,7)*allOnes,tpSurvAxH)</f>
        <v>7780.2259001296952</v>
      </c>
      <c r="R146" s="39">
        <f ca="1">SUMPRODUCT(OFFSET(tConvElecAxH,0,13,1,_maxLT),INDEX(elecAxH,1,7)*allOnes,tpSurvAxH)</f>
        <v>7774.3855353237068</v>
      </c>
      <c r="S146" s="39">
        <f ca="1">SUMPRODUCT(OFFSET(tConvElecAxH,0,14,1,_maxLT),INDEX(elecAxH,1,7)*allOnes,tpSurvAxH)</f>
        <v>7773.3159124672184</v>
      </c>
      <c r="T146" s="39">
        <f ca="1">SUMPRODUCT(OFFSET(tConvElecAxH,0,15,1,_maxLT),INDEX(elecAxH,1,7)*allOnes,tpSurvAxH)</f>
        <v>7774.2901135301945</v>
      </c>
      <c r="U146" s="39">
        <f ca="1">SUMPRODUCT(OFFSET(tConvElecAxH,0,16,1,_maxLT),INDEX(elecAxH,1,7)*allOnes,tpSurvAxH)</f>
        <v>7775.9074146145394</v>
      </c>
      <c r="V146" s="39">
        <f ca="1">SUMPRODUCT(OFFSET(tConvElecAxH,0,17,1,_maxLT),INDEX(elecAxH,1,7)*allOnes,tpSurvAxH)</f>
        <v>7778.4000063416188</v>
      </c>
      <c r="W146" s="39">
        <f ca="1">SUMPRODUCT(OFFSET(tConvElecAxH,0,18,1,_maxLT),INDEX(elecAxH,1,7)*allOnes,tpSurvAxH)</f>
        <v>7780.8262529646636</v>
      </c>
      <c r="X146" s="39">
        <f ca="1">SUMPRODUCT(OFFSET(tConvElecAxH,0,19,1,_maxLT),INDEX(elecAxH,1,7)*allOnes,tpSurvAxH)</f>
        <v>7782.8497781813985</v>
      </c>
      <c r="Y146" s="39">
        <f ca="1">SUMPRODUCT(OFFSET(tConvElecAxH,0,20,1,_maxLT),INDEX(elecAxH,1,7)*allOnes,tpSurvAxH)</f>
        <v>7784.1973681065883</v>
      </c>
      <c r="Z146" s="39">
        <f ca="1">SUMPRODUCT(OFFSET(tConvElecAxH,0,21,1,_maxLT),INDEX(elecAxH,1,7)*allOnes,tpSurvAxH)</f>
        <v>7785.1187402648557</v>
      </c>
      <c r="AA146" s="39">
        <f ca="1">SUMPRODUCT(OFFSET(tConvElecAxH,0,22,1,_maxLT),INDEX(elecAxH,1,7)*allOnes,tpSurvAxH)</f>
        <v>7785.1187402648557</v>
      </c>
      <c r="AB146" s="39">
        <f ca="1">SUMPRODUCT(OFFSET(tConvElecAxH,0,23,1,_maxLT),INDEX(elecAxH,1,7)*allOnes,tpSurvAxH)</f>
        <v>7785.1187402648557</v>
      </c>
      <c r="AC146" s="39">
        <f ca="1">SUMPRODUCT(OFFSET(tConvElecAxH,0,24,1,_maxLT),INDEX(elecAxH,1,7)*allOnes,tpSurvAxH)</f>
        <v>7785.1187402648557</v>
      </c>
      <c r="AD146" s="39">
        <f ca="1">SUMPRODUCT(OFFSET(tConvElecAxH,0,25,1,_maxLT),INDEX(elecAxH,1,7)*allOnes,tpSurvAxH)</f>
        <v>7785.1187402648557</v>
      </c>
      <c r="AE146" s="39">
        <f ca="1">SUMPRODUCT(OFFSET(tConvElecAxH,0,26,1,_maxLT),INDEX(elecAxH,1,7)*allOnes,tpSurvAxH)</f>
        <v>7785.1187402648557</v>
      </c>
      <c r="AF146" s="39">
        <f ca="1">SUMPRODUCT(OFFSET(tConvElecAxH,0,27,1,_maxLT),INDEX(elecAxH,1,7)*allOnes,tpSurvAxH)</f>
        <v>7785.1187402648557</v>
      </c>
      <c r="AG146" s="39">
        <f ca="1">SUMPRODUCT(OFFSET(tConvElecAxH,0,28,1,_maxLT),INDEX(elecAxH,1,7)*allOnes,tpSurvAxH)</f>
        <v>7785.1187402648557</v>
      </c>
      <c r="AH146" s="39">
        <f ca="1">SUMPRODUCT(OFFSET(tConvElecAxH,0,29,1,_maxLT),INDEX(elecAxH,1,7)*allOnes,tpSurvAxH)</f>
        <v>7785.1187402648557</v>
      </c>
      <c r="AI146" s="39">
        <f ca="1">SUMPRODUCT(OFFSET(tConvElecAxH,0,30,1,_maxLT),INDEX(elecAxH,1,7)*allOnes,tpSurvAxH)</f>
        <v>7785.1187402648557</v>
      </c>
      <c r="AJ146" s="39">
        <f ca="1">SUMPRODUCT(OFFSET(tConvElecAxH,0,31,1,_maxLT),INDEX(elecAxH,1,7)*allOnes,tpSurvAxH)</f>
        <v>7785.1187402648557</v>
      </c>
      <c r="AK146" s="39">
        <f ca="1">SUMPRODUCT(OFFSET(tConvElecAxH,0,32,1,_maxLT),INDEX(elecAxH,1,7)*allOnes,tpSurvAxH)</f>
        <v>7785.1187402648557</v>
      </c>
      <c r="AL146" s="40">
        <f ca="1">SUMPRODUCT(OFFSET(tConvElecAxH,0,33,1,_maxLT),INDEX(elecAxH,1,7)*allOnes,tpSurvAxH)</f>
        <v>7785.1187402648557</v>
      </c>
      <c r="AM146" s="10"/>
    </row>
    <row r="147" spans="2:39">
      <c r="B147" s="10"/>
      <c r="C147" s="41" t="str">
        <f ca="1">"Std (CSL " &amp; stdCSL &amp; "): " &amp; INDEX(_doName,1,stdCSL+1)</f>
        <v>Std (CSL 5): EL 5</v>
      </c>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3"/>
      <c r="AM147" s="10"/>
    </row>
    <row r="148" spans="2:39">
      <c r="B148" s="10"/>
      <c r="C148" s="57" t="str">
        <f>"EL 0: " &amp; INDEX(_doName,1,1)</f>
        <v>EL 0: EL 0</v>
      </c>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3"/>
      <c r="AM148" s="10"/>
    </row>
    <row r="149" spans="2:39">
      <c r="B149" s="10"/>
      <c r="C149" s="16" t="s">
        <v>69</v>
      </c>
      <c r="D149" s="12" t="str">
        <f>_yearDol &amp; "$"</f>
        <v>2015$</v>
      </c>
      <c r="E149" s="13">
        <f t="array" aca="1" ref="E149:AL149" ca="1">INDEX(mspAxH,stdCSL+1,1)*tPIdxAll + INDEX(instAxH,stdCSL+1,1) + IF(bESav,SUMPRODUCT(dFactor,tpSurvAxH,INDEX(mrAxH,stdCSL+1,1)*allOnes),0)</f>
        <v>0</v>
      </c>
      <c r="F149" s="13">
        <f ca="1"/>
        <v>0</v>
      </c>
      <c r="G149" s="13">
        <f ca="1"/>
        <v>0</v>
      </c>
      <c r="H149" s="13">
        <f ca="1"/>
        <v>0</v>
      </c>
      <c r="I149" s="13">
        <f ca="1"/>
        <v>0</v>
      </c>
      <c r="J149" s="13">
        <f ca="1"/>
        <v>0</v>
      </c>
      <c r="K149" s="13">
        <f ca="1"/>
        <v>0</v>
      </c>
      <c r="L149" s="13">
        <f ca="1"/>
        <v>0</v>
      </c>
      <c r="M149" s="13">
        <f ca="1"/>
        <v>0</v>
      </c>
      <c r="N149" s="13">
        <f ca="1"/>
        <v>0</v>
      </c>
      <c r="O149" s="13">
        <f ca="1"/>
        <v>0</v>
      </c>
      <c r="P149" s="13">
        <f ca="1"/>
        <v>0</v>
      </c>
      <c r="Q149" s="13">
        <f ca="1"/>
        <v>0</v>
      </c>
      <c r="R149" s="13">
        <f ca="1"/>
        <v>0</v>
      </c>
      <c r="S149" s="13">
        <f ca="1"/>
        <v>0</v>
      </c>
      <c r="T149" s="13">
        <f ca="1"/>
        <v>0</v>
      </c>
      <c r="U149" s="13">
        <f ca="1"/>
        <v>0</v>
      </c>
      <c r="V149" s="13">
        <f ca="1"/>
        <v>0</v>
      </c>
      <c r="W149" s="13">
        <f ca="1"/>
        <v>0</v>
      </c>
      <c r="X149" s="13">
        <f ca="1"/>
        <v>0</v>
      </c>
      <c r="Y149" s="13">
        <f ca="1"/>
        <v>0</v>
      </c>
      <c r="Z149" s="13">
        <f ca="1"/>
        <v>0</v>
      </c>
      <c r="AA149" s="13">
        <f ca="1"/>
        <v>0</v>
      </c>
      <c r="AB149" s="13">
        <f ca="1"/>
        <v>0</v>
      </c>
      <c r="AC149" s="13">
        <f ca="1"/>
        <v>0</v>
      </c>
      <c r="AD149" s="13">
        <f ca="1"/>
        <v>0</v>
      </c>
      <c r="AE149" s="13">
        <f ca="1"/>
        <v>0</v>
      </c>
      <c r="AF149" s="13">
        <f ca="1"/>
        <v>0</v>
      </c>
      <c r="AG149" s="13">
        <f ca="1"/>
        <v>0</v>
      </c>
      <c r="AH149" s="13">
        <f ca="1"/>
        <v>0</v>
      </c>
      <c r="AI149" s="13">
        <f ca="1"/>
        <v>0</v>
      </c>
      <c r="AJ149" s="13">
        <f ca="1"/>
        <v>0</v>
      </c>
      <c r="AK149" s="13">
        <f ca="1"/>
        <v>0</v>
      </c>
      <c r="AL149" s="56">
        <f ca="1"/>
        <v>0</v>
      </c>
      <c r="AM149" s="10"/>
    </row>
    <row r="150" spans="2:39">
      <c r="B150" s="10"/>
      <c r="C150" s="16" t="str">
        <f>zEO&amp;" Costs"</f>
        <v>Operating Costs</v>
      </c>
      <c r="D150" s="12" t="str">
        <f>_yearDol &amp; "$"</f>
        <v>2015$</v>
      </c>
      <c r="E150" s="13">
        <f t="array" aca="1" ref="E150:AL150" ca="1">(tlccEFuElecpol0) + IF(bOSav,SUMPRODUCT(dFactor,tpSurvAxH,INDEX(mrAxH,stdCSL+1,1)*allOnes),0)</f>
        <v>0</v>
      </c>
      <c r="F150" s="13">
        <f ca="1"/>
        <v>0</v>
      </c>
      <c r="G150" s="13">
        <f ca="1"/>
        <v>0</v>
      </c>
      <c r="H150" s="13">
        <f ca="1"/>
        <v>0</v>
      </c>
      <c r="I150" s="13">
        <f ca="1"/>
        <v>0</v>
      </c>
      <c r="J150" s="13">
        <f ca="1"/>
        <v>0</v>
      </c>
      <c r="K150" s="13">
        <f ca="1"/>
        <v>0</v>
      </c>
      <c r="L150" s="13">
        <f ca="1"/>
        <v>0</v>
      </c>
      <c r="M150" s="13">
        <f ca="1"/>
        <v>0</v>
      </c>
      <c r="N150" s="13">
        <f ca="1"/>
        <v>0</v>
      </c>
      <c r="O150" s="13">
        <f ca="1"/>
        <v>0</v>
      </c>
      <c r="P150" s="13">
        <f ca="1"/>
        <v>0</v>
      </c>
      <c r="Q150" s="13">
        <f ca="1"/>
        <v>0</v>
      </c>
      <c r="R150" s="13">
        <f ca="1"/>
        <v>0</v>
      </c>
      <c r="S150" s="13">
        <f ca="1"/>
        <v>0</v>
      </c>
      <c r="T150" s="13">
        <f ca="1"/>
        <v>0</v>
      </c>
      <c r="U150" s="13">
        <f ca="1"/>
        <v>0</v>
      </c>
      <c r="V150" s="13">
        <f ca="1"/>
        <v>0</v>
      </c>
      <c r="W150" s="13">
        <f ca="1"/>
        <v>0</v>
      </c>
      <c r="X150" s="13">
        <f ca="1"/>
        <v>0</v>
      </c>
      <c r="Y150" s="13">
        <f ca="1"/>
        <v>0</v>
      </c>
      <c r="Z150" s="13">
        <f ca="1"/>
        <v>0</v>
      </c>
      <c r="AA150" s="13">
        <f ca="1"/>
        <v>0</v>
      </c>
      <c r="AB150" s="13">
        <f ca="1"/>
        <v>0</v>
      </c>
      <c r="AC150" s="13">
        <f ca="1"/>
        <v>0</v>
      </c>
      <c r="AD150" s="13">
        <f ca="1"/>
        <v>0</v>
      </c>
      <c r="AE150" s="13">
        <f ca="1"/>
        <v>0</v>
      </c>
      <c r="AF150" s="13">
        <f ca="1"/>
        <v>0</v>
      </c>
      <c r="AG150" s="13">
        <f ca="1"/>
        <v>0</v>
      </c>
      <c r="AH150" s="13">
        <f ca="1"/>
        <v>0</v>
      </c>
      <c r="AI150" s="13">
        <f ca="1"/>
        <v>0</v>
      </c>
      <c r="AJ150" s="13">
        <f ca="1"/>
        <v>0</v>
      </c>
      <c r="AK150" s="13">
        <f ca="1"/>
        <v>0</v>
      </c>
      <c r="AL150" s="56">
        <f ca="1"/>
        <v>0</v>
      </c>
      <c r="AM150" s="10"/>
    </row>
    <row r="151" spans="2:39">
      <c r="B151" s="10"/>
      <c r="C151" s="28" t="str">
        <f>INDEX(_fuel,1)</f>
        <v>Electricity</v>
      </c>
      <c r="D151" s="12" t="str">
        <f>_yearDol &amp; "$"</f>
        <v>2015$</v>
      </c>
      <c r="E151" s="13">
        <f ca="1">SUMPRODUCT(dFactor,tpSurvAxH,INDEX(elecAxH,stdCSL+1,1)*allOnes,OFFSET(tPrcElec,0,0,1,_maxLT))</f>
        <v>0</v>
      </c>
      <c r="F151" s="13">
        <f ca="1">SUMPRODUCT(dFactor,tpSurvAxH,INDEX(elecAxH,stdCSL+1,1)*allOnes,OFFSET(tPrcElec,0,1,1,_maxLT))</f>
        <v>0</v>
      </c>
      <c r="G151" s="13">
        <f ca="1">SUMPRODUCT(dFactor,tpSurvAxH,INDEX(elecAxH,stdCSL+1,1)*allOnes,OFFSET(tPrcElec,0,2,1,_maxLT))</f>
        <v>0</v>
      </c>
      <c r="H151" s="13">
        <f ca="1">SUMPRODUCT(dFactor,tpSurvAxH,INDEX(elecAxH,stdCSL+1,1)*allOnes,OFFSET(tPrcElec,0,3,1,_maxLT))</f>
        <v>0</v>
      </c>
      <c r="I151" s="13">
        <f ca="1">SUMPRODUCT(dFactor,tpSurvAxH,INDEX(elecAxH,stdCSL+1,1)*allOnes,OFFSET(tPrcElec,0,4,1,_maxLT))</f>
        <v>0</v>
      </c>
      <c r="J151" s="13">
        <f ca="1">SUMPRODUCT(dFactor,tpSurvAxH,INDEX(elecAxH,stdCSL+1,1)*allOnes,OFFSET(tPrcElec,0,5,1,_maxLT))</f>
        <v>0</v>
      </c>
      <c r="K151" s="13">
        <f ca="1">SUMPRODUCT(dFactor,tpSurvAxH,INDEX(elecAxH,stdCSL+1,1)*allOnes,OFFSET(tPrcElec,0,6,1,_maxLT))</f>
        <v>0</v>
      </c>
      <c r="L151" s="13">
        <f ca="1">SUMPRODUCT(dFactor,tpSurvAxH,INDEX(elecAxH,stdCSL+1,1)*allOnes,OFFSET(tPrcElec,0,7,1,_maxLT))</f>
        <v>0</v>
      </c>
      <c r="M151" s="13">
        <f ca="1">SUMPRODUCT(dFactor,tpSurvAxH,INDEX(elecAxH,stdCSL+1,1)*allOnes,OFFSET(tPrcElec,0,8,1,_maxLT))</f>
        <v>0</v>
      </c>
      <c r="N151" s="13">
        <f ca="1">SUMPRODUCT(dFactor,tpSurvAxH,INDEX(elecAxH,stdCSL+1,1)*allOnes,OFFSET(tPrcElec,0,9,1,_maxLT))</f>
        <v>0</v>
      </c>
      <c r="O151" s="13">
        <f ca="1">SUMPRODUCT(dFactor,tpSurvAxH,INDEX(elecAxH,stdCSL+1,1)*allOnes,OFFSET(tPrcElec,0,10,1,_maxLT))</f>
        <v>0</v>
      </c>
      <c r="P151" s="13">
        <f ca="1">SUMPRODUCT(dFactor,tpSurvAxH,INDEX(elecAxH,stdCSL+1,1)*allOnes,OFFSET(tPrcElec,0,11,1,_maxLT))</f>
        <v>0</v>
      </c>
      <c r="Q151" s="13">
        <f ca="1">SUMPRODUCT(dFactor,tpSurvAxH,INDEX(elecAxH,stdCSL+1,1)*allOnes,OFFSET(tPrcElec,0,12,1,_maxLT))</f>
        <v>0</v>
      </c>
      <c r="R151" s="13">
        <f ca="1">SUMPRODUCT(dFactor,tpSurvAxH,INDEX(elecAxH,stdCSL+1,1)*allOnes,OFFSET(tPrcElec,0,13,1,_maxLT))</f>
        <v>0</v>
      </c>
      <c r="S151" s="13">
        <f ca="1">SUMPRODUCT(dFactor,tpSurvAxH,INDEX(elecAxH,stdCSL+1,1)*allOnes,OFFSET(tPrcElec,0,14,1,_maxLT))</f>
        <v>0</v>
      </c>
      <c r="T151" s="13">
        <f ca="1">SUMPRODUCT(dFactor,tpSurvAxH,INDEX(elecAxH,stdCSL+1,1)*allOnes,OFFSET(tPrcElec,0,15,1,_maxLT))</f>
        <v>0</v>
      </c>
      <c r="U151" s="13">
        <f ca="1">SUMPRODUCT(dFactor,tpSurvAxH,INDEX(elecAxH,stdCSL+1,1)*allOnes,OFFSET(tPrcElec,0,16,1,_maxLT))</f>
        <v>0</v>
      </c>
      <c r="V151" s="13">
        <f ca="1">SUMPRODUCT(dFactor,tpSurvAxH,INDEX(elecAxH,stdCSL+1,1)*allOnes,OFFSET(tPrcElec,0,17,1,_maxLT))</f>
        <v>0</v>
      </c>
      <c r="W151" s="13">
        <f ca="1">SUMPRODUCT(dFactor,tpSurvAxH,INDEX(elecAxH,stdCSL+1,1)*allOnes,OFFSET(tPrcElec,0,18,1,_maxLT))</f>
        <v>0</v>
      </c>
      <c r="X151" s="13">
        <f ca="1">SUMPRODUCT(dFactor,tpSurvAxH,INDEX(elecAxH,stdCSL+1,1)*allOnes,OFFSET(tPrcElec,0,19,1,_maxLT))</f>
        <v>0</v>
      </c>
      <c r="Y151" s="13">
        <f ca="1">SUMPRODUCT(dFactor,tpSurvAxH,INDEX(elecAxH,stdCSL+1,1)*allOnes,OFFSET(tPrcElec,0,20,1,_maxLT))</f>
        <v>0</v>
      </c>
      <c r="Z151" s="13">
        <f ca="1">SUMPRODUCT(dFactor,tpSurvAxH,INDEX(elecAxH,stdCSL+1,1)*allOnes,OFFSET(tPrcElec,0,21,1,_maxLT))</f>
        <v>0</v>
      </c>
      <c r="AA151" s="13">
        <f ca="1">SUMPRODUCT(dFactor,tpSurvAxH,INDEX(elecAxH,stdCSL+1,1)*allOnes,OFFSET(tPrcElec,0,22,1,_maxLT))</f>
        <v>0</v>
      </c>
      <c r="AB151" s="13">
        <f ca="1">SUMPRODUCT(dFactor,tpSurvAxH,INDEX(elecAxH,stdCSL+1,1)*allOnes,OFFSET(tPrcElec,0,23,1,_maxLT))</f>
        <v>0</v>
      </c>
      <c r="AC151" s="13">
        <f ca="1">SUMPRODUCT(dFactor,tpSurvAxH,INDEX(elecAxH,stdCSL+1,1)*allOnes,OFFSET(tPrcElec,0,24,1,_maxLT))</f>
        <v>0</v>
      </c>
      <c r="AD151" s="13">
        <f ca="1">SUMPRODUCT(dFactor,tpSurvAxH,INDEX(elecAxH,stdCSL+1,1)*allOnes,OFFSET(tPrcElec,0,25,1,_maxLT))</f>
        <v>0</v>
      </c>
      <c r="AE151" s="13">
        <f ca="1">SUMPRODUCT(dFactor,tpSurvAxH,INDEX(elecAxH,stdCSL+1,1)*allOnes,OFFSET(tPrcElec,0,26,1,_maxLT))</f>
        <v>0</v>
      </c>
      <c r="AF151" s="13">
        <f ca="1">SUMPRODUCT(dFactor,tpSurvAxH,INDEX(elecAxH,stdCSL+1,1)*allOnes,OFFSET(tPrcElec,0,27,1,_maxLT))</f>
        <v>0</v>
      </c>
      <c r="AG151" s="13">
        <f ca="1">SUMPRODUCT(dFactor,tpSurvAxH,INDEX(elecAxH,stdCSL+1,1)*allOnes,OFFSET(tPrcElec,0,28,1,_maxLT))</f>
        <v>0</v>
      </c>
      <c r="AH151" s="13">
        <f ca="1">SUMPRODUCT(dFactor,tpSurvAxH,INDEX(elecAxH,stdCSL+1,1)*allOnes,OFFSET(tPrcElec,0,29,1,_maxLT))</f>
        <v>0</v>
      </c>
      <c r="AI151" s="13">
        <f ca="1">SUMPRODUCT(dFactor,tpSurvAxH,INDEX(elecAxH,stdCSL+1,1)*allOnes,OFFSET(tPrcElec,0,30,1,_maxLT))</f>
        <v>0</v>
      </c>
      <c r="AJ151" s="13">
        <f ca="1">SUMPRODUCT(dFactor,tpSurvAxH,INDEX(elecAxH,stdCSL+1,1)*allOnes,OFFSET(tPrcElec,0,31,1,_maxLT))</f>
        <v>0</v>
      </c>
      <c r="AK151" s="13">
        <f ca="1">SUMPRODUCT(dFactor,tpSurvAxH,INDEX(elecAxH,stdCSL+1,1)*allOnes,OFFSET(tPrcElec,0,32,1,_maxLT))</f>
        <v>0</v>
      </c>
      <c r="AL151" s="56">
        <f ca="1">SUMPRODUCT(dFactor,tpSurvAxH,INDEX(elecAxH,stdCSL+1,1)*allOnes,OFFSET(tPrcElec,0,33,1,_maxLT))</f>
        <v>0</v>
      </c>
      <c r="AM151" s="10"/>
    </row>
    <row r="152" spans="2:39">
      <c r="B152" s="10"/>
      <c r="C152" s="16" t="s">
        <v>79</v>
      </c>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5"/>
      <c r="AM152" s="10"/>
    </row>
    <row r="153" spans="2:39">
      <c r="B153" s="10"/>
      <c r="C153" s="28" t="str">
        <f>INDEX(_fuel,1)</f>
        <v>Electricity</v>
      </c>
      <c r="D153" s="12" t="s">
        <v>83</v>
      </c>
      <c r="E153" s="39">
        <f ca="1">SUMPRODUCT(OFFSET(tConvElecAxH,0,0,1,_maxLT),INDEX(elecAxH,stdCSL+1,1)*allOnes,tpSurvAxH)</f>
        <v>0</v>
      </c>
      <c r="F153" s="39">
        <f ca="1">SUMPRODUCT(OFFSET(tConvElecAxH,0,1,1,_maxLT),INDEX(elecAxH,stdCSL+1,1)*allOnes,tpSurvAxH)</f>
        <v>0</v>
      </c>
      <c r="G153" s="39">
        <f ca="1">SUMPRODUCT(OFFSET(tConvElecAxH,0,2,1,_maxLT),INDEX(elecAxH,stdCSL+1,1)*allOnes,tpSurvAxH)</f>
        <v>0</v>
      </c>
      <c r="H153" s="39">
        <f ca="1">SUMPRODUCT(OFFSET(tConvElecAxH,0,3,1,_maxLT),INDEX(elecAxH,stdCSL+1,1)*allOnes,tpSurvAxH)</f>
        <v>0</v>
      </c>
      <c r="I153" s="39">
        <f ca="1">SUMPRODUCT(OFFSET(tConvElecAxH,0,4,1,_maxLT),INDEX(elecAxH,stdCSL+1,1)*allOnes,tpSurvAxH)</f>
        <v>0</v>
      </c>
      <c r="J153" s="39">
        <f ca="1">SUMPRODUCT(OFFSET(tConvElecAxH,0,5,1,_maxLT),INDEX(elecAxH,stdCSL+1,1)*allOnes,tpSurvAxH)</f>
        <v>0</v>
      </c>
      <c r="K153" s="39">
        <f ca="1">SUMPRODUCT(OFFSET(tConvElecAxH,0,6,1,_maxLT),INDEX(elecAxH,stdCSL+1,1)*allOnes,tpSurvAxH)</f>
        <v>0</v>
      </c>
      <c r="L153" s="39">
        <f ca="1">SUMPRODUCT(OFFSET(tConvElecAxH,0,7,1,_maxLT),INDEX(elecAxH,stdCSL+1,1)*allOnes,tpSurvAxH)</f>
        <v>0</v>
      </c>
      <c r="M153" s="39">
        <f ca="1">SUMPRODUCT(OFFSET(tConvElecAxH,0,8,1,_maxLT),INDEX(elecAxH,stdCSL+1,1)*allOnes,tpSurvAxH)</f>
        <v>0</v>
      </c>
      <c r="N153" s="39">
        <f ca="1">SUMPRODUCT(OFFSET(tConvElecAxH,0,9,1,_maxLT),INDEX(elecAxH,stdCSL+1,1)*allOnes,tpSurvAxH)</f>
        <v>0</v>
      </c>
      <c r="O153" s="39">
        <f ca="1">SUMPRODUCT(OFFSET(tConvElecAxH,0,10,1,_maxLT),INDEX(elecAxH,stdCSL+1,1)*allOnes,tpSurvAxH)</f>
        <v>0</v>
      </c>
      <c r="P153" s="39">
        <f ca="1">SUMPRODUCT(OFFSET(tConvElecAxH,0,11,1,_maxLT),INDEX(elecAxH,stdCSL+1,1)*allOnes,tpSurvAxH)</f>
        <v>0</v>
      </c>
      <c r="Q153" s="39">
        <f ca="1">SUMPRODUCT(OFFSET(tConvElecAxH,0,12,1,_maxLT),INDEX(elecAxH,stdCSL+1,1)*allOnes,tpSurvAxH)</f>
        <v>0</v>
      </c>
      <c r="R153" s="39">
        <f ca="1">SUMPRODUCT(OFFSET(tConvElecAxH,0,13,1,_maxLT),INDEX(elecAxH,stdCSL+1,1)*allOnes,tpSurvAxH)</f>
        <v>0</v>
      </c>
      <c r="S153" s="39">
        <f ca="1">SUMPRODUCT(OFFSET(tConvElecAxH,0,14,1,_maxLT),INDEX(elecAxH,stdCSL+1,1)*allOnes,tpSurvAxH)</f>
        <v>0</v>
      </c>
      <c r="T153" s="39">
        <f ca="1">SUMPRODUCT(OFFSET(tConvElecAxH,0,15,1,_maxLT),INDEX(elecAxH,stdCSL+1,1)*allOnes,tpSurvAxH)</f>
        <v>0</v>
      </c>
      <c r="U153" s="39">
        <f ca="1">SUMPRODUCT(OFFSET(tConvElecAxH,0,16,1,_maxLT),INDEX(elecAxH,stdCSL+1,1)*allOnes,tpSurvAxH)</f>
        <v>0</v>
      </c>
      <c r="V153" s="39">
        <f ca="1">SUMPRODUCT(OFFSET(tConvElecAxH,0,17,1,_maxLT),INDEX(elecAxH,stdCSL+1,1)*allOnes,tpSurvAxH)</f>
        <v>0</v>
      </c>
      <c r="W153" s="39">
        <f ca="1">SUMPRODUCT(OFFSET(tConvElecAxH,0,18,1,_maxLT),INDEX(elecAxH,stdCSL+1,1)*allOnes,tpSurvAxH)</f>
        <v>0</v>
      </c>
      <c r="X153" s="39">
        <f ca="1">SUMPRODUCT(OFFSET(tConvElecAxH,0,19,1,_maxLT),INDEX(elecAxH,stdCSL+1,1)*allOnes,tpSurvAxH)</f>
        <v>0</v>
      </c>
      <c r="Y153" s="39">
        <f ca="1">SUMPRODUCT(OFFSET(tConvElecAxH,0,20,1,_maxLT),INDEX(elecAxH,stdCSL+1,1)*allOnes,tpSurvAxH)</f>
        <v>0</v>
      </c>
      <c r="Z153" s="39">
        <f ca="1">SUMPRODUCT(OFFSET(tConvElecAxH,0,21,1,_maxLT),INDEX(elecAxH,stdCSL+1,1)*allOnes,tpSurvAxH)</f>
        <v>0</v>
      </c>
      <c r="AA153" s="39">
        <f ca="1">SUMPRODUCT(OFFSET(tConvElecAxH,0,22,1,_maxLT),INDEX(elecAxH,stdCSL+1,1)*allOnes,tpSurvAxH)</f>
        <v>0</v>
      </c>
      <c r="AB153" s="39">
        <f ca="1">SUMPRODUCT(OFFSET(tConvElecAxH,0,23,1,_maxLT),INDEX(elecAxH,stdCSL+1,1)*allOnes,tpSurvAxH)</f>
        <v>0</v>
      </c>
      <c r="AC153" s="39">
        <f ca="1">SUMPRODUCT(OFFSET(tConvElecAxH,0,24,1,_maxLT),INDEX(elecAxH,stdCSL+1,1)*allOnes,tpSurvAxH)</f>
        <v>0</v>
      </c>
      <c r="AD153" s="39">
        <f ca="1">SUMPRODUCT(OFFSET(tConvElecAxH,0,25,1,_maxLT),INDEX(elecAxH,stdCSL+1,1)*allOnes,tpSurvAxH)</f>
        <v>0</v>
      </c>
      <c r="AE153" s="39">
        <f ca="1">SUMPRODUCT(OFFSET(tConvElecAxH,0,26,1,_maxLT),INDEX(elecAxH,stdCSL+1,1)*allOnes,tpSurvAxH)</f>
        <v>0</v>
      </c>
      <c r="AF153" s="39">
        <f ca="1">SUMPRODUCT(OFFSET(tConvElecAxH,0,27,1,_maxLT),INDEX(elecAxH,stdCSL+1,1)*allOnes,tpSurvAxH)</f>
        <v>0</v>
      </c>
      <c r="AG153" s="39">
        <f ca="1">SUMPRODUCT(OFFSET(tConvElecAxH,0,28,1,_maxLT),INDEX(elecAxH,stdCSL+1,1)*allOnes,tpSurvAxH)</f>
        <v>0</v>
      </c>
      <c r="AH153" s="39">
        <f ca="1">SUMPRODUCT(OFFSET(tConvElecAxH,0,29,1,_maxLT),INDEX(elecAxH,stdCSL+1,1)*allOnes,tpSurvAxH)</f>
        <v>0</v>
      </c>
      <c r="AI153" s="39">
        <f ca="1">SUMPRODUCT(OFFSET(tConvElecAxH,0,30,1,_maxLT),INDEX(elecAxH,stdCSL+1,1)*allOnes,tpSurvAxH)</f>
        <v>0</v>
      </c>
      <c r="AJ153" s="39">
        <f ca="1">SUMPRODUCT(OFFSET(tConvElecAxH,0,31,1,_maxLT),INDEX(elecAxH,stdCSL+1,1)*allOnes,tpSurvAxH)</f>
        <v>0</v>
      </c>
      <c r="AK153" s="39">
        <f ca="1">SUMPRODUCT(OFFSET(tConvElecAxH,0,32,1,_maxLT),INDEX(elecAxH,stdCSL+1,1)*allOnes,tpSurvAxH)</f>
        <v>0</v>
      </c>
      <c r="AL153" s="40">
        <f ca="1">SUMPRODUCT(OFFSET(tConvElecAxH,0,33,1,_maxLT),INDEX(elecAxH,stdCSL+1,1)*allOnes,tpSurvAxH)</f>
        <v>0</v>
      </c>
      <c r="AM153" s="10"/>
    </row>
    <row r="154" spans="2:39">
      <c r="B154" s="10"/>
      <c r="C154" s="57" t="str">
        <f>"EL 1: " &amp; INDEX(_doName,1,2)</f>
        <v>EL 1: EL 1</v>
      </c>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3"/>
      <c r="AM154" s="10"/>
    </row>
    <row r="155" spans="2:39">
      <c r="B155" s="10"/>
      <c r="C155" s="16" t="s">
        <v>69</v>
      </c>
      <c r="D155" s="12" t="str">
        <f>_yearDol &amp; "$"</f>
        <v>2015$</v>
      </c>
      <c r="E155" s="13">
        <f t="array" aca="1" ref="E155:AL155" ca="1">INDEX(mspAxH,stdCSL+1,2)*tPIdxAll + INDEX(instAxH,stdCSL+1,2) + IF(bESav,SUMPRODUCT(dFactor,tpSurvAxH,INDEX(mrAxH,stdCSL+1,2)*allOnes),0)</f>
        <v>0</v>
      </c>
      <c r="F155" s="13">
        <f ca="1"/>
        <v>0</v>
      </c>
      <c r="G155" s="13">
        <f ca="1"/>
        <v>0</v>
      </c>
      <c r="H155" s="13">
        <f ca="1"/>
        <v>0</v>
      </c>
      <c r="I155" s="13">
        <f ca="1"/>
        <v>0</v>
      </c>
      <c r="J155" s="13">
        <f ca="1"/>
        <v>0</v>
      </c>
      <c r="K155" s="13">
        <f ca="1"/>
        <v>0</v>
      </c>
      <c r="L155" s="13">
        <f ca="1"/>
        <v>0</v>
      </c>
      <c r="M155" s="13">
        <f ca="1"/>
        <v>0</v>
      </c>
      <c r="N155" s="13">
        <f ca="1"/>
        <v>0</v>
      </c>
      <c r="O155" s="13">
        <f ca="1"/>
        <v>0</v>
      </c>
      <c r="P155" s="13">
        <f ca="1"/>
        <v>0</v>
      </c>
      <c r="Q155" s="13">
        <f ca="1"/>
        <v>0</v>
      </c>
      <c r="R155" s="13">
        <f ca="1"/>
        <v>0</v>
      </c>
      <c r="S155" s="13">
        <f ca="1"/>
        <v>0</v>
      </c>
      <c r="T155" s="13">
        <f ca="1"/>
        <v>0</v>
      </c>
      <c r="U155" s="13">
        <f ca="1"/>
        <v>0</v>
      </c>
      <c r="V155" s="13">
        <f ca="1"/>
        <v>0</v>
      </c>
      <c r="W155" s="13">
        <f ca="1"/>
        <v>0</v>
      </c>
      <c r="X155" s="13">
        <f ca="1"/>
        <v>0</v>
      </c>
      <c r="Y155" s="13">
        <f ca="1"/>
        <v>0</v>
      </c>
      <c r="Z155" s="13">
        <f ca="1"/>
        <v>0</v>
      </c>
      <c r="AA155" s="13">
        <f ca="1"/>
        <v>0</v>
      </c>
      <c r="AB155" s="13">
        <f ca="1"/>
        <v>0</v>
      </c>
      <c r="AC155" s="13">
        <f ca="1"/>
        <v>0</v>
      </c>
      <c r="AD155" s="13">
        <f ca="1"/>
        <v>0</v>
      </c>
      <c r="AE155" s="13">
        <f ca="1"/>
        <v>0</v>
      </c>
      <c r="AF155" s="13">
        <f ca="1"/>
        <v>0</v>
      </c>
      <c r="AG155" s="13">
        <f ca="1"/>
        <v>0</v>
      </c>
      <c r="AH155" s="13">
        <f ca="1"/>
        <v>0</v>
      </c>
      <c r="AI155" s="13">
        <f ca="1"/>
        <v>0</v>
      </c>
      <c r="AJ155" s="13">
        <f ca="1"/>
        <v>0</v>
      </c>
      <c r="AK155" s="13">
        <f ca="1"/>
        <v>0</v>
      </c>
      <c r="AL155" s="56">
        <f ca="1"/>
        <v>0</v>
      </c>
      <c r="AM155" s="10"/>
    </row>
    <row r="156" spans="2:39">
      <c r="B156" s="10"/>
      <c r="C156" s="16" t="str">
        <f>zEO&amp;" Costs"</f>
        <v>Operating Costs</v>
      </c>
      <c r="D156" s="12" t="str">
        <f>_yearDol &amp; "$"</f>
        <v>2015$</v>
      </c>
      <c r="E156" s="13">
        <f t="array" aca="1" ref="E156:AL156" ca="1">(tlccEFuElecpol1) + IF(bOSav,SUMPRODUCT(dFactor,tpSurvAxH,INDEX(mrAxH,stdCSL+1,2)*allOnes),0)</f>
        <v>0</v>
      </c>
      <c r="F156" s="13">
        <f ca="1"/>
        <v>0</v>
      </c>
      <c r="G156" s="13">
        <f ca="1"/>
        <v>0</v>
      </c>
      <c r="H156" s="13">
        <f ca="1"/>
        <v>0</v>
      </c>
      <c r="I156" s="13">
        <f ca="1"/>
        <v>0</v>
      </c>
      <c r="J156" s="13">
        <f ca="1"/>
        <v>0</v>
      </c>
      <c r="K156" s="13">
        <f ca="1"/>
        <v>0</v>
      </c>
      <c r="L156" s="13">
        <f ca="1"/>
        <v>0</v>
      </c>
      <c r="M156" s="13">
        <f ca="1"/>
        <v>0</v>
      </c>
      <c r="N156" s="13">
        <f ca="1"/>
        <v>0</v>
      </c>
      <c r="O156" s="13">
        <f ca="1"/>
        <v>0</v>
      </c>
      <c r="P156" s="13">
        <f ca="1"/>
        <v>0</v>
      </c>
      <c r="Q156" s="13">
        <f ca="1"/>
        <v>0</v>
      </c>
      <c r="R156" s="13">
        <f ca="1"/>
        <v>0</v>
      </c>
      <c r="S156" s="13">
        <f ca="1"/>
        <v>0</v>
      </c>
      <c r="T156" s="13">
        <f ca="1"/>
        <v>0</v>
      </c>
      <c r="U156" s="13">
        <f ca="1"/>
        <v>0</v>
      </c>
      <c r="V156" s="13">
        <f ca="1"/>
        <v>0</v>
      </c>
      <c r="W156" s="13">
        <f ca="1"/>
        <v>0</v>
      </c>
      <c r="X156" s="13">
        <f ca="1"/>
        <v>0</v>
      </c>
      <c r="Y156" s="13">
        <f ca="1"/>
        <v>0</v>
      </c>
      <c r="Z156" s="13">
        <f ca="1"/>
        <v>0</v>
      </c>
      <c r="AA156" s="13">
        <f ca="1"/>
        <v>0</v>
      </c>
      <c r="AB156" s="13">
        <f ca="1"/>
        <v>0</v>
      </c>
      <c r="AC156" s="13">
        <f ca="1"/>
        <v>0</v>
      </c>
      <c r="AD156" s="13">
        <f ca="1"/>
        <v>0</v>
      </c>
      <c r="AE156" s="13">
        <f ca="1"/>
        <v>0</v>
      </c>
      <c r="AF156" s="13">
        <f ca="1"/>
        <v>0</v>
      </c>
      <c r="AG156" s="13">
        <f ca="1"/>
        <v>0</v>
      </c>
      <c r="AH156" s="13">
        <f ca="1"/>
        <v>0</v>
      </c>
      <c r="AI156" s="13">
        <f ca="1"/>
        <v>0</v>
      </c>
      <c r="AJ156" s="13">
        <f ca="1"/>
        <v>0</v>
      </c>
      <c r="AK156" s="13">
        <f ca="1"/>
        <v>0</v>
      </c>
      <c r="AL156" s="56">
        <f ca="1"/>
        <v>0</v>
      </c>
      <c r="AM156" s="10"/>
    </row>
    <row r="157" spans="2:39">
      <c r="B157" s="10"/>
      <c r="C157" s="28" t="str">
        <f>INDEX(_fuel,1)</f>
        <v>Electricity</v>
      </c>
      <c r="D157" s="12" t="str">
        <f>_yearDol &amp; "$"</f>
        <v>2015$</v>
      </c>
      <c r="E157" s="13">
        <f ca="1">SUMPRODUCT(dFactor,tpSurvAxH,INDEX(elecAxH,stdCSL+1,2)*allOnes,OFFSET(tPrcElec,0,0,1,_maxLT))</f>
        <v>0</v>
      </c>
      <c r="F157" s="13">
        <f ca="1">SUMPRODUCT(dFactor,tpSurvAxH,INDEX(elecAxH,stdCSL+1,2)*allOnes,OFFSET(tPrcElec,0,1,1,_maxLT))</f>
        <v>0</v>
      </c>
      <c r="G157" s="13">
        <f ca="1">SUMPRODUCT(dFactor,tpSurvAxH,INDEX(elecAxH,stdCSL+1,2)*allOnes,OFFSET(tPrcElec,0,2,1,_maxLT))</f>
        <v>0</v>
      </c>
      <c r="H157" s="13">
        <f ca="1">SUMPRODUCT(dFactor,tpSurvAxH,INDEX(elecAxH,stdCSL+1,2)*allOnes,OFFSET(tPrcElec,0,3,1,_maxLT))</f>
        <v>0</v>
      </c>
      <c r="I157" s="13">
        <f ca="1">SUMPRODUCT(dFactor,tpSurvAxH,INDEX(elecAxH,stdCSL+1,2)*allOnes,OFFSET(tPrcElec,0,4,1,_maxLT))</f>
        <v>0</v>
      </c>
      <c r="J157" s="13">
        <f ca="1">SUMPRODUCT(dFactor,tpSurvAxH,INDEX(elecAxH,stdCSL+1,2)*allOnes,OFFSET(tPrcElec,0,5,1,_maxLT))</f>
        <v>0</v>
      </c>
      <c r="K157" s="13">
        <f ca="1">SUMPRODUCT(dFactor,tpSurvAxH,INDEX(elecAxH,stdCSL+1,2)*allOnes,OFFSET(tPrcElec,0,6,1,_maxLT))</f>
        <v>0</v>
      </c>
      <c r="L157" s="13">
        <f ca="1">SUMPRODUCT(dFactor,tpSurvAxH,INDEX(elecAxH,stdCSL+1,2)*allOnes,OFFSET(tPrcElec,0,7,1,_maxLT))</f>
        <v>0</v>
      </c>
      <c r="M157" s="13">
        <f ca="1">SUMPRODUCT(dFactor,tpSurvAxH,INDEX(elecAxH,stdCSL+1,2)*allOnes,OFFSET(tPrcElec,0,8,1,_maxLT))</f>
        <v>0</v>
      </c>
      <c r="N157" s="13">
        <f ca="1">SUMPRODUCT(dFactor,tpSurvAxH,INDEX(elecAxH,stdCSL+1,2)*allOnes,OFFSET(tPrcElec,0,9,1,_maxLT))</f>
        <v>0</v>
      </c>
      <c r="O157" s="13">
        <f ca="1">SUMPRODUCT(dFactor,tpSurvAxH,INDEX(elecAxH,stdCSL+1,2)*allOnes,OFFSET(tPrcElec,0,10,1,_maxLT))</f>
        <v>0</v>
      </c>
      <c r="P157" s="13">
        <f ca="1">SUMPRODUCT(dFactor,tpSurvAxH,INDEX(elecAxH,stdCSL+1,2)*allOnes,OFFSET(tPrcElec,0,11,1,_maxLT))</f>
        <v>0</v>
      </c>
      <c r="Q157" s="13">
        <f ca="1">SUMPRODUCT(dFactor,tpSurvAxH,INDEX(elecAxH,stdCSL+1,2)*allOnes,OFFSET(tPrcElec,0,12,1,_maxLT))</f>
        <v>0</v>
      </c>
      <c r="R157" s="13">
        <f ca="1">SUMPRODUCT(dFactor,tpSurvAxH,INDEX(elecAxH,stdCSL+1,2)*allOnes,OFFSET(tPrcElec,0,13,1,_maxLT))</f>
        <v>0</v>
      </c>
      <c r="S157" s="13">
        <f ca="1">SUMPRODUCT(dFactor,tpSurvAxH,INDEX(elecAxH,stdCSL+1,2)*allOnes,OFFSET(tPrcElec,0,14,1,_maxLT))</f>
        <v>0</v>
      </c>
      <c r="T157" s="13">
        <f ca="1">SUMPRODUCT(dFactor,tpSurvAxH,INDEX(elecAxH,stdCSL+1,2)*allOnes,OFFSET(tPrcElec,0,15,1,_maxLT))</f>
        <v>0</v>
      </c>
      <c r="U157" s="13">
        <f ca="1">SUMPRODUCT(dFactor,tpSurvAxH,INDEX(elecAxH,stdCSL+1,2)*allOnes,OFFSET(tPrcElec,0,16,1,_maxLT))</f>
        <v>0</v>
      </c>
      <c r="V157" s="13">
        <f ca="1">SUMPRODUCT(dFactor,tpSurvAxH,INDEX(elecAxH,stdCSL+1,2)*allOnes,OFFSET(tPrcElec,0,17,1,_maxLT))</f>
        <v>0</v>
      </c>
      <c r="W157" s="13">
        <f ca="1">SUMPRODUCT(dFactor,tpSurvAxH,INDEX(elecAxH,stdCSL+1,2)*allOnes,OFFSET(tPrcElec,0,18,1,_maxLT))</f>
        <v>0</v>
      </c>
      <c r="X157" s="13">
        <f ca="1">SUMPRODUCT(dFactor,tpSurvAxH,INDEX(elecAxH,stdCSL+1,2)*allOnes,OFFSET(tPrcElec,0,19,1,_maxLT))</f>
        <v>0</v>
      </c>
      <c r="Y157" s="13">
        <f ca="1">SUMPRODUCT(dFactor,tpSurvAxH,INDEX(elecAxH,stdCSL+1,2)*allOnes,OFFSET(tPrcElec,0,20,1,_maxLT))</f>
        <v>0</v>
      </c>
      <c r="Z157" s="13">
        <f ca="1">SUMPRODUCT(dFactor,tpSurvAxH,INDEX(elecAxH,stdCSL+1,2)*allOnes,OFFSET(tPrcElec,0,21,1,_maxLT))</f>
        <v>0</v>
      </c>
      <c r="AA157" s="13">
        <f ca="1">SUMPRODUCT(dFactor,tpSurvAxH,INDEX(elecAxH,stdCSL+1,2)*allOnes,OFFSET(tPrcElec,0,22,1,_maxLT))</f>
        <v>0</v>
      </c>
      <c r="AB157" s="13">
        <f ca="1">SUMPRODUCT(dFactor,tpSurvAxH,INDEX(elecAxH,stdCSL+1,2)*allOnes,OFFSET(tPrcElec,0,23,1,_maxLT))</f>
        <v>0</v>
      </c>
      <c r="AC157" s="13">
        <f ca="1">SUMPRODUCT(dFactor,tpSurvAxH,INDEX(elecAxH,stdCSL+1,2)*allOnes,OFFSET(tPrcElec,0,24,1,_maxLT))</f>
        <v>0</v>
      </c>
      <c r="AD157" s="13">
        <f ca="1">SUMPRODUCT(dFactor,tpSurvAxH,INDEX(elecAxH,stdCSL+1,2)*allOnes,OFFSET(tPrcElec,0,25,1,_maxLT))</f>
        <v>0</v>
      </c>
      <c r="AE157" s="13">
        <f ca="1">SUMPRODUCT(dFactor,tpSurvAxH,INDEX(elecAxH,stdCSL+1,2)*allOnes,OFFSET(tPrcElec,0,26,1,_maxLT))</f>
        <v>0</v>
      </c>
      <c r="AF157" s="13">
        <f ca="1">SUMPRODUCT(dFactor,tpSurvAxH,INDEX(elecAxH,stdCSL+1,2)*allOnes,OFFSET(tPrcElec,0,27,1,_maxLT))</f>
        <v>0</v>
      </c>
      <c r="AG157" s="13">
        <f ca="1">SUMPRODUCT(dFactor,tpSurvAxH,INDEX(elecAxH,stdCSL+1,2)*allOnes,OFFSET(tPrcElec,0,28,1,_maxLT))</f>
        <v>0</v>
      </c>
      <c r="AH157" s="13">
        <f ca="1">SUMPRODUCT(dFactor,tpSurvAxH,INDEX(elecAxH,stdCSL+1,2)*allOnes,OFFSET(tPrcElec,0,29,1,_maxLT))</f>
        <v>0</v>
      </c>
      <c r="AI157" s="13">
        <f ca="1">SUMPRODUCT(dFactor,tpSurvAxH,INDEX(elecAxH,stdCSL+1,2)*allOnes,OFFSET(tPrcElec,0,30,1,_maxLT))</f>
        <v>0</v>
      </c>
      <c r="AJ157" s="13">
        <f ca="1">SUMPRODUCT(dFactor,tpSurvAxH,INDEX(elecAxH,stdCSL+1,2)*allOnes,OFFSET(tPrcElec,0,31,1,_maxLT))</f>
        <v>0</v>
      </c>
      <c r="AK157" s="13">
        <f ca="1">SUMPRODUCT(dFactor,tpSurvAxH,INDEX(elecAxH,stdCSL+1,2)*allOnes,OFFSET(tPrcElec,0,32,1,_maxLT))</f>
        <v>0</v>
      </c>
      <c r="AL157" s="56">
        <f ca="1">SUMPRODUCT(dFactor,tpSurvAxH,INDEX(elecAxH,stdCSL+1,2)*allOnes,OFFSET(tPrcElec,0,33,1,_maxLT))</f>
        <v>0</v>
      </c>
      <c r="AM157" s="10"/>
    </row>
    <row r="158" spans="2:39">
      <c r="B158" s="10"/>
      <c r="C158" s="16" t="s">
        <v>79</v>
      </c>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5"/>
      <c r="AM158" s="10"/>
    </row>
    <row r="159" spans="2:39">
      <c r="B159" s="10"/>
      <c r="C159" s="28" t="str">
        <f>INDEX(_fuel,1)</f>
        <v>Electricity</v>
      </c>
      <c r="D159" s="12" t="s">
        <v>83</v>
      </c>
      <c r="E159" s="39">
        <f ca="1">SUMPRODUCT(OFFSET(tConvElecAxH,0,0,1,_maxLT),INDEX(elecAxH,stdCSL+1,2)*allOnes,tpSurvAxH)</f>
        <v>0</v>
      </c>
      <c r="F159" s="39">
        <f ca="1">SUMPRODUCT(OFFSET(tConvElecAxH,0,1,1,_maxLT),INDEX(elecAxH,stdCSL+1,2)*allOnes,tpSurvAxH)</f>
        <v>0</v>
      </c>
      <c r="G159" s="39">
        <f ca="1">SUMPRODUCT(OFFSET(tConvElecAxH,0,2,1,_maxLT),INDEX(elecAxH,stdCSL+1,2)*allOnes,tpSurvAxH)</f>
        <v>0</v>
      </c>
      <c r="H159" s="39">
        <f ca="1">SUMPRODUCT(OFFSET(tConvElecAxH,0,3,1,_maxLT),INDEX(elecAxH,stdCSL+1,2)*allOnes,tpSurvAxH)</f>
        <v>0</v>
      </c>
      <c r="I159" s="39">
        <f ca="1">SUMPRODUCT(OFFSET(tConvElecAxH,0,4,1,_maxLT),INDEX(elecAxH,stdCSL+1,2)*allOnes,tpSurvAxH)</f>
        <v>0</v>
      </c>
      <c r="J159" s="39">
        <f ca="1">SUMPRODUCT(OFFSET(tConvElecAxH,0,5,1,_maxLT),INDEX(elecAxH,stdCSL+1,2)*allOnes,tpSurvAxH)</f>
        <v>0</v>
      </c>
      <c r="K159" s="39">
        <f ca="1">SUMPRODUCT(OFFSET(tConvElecAxH,0,6,1,_maxLT),INDEX(elecAxH,stdCSL+1,2)*allOnes,tpSurvAxH)</f>
        <v>0</v>
      </c>
      <c r="L159" s="39">
        <f ca="1">SUMPRODUCT(OFFSET(tConvElecAxH,0,7,1,_maxLT),INDEX(elecAxH,stdCSL+1,2)*allOnes,tpSurvAxH)</f>
        <v>0</v>
      </c>
      <c r="M159" s="39">
        <f ca="1">SUMPRODUCT(OFFSET(tConvElecAxH,0,8,1,_maxLT),INDEX(elecAxH,stdCSL+1,2)*allOnes,tpSurvAxH)</f>
        <v>0</v>
      </c>
      <c r="N159" s="39">
        <f ca="1">SUMPRODUCT(OFFSET(tConvElecAxH,0,9,1,_maxLT),INDEX(elecAxH,stdCSL+1,2)*allOnes,tpSurvAxH)</f>
        <v>0</v>
      </c>
      <c r="O159" s="39">
        <f ca="1">SUMPRODUCT(OFFSET(tConvElecAxH,0,10,1,_maxLT),INDEX(elecAxH,stdCSL+1,2)*allOnes,tpSurvAxH)</f>
        <v>0</v>
      </c>
      <c r="P159" s="39">
        <f ca="1">SUMPRODUCT(OFFSET(tConvElecAxH,0,11,1,_maxLT),INDEX(elecAxH,stdCSL+1,2)*allOnes,tpSurvAxH)</f>
        <v>0</v>
      </c>
      <c r="Q159" s="39">
        <f ca="1">SUMPRODUCT(OFFSET(tConvElecAxH,0,12,1,_maxLT),INDEX(elecAxH,stdCSL+1,2)*allOnes,tpSurvAxH)</f>
        <v>0</v>
      </c>
      <c r="R159" s="39">
        <f ca="1">SUMPRODUCT(OFFSET(tConvElecAxH,0,13,1,_maxLT),INDEX(elecAxH,stdCSL+1,2)*allOnes,tpSurvAxH)</f>
        <v>0</v>
      </c>
      <c r="S159" s="39">
        <f ca="1">SUMPRODUCT(OFFSET(tConvElecAxH,0,14,1,_maxLT),INDEX(elecAxH,stdCSL+1,2)*allOnes,tpSurvAxH)</f>
        <v>0</v>
      </c>
      <c r="T159" s="39">
        <f ca="1">SUMPRODUCT(OFFSET(tConvElecAxH,0,15,1,_maxLT),INDEX(elecAxH,stdCSL+1,2)*allOnes,tpSurvAxH)</f>
        <v>0</v>
      </c>
      <c r="U159" s="39">
        <f ca="1">SUMPRODUCT(OFFSET(tConvElecAxH,0,16,1,_maxLT),INDEX(elecAxH,stdCSL+1,2)*allOnes,tpSurvAxH)</f>
        <v>0</v>
      </c>
      <c r="V159" s="39">
        <f ca="1">SUMPRODUCT(OFFSET(tConvElecAxH,0,17,1,_maxLT),INDEX(elecAxH,stdCSL+1,2)*allOnes,tpSurvAxH)</f>
        <v>0</v>
      </c>
      <c r="W159" s="39">
        <f ca="1">SUMPRODUCT(OFFSET(tConvElecAxH,0,18,1,_maxLT),INDEX(elecAxH,stdCSL+1,2)*allOnes,tpSurvAxH)</f>
        <v>0</v>
      </c>
      <c r="X159" s="39">
        <f ca="1">SUMPRODUCT(OFFSET(tConvElecAxH,0,19,1,_maxLT),INDEX(elecAxH,stdCSL+1,2)*allOnes,tpSurvAxH)</f>
        <v>0</v>
      </c>
      <c r="Y159" s="39">
        <f ca="1">SUMPRODUCT(OFFSET(tConvElecAxH,0,20,1,_maxLT),INDEX(elecAxH,stdCSL+1,2)*allOnes,tpSurvAxH)</f>
        <v>0</v>
      </c>
      <c r="Z159" s="39">
        <f ca="1">SUMPRODUCT(OFFSET(tConvElecAxH,0,21,1,_maxLT),INDEX(elecAxH,stdCSL+1,2)*allOnes,tpSurvAxH)</f>
        <v>0</v>
      </c>
      <c r="AA159" s="39">
        <f ca="1">SUMPRODUCT(OFFSET(tConvElecAxH,0,22,1,_maxLT),INDEX(elecAxH,stdCSL+1,2)*allOnes,tpSurvAxH)</f>
        <v>0</v>
      </c>
      <c r="AB159" s="39">
        <f ca="1">SUMPRODUCT(OFFSET(tConvElecAxH,0,23,1,_maxLT),INDEX(elecAxH,stdCSL+1,2)*allOnes,tpSurvAxH)</f>
        <v>0</v>
      </c>
      <c r="AC159" s="39">
        <f ca="1">SUMPRODUCT(OFFSET(tConvElecAxH,0,24,1,_maxLT),INDEX(elecAxH,stdCSL+1,2)*allOnes,tpSurvAxH)</f>
        <v>0</v>
      </c>
      <c r="AD159" s="39">
        <f ca="1">SUMPRODUCT(OFFSET(tConvElecAxH,0,25,1,_maxLT),INDEX(elecAxH,stdCSL+1,2)*allOnes,tpSurvAxH)</f>
        <v>0</v>
      </c>
      <c r="AE159" s="39">
        <f ca="1">SUMPRODUCT(OFFSET(tConvElecAxH,0,26,1,_maxLT),INDEX(elecAxH,stdCSL+1,2)*allOnes,tpSurvAxH)</f>
        <v>0</v>
      </c>
      <c r="AF159" s="39">
        <f ca="1">SUMPRODUCT(OFFSET(tConvElecAxH,0,27,1,_maxLT),INDEX(elecAxH,stdCSL+1,2)*allOnes,tpSurvAxH)</f>
        <v>0</v>
      </c>
      <c r="AG159" s="39">
        <f ca="1">SUMPRODUCT(OFFSET(tConvElecAxH,0,28,1,_maxLT),INDEX(elecAxH,stdCSL+1,2)*allOnes,tpSurvAxH)</f>
        <v>0</v>
      </c>
      <c r="AH159" s="39">
        <f ca="1">SUMPRODUCT(OFFSET(tConvElecAxH,0,29,1,_maxLT),INDEX(elecAxH,stdCSL+1,2)*allOnes,tpSurvAxH)</f>
        <v>0</v>
      </c>
      <c r="AI159" s="39">
        <f ca="1">SUMPRODUCT(OFFSET(tConvElecAxH,0,30,1,_maxLT),INDEX(elecAxH,stdCSL+1,2)*allOnes,tpSurvAxH)</f>
        <v>0</v>
      </c>
      <c r="AJ159" s="39">
        <f ca="1">SUMPRODUCT(OFFSET(tConvElecAxH,0,31,1,_maxLT),INDEX(elecAxH,stdCSL+1,2)*allOnes,tpSurvAxH)</f>
        <v>0</v>
      </c>
      <c r="AK159" s="39">
        <f ca="1">SUMPRODUCT(OFFSET(tConvElecAxH,0,32,1,_maxLT),INDEX(elecAxH,stdCSL+1,2)*allOnes,tpSurvAxH)</f>
        <v>0</v>
      </c>
      <c r="AL159" s="40">
        <f ca="1">SUMPRODUCT(OFFSET(tConvElecAxH,0,33,1,_maxLT),INDEX(elecAxH,stdCSL+1,2)*allOnes,tpSurvAxH)</f>
        <v>0</v>
      </c>
      <c r="AM159" s="10"/>
    </row>
    <row r="160" spans="2:39">
      <c r="B160" s="10"/>
      <c r="C160" s="57" t="str">
        <f>"EL 2: " &amp; INDEX(_doName,1,3)</f>
        <v>EL 2: EL 2</v>
      </c>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3"/>
      <c r="AM160" s="10"/>
    </row>
    <row r="161" spans="2:39">
      <c r="B161" s="10"/>
      <c r="C161" s="16" t="s">
        <v>69</v>
      </c>
      <c r="D161" s="12" t="str">
        <f>_yearDol &amp; "$"</f>
        <v>2015$</v>
      </c>
      <c r="E161" s="13">
        <f t="array" aca="1" ref="E161:AL161" ca="1">INDEX(mspAxH,stdCSL+1,3)*tPIdxAll + INDEX(instAxH,stdCSL+1,3) + IF(bESav,SUMPRODUCT(dFactor,tpSurvAxH,INDEX(mrAxH,stdCSL+1,3)*allOnes),0)</f>
        <v>0</v>
      </c>
      <c r="F161" s="13">
        <f ca="1"/>
        <v>0</v>
      </c>
      <c r="G161" s="13">
        <f ca="1"/>
        <v>0</v>
      </c>
      <c r="H161" s="13">
        <f ca="1"/>
        <v>0</v>
      </c>
      <c r="I161" s="13">
        <f ca="1"/>
        <v>0</v>
      </c>
      <c r="J161" s="13">
        <f ca="1"/>
        <v>0</v>
      </c>
      <c r="K161" s="13">
        <f ca="1"/>
        <v>0</v>
      </c>
      <c r="L161" s="13">
        <f ca="1"/>
        <v>0</v>
      </c>
      <c r="M161" s="13">
        <f ca="1"/>
        <v>0</v>
      </c>
      <c r="N161" s="13">
        <f ca="1"/>
        <v>0</v>
      </c>
      <c r="O161" s="13">
        <f ca="1"/>
        <v>0</v>
      </c>
      <c r="P161" s="13">
        <f ca="1"/>
        <v>0</v>
      </c>
      <c r="Q161" s="13">
        <f ca="1"/>
        <v>0</v>
      </c>
      <c r="R161" s="13">
        <f ca="1"/>
        <v>0</v>
      </c>
      <c r="S161" s="13">
        <f ca="1"/>
        <v>0</v>
      </c>
      <c r="T161" s="13">
        <f ca="1"/>
        <v>0</v>
      </c>
      <c r="U161" s="13">
        <f ca="1"/>
        <v>0</v>
      </c>
      <c r="V161" s="13">
        <f ca="1"/>
        <v>0</v>
      </c>
      <c r="W161" s="13">
        <f ca="1"/>
        <v>0</v>
      </c>
      <c r="X161" s="13">
        <f ca="1"/>
        <v>0</v>
      </c>
      <c r="Y161" s="13">
        <f ca="1"/>
        <v>0</v>
      </c>
      <c r="Z161" s="13">
        <f ca="1"/>
        <v>0</v>
      </c>
      <c r="AA161" s="13">
        <f ca="1"/>
        <v>0</v>
      </c>
      <c r="AB161" s="13">
        <f ca="1"/>
        <v>0</v>
      </c>
      <c r="AC161" s="13">
        <f ca="1"/>
        <v>0</v>
      </c>
      <c r="AD161" s="13">
        <f ca="1"/>
        <v>0</v>
      </c>
      <c r="AE161" s="13">
        <f ca="1"/>
        <v>0</v>
      </c>
      <c r="AF161" s="13">
        <f ca="1"/>
        <v>0</v>
      </c>
      <c r="AG161" s="13">
        <f ca="1"/>
        <v>0</v>
      </c>
      <c r="AH161" s="13">
        <f ca="1"/>
        <v>0</v>
      </c>
      <c r="AI161" s="13">
        <f ca="1"/>
        <v>0</v>
      </c>
      <c r="AJ161" s="13">
        <f ca="1"/>
        <v>0</v>
      </c>
      <c r="AK161" s="13">
        <f ca="1"/>
        <v>0</v>
      </c>
      <c r="AL161" s="56">
        <f ca="1"/>
        <v>0</v>
      </c>
      <c r="AM161" s="10"/>
    </row>
    <row r="162" spans="2:39">
      <c r="B162" s="10"/>
      <c r="C162" s="16" t="str">
        <f>zEO&amp;" Costs"</f>
        <v>Operating Costs</v>
      </c>
      <c r="D162" s="12" t="str">
        <f>_yearDol &amp; "$"</f>
        <v>2015$</v>
      </c>
      <c r="E162" s="13">
        <f t="array" aca="1" ref="E162:AL162" ca="1">(tlccEFuElecpol2) + IF(bOSav,SUMPRODUCT(dFactor,tpSurvAxH,INDEX(mrAxH,stdCSL+1,3)*allOnes),0)</f>
        <v>0</v>
      </c>
      <c r="F162" s="13">
        <f ca="1"/>
        <v>0</v>
      </c>
      <c r="G162" s="13">
        <f ca="1"/>
        <v>0</v>
      </c>
      <c r="H162" s="13">
        <f ca="1"/>
        <v>0</v>
      </c>
      <c r="I162" s="13">
        <f ca="1"/>
        <v>0</v>
      </c>
      <c r="J162" s="13">
        <f ca="1"/>
        <v>0</v>
      </c>
      <c r="K162" s="13">
        <f ca="1"/>
        <v>0</v>
      </c>
      <c r="L162" s="13">
        <f ca="1"/>
        <v>0</v>
      </c>
      <c r="M162" s="13">
        <f ca="1"/>
        <v>0</v>
      </c>
      <c r="N162" s="13">
        <f ca="1"/>
        <v>0</v>
      </c>
      <c r="O162" s="13">
        <f ca="1"/>
        <v>0</v>
      </c>
      <c r="P162" s="13">
        <f ca="1"/>
        <v>0</v>
      </c>
      <c r="Q162" s="13">
        <f ca="1"/>
        <v>0</v>
      </c>
      <c r="R162" s="13">
        <f ca="1"/>
        <v>0</v>
      </c>
      <c r="S162" s="13">
        <f ca="1"/>
        <v>0</v>
      </c>
      <c r="T162" s="13">
        <f ca="1"/>
        <v>0</v>
      </c>
      <c r="U162" s="13">
        <f ca="1"/>
        <v>0</v>
      </c>
      <c r="V162" s="13">
        <f ca="1"/>
        <v>0</v>
      </c>
      <c r="W162" s="13">
        <f ca="1"/>
        <v>0</v>
      </c>
      <c r="X162" s="13">
        <f ca="1"/>
        <v>0</v>
      </c>
      <c r="Y162" s="13">
        <f ca="1"/>
        <v>0</v>
      </c>
      <c r="Z162" s="13">
        <f ca="1"/>
        <v>0</v>
      </c>
      <c r="AA162" s="13">
        <f ca="1"/>
        <v>0</v>
      </c>
      <c r="AB162" s="13">
        <f ca="1"/>
        <v>0</v>
      </c>
      <c r="AC162" s="13">
        <f ca="1"/>
        <v>0</v>
      </c>
      <c r="AD162" s="13">
        <f ca="1"/>
        <v>0</v>
      </c>
      <c r="AE162" s="13">
        <f ca="1"/>
        <v>0</v>
      </c>
      <c r="AF162" s="13">
        <f ca="1"/>
        <v>0</v>
      </c>
      <c r="AG162" s="13">
        <f ca="1"/>
        <v>0</v>
      </c>
      <c r="AH162" s="13">
        <f ca="1"/>
        <v>0</v>
      </c>
      <c r="AI162" s="13">
        <f ca="1"/>
        <v>0</v>
      </c>
      <c r="AJ162" s="13">
        <f ca="1"/>
        <v>0</v>
      </c>
      <c r="AK162" s="13">
        <f ca="1"/>
        <v>0</v>
      </c>
      <c r="AL162" s="56">
        <f ca="1"/>
        <v>0</v>
      </c>
      <c r="AM162" s="10"/>
    </row>
    <row r="163" spans="2:39">
      <c r="B163" s="10"/>
      <c r="C163" s="28" t="str">
        <f>INDEX(_fuel,1)</f>
        <v>Electricity</v>
      </c>
      <c r="D163" s="12" t="str">
        <f>_yearDol &amp; "$"</f>
        <v>2015$</v>
      </c>
      <c r="E163" s="13">
        <f ca="1">SUMPRODUCT(dFactor,tpSurvAxH,INDEX(elecAxH,stdCSL+1,3)*allOnes,OFFSET(tPrcElec,0,0,1,_maxLT))</f>
        <v>0</v>
      </c>
      <c r="F163" s="13">
        <f ca="1">SUMPRODUCT(dFactor,tpSurvAxH,INDEX(elecAxH,stdCSL+1,3)*allOnes,OFFSET(tPrcElec,0,1,1,_maxLT))</f>
        <v>0</v>
      </c>
      <c r="G163" s="13">
        <f ca="1">SUMPRODUCT(dFactor,tpSurvAxH,INDEX(elecAxH,stdCSL+1,3)*allOnes,OFFSET(tPrcElec,0,2,1,_maxLT))</f>
        <v>0</v>
      </c>
      <c r="H163" s="13">
        <f ca="1">SUMPRODUCT(dFactor,tpSurvAxH,INDEX(elecAxH,stdCSL+1,3)*allOnes,OFFSET(tPrcElec,0,3,1,_maxLT))</f>
        <v>0</v>
      </c>
      <c r="I163" s="13">
        <f ca="1">SUMPRODUCT(dFactor,tpSurvAxH,INDEX(elecAxH,stdCSL+1,3)*allOnes,OFFSET(tPrcElec,0,4,1,_maxLT))</f>
        <v>0</v>
      </c>
      <c r="J163" s="13">
        <f ca="1">SUMPRODUCT(dFactor,tpSurvAxH,INDEX(elecAxH,stdCSL+1,3)*allOnes,OFFSET(tPrcElec,0,5,1,_maxLT))</f>
        <v>0</v>
      </c>
      <c r="K163" s="13">
        <f ca="1">SUMPRODUCT(dFactor,tpSurvAxH,INDEX(elecAxH,stdCSL+1,3)*allOnes,OFFSET(tPrcElec,0,6,1,_maxLT))</f>
        <v>0</v>
      </c>
      <c r="L163" s="13">
        <f ca="1">SUMPRODUCT(dFactor,tpSurvAxH,INDEX(elecAxH,stdCSL+1,3)*allOnes,OFFSET(tPrcElec,0,7,1,_maxLT))</f>
        <v>0</v>
      </c>
      <c r="M163" s="13">
        <f ca="1">SUMPRODUCT(dFactor,tpSurvAxH,INDEX(elecAxH,stdCSL+1,3)*allOnes,OFFSET(tPrcElec,0,8,1,_maxLT))</f>
        <v>0</v>
      </c>
      <c r="N163" s="13">
        <f ca="1">SUMPRODUCT(dFactor,tpSurvAxH,INDEX(elecAxH,stdCSL+1,3)*allOnes,OFFSET(tPrcElec,0,9,1,_maxLT))</f>
        <v>0</v>
      </c>
      <c r="O163" s="13">
        <f ca="1">SUMPRODUCT(dFactor,tpSurvAxH,INDEX(elecAxH,stdCSL+1,3)*allOnes,OFFSET(tPrcElec,0,10,1,_maxLT))</f>
        <v>0</v>
      </c>
      <c r="P163" s="13">
        <f ca="1">SUMPRODUCT(dFactor,tpSurvAxH,INDEX(elecAxH,stdCSL+1,3)*allOnes,OFFSET(tPrcElec,0,11,1,_maxLT))</f>
        <v>0</v>
      </c>
      <c r="Q163" s="13">
        <f ca="1">SUMPRODUCT(dFactor,tpSurvAxH,INDEX(elecAxH,stdCSL+1,3)*allOnes,OFFSET(tPrcElec,0,12,1,_maxLT))</f>
        <v>0</v>
      </c>
      <c r="R163" s="13">
        <f ca="1">SUMPRODUCT(dFactor,tpSurvAxH,INDEX(elecAxH,stdCSL+1,3)*allOnes,OFFSET(tPrcElec,0,13,1,_maxLT))</f>
        <v>0</v>
      </c>
      <c r="S163" s="13">
        <f ca="1">SUMPRODUCT(dFactor,tpSurvAxH,INDEX(elecAxH,stdCSL+1,3)*allOnes,OFFSET(tPrcElec,0,14,1,_maxLT))</f>
        <v>0</v>
      </c>
      <c r="T163" s="13">
        <f ca="1">SUMPRODUCT(dFactor,tpSurvAxH,INDEX(elecAxH,stdCSL+1,3)*allOnes,OFFSET(tPrcElec,0,15,1,_maxLT))</f>
        <v>0</v>
      </c>
      <c r="U163" s="13">
        <f ca="1">SUMPRODUCT(dFactor,tpSurvAxH,INDEX(elecAxH,stdCSL+1,3)*allOnes,OFFSET(tPrcElec,0,16,1,_maxLT))</f>
        <v>0</v>
      </c>
      <c r="V163" s="13">
        <f ca="1">SUMPRODUCT(dFactor,tpSurvAxH,INDEX(elecAxH,stdCSL+1,3)*allOnes,OFFSET(tPrcElec,0,17,1,_maxLT))</f>
        <v>0</v>
      </c>
      <c r="W163" s="13">
        <f ca="1">SUMPRODUCT(dFactor,tpSurvAxH,INDEX(elecAxH,stdCSL+1,3)*allOnes,OFFSET(tPrcElec,0,18,1,_maxLT))</f>
        <v>0</v>
      </c>
      <c r="X163" s="13">
        <f ca="1">SUMPRODUCT(dFactor,tpSurvAxH,INDEX(elecAxH,stdCSL+1,3)*allOnes,OFFSET(tPrcElec,0,19,1,_maxLT))</f>
        <v>0</v>
      </c>
      <c r="Y163" s="13">
        <f ca="1">SUMPRODUCT(dFactor,tpSurvAxH,INDEX(elecAxH,stdCSL+1,3)*allOnes,OFFSET(tPrcElec,0,20,1,_maxLT))</f>
        <v>0</v>
      </c>
      <c r="Z163" s="13">
        <f ca="1">SUMPRODUCT(dFactor,tpSurvAxH,INDEX(elecAxH,stdCSL+1,3)*allOnes,OFFSET(tPrcElec,0,21,1,_maxLT))</f>
        <v>0</v>
      </c>
      <c r="AA163" s="13">
        <f ca="1">SUMPRODUCT(dFactor,tpSurvAxH,INDEX(elecAxH,stdCSL+1,3)*allOnes,OFFSET(tPrcElec,0,22,1,_maxLT))</f>
        <v>0</v>
      </c>
      <c r="AB163" s="13">
        <f ca="1">SUMPRODUCT(dFactor,tpSurvAxH,INDEX(elecAxH,stdCSL+1,3)*allOnes,OFFSET(tPrcElec,0,23,1,_maxLT))</f>
        <v>0</v>
      </c>
      <c r="AC163" s="13">
        <f ca="1">SUMPRODUCT(dFactor,tpSurvAxH,INDEX(elecAxH,stdCSL+1,3)*allOnes,OFFSET(tPrcElec,0,24,1,_maxLT))</f>
        <v>0</v>
      </c>
      <c r="AD163" s="13">
        <f ca="1">SUMPRODUCT(dFactor,tpSurvAxH,INDEX(elecAxH,stdCSL+1,3)*allOnes,OFFSET(tPrcElec,0,25,1,_maxLT))</f>
        <v>0</v>
      </c>
      <c r="AE163" s="13">
        <f ca="1">SUMPRODUCT(dFactor,tpSurvAxH,INDEX(elecAxH,stdCSL+1,3)*allOnes,OFFSET(tPrcElec,0,26,1,_maxLT))</f>
        <v>0</v>
      </c>
      <c r="AF163" s="13">
        <f ca="1">SUMPRODUCT(dFactor,tpSurvAxH,INDEX(elecAxH,stdCSL+1,3)*allOnes,OFFSET(tPrcElec,0,27,1,_maxLT))</f>
        <v>0</v>
      </c>
      <c r="AG163" s="13">
        <f ca="1">SUMPRODUCT(dFactor,tpSurvAxH,INDEX(elecAxH,stdCSL+1,3)*allOnes,OFFSET(tPrcElec,0,28,1,_maxLT))</f>
        <v>0</v>
      </c>
      <c r="AH163" s="13">
        <f ca="1">SUMPRODUCT(dFactor,tpSurvAxH,INDEX(elecAxH,stdCSL+1,3)*allOnes,OFFSET(tPrcElec,0,29,1,_maxLT))</f>
        <v>0</v>
      </c>
      <c r="AI163" s="13">
        <f ca="1">SUMPRODUCT(dFactor,tpSurvAxH,INDEX(elecAxH,stdCSL+1,3)*allOnes,OFFSET(tPrcElec,0,30,1,_maxLT))</f>
        <v>0</v>
      </c>
      <c r="AJ163" s="13">
        <f ca="1">SUMPRODUCT(dFactor,tpSurvAxH,INDEX(elecAxH,stdCSL+1,3)*allOnes,OFFSET(tPrcElec,0,31,1,_maxLT))</f>
        <v>0</v>
      </c>
      <c r="AK163" s="13">
        <f ca="1">SUMPRODUCT(dFactor,tpSurvAxH,INDEX(elecAxH,stdCSL+1,3)*allOnes,OFFSET(tPrcElec,0,32,1,_maxLT))</f>
        <v>0</v>
      </c>
      <c r="AL163" s="56">
        <f ca="1">SUMPRODUCT(dFactor,tpSurvAxH,INDEX(elecAxH,stdCSL+1,3)*allOnes,OFFSET(tPrcElec,0,33,1,_maxLT))</f>
        <v>0</v>
      </c>
      <c r="AM163" s="10"/>
    </row>
    <row r="164" spans="2:39">
      <c r="B164" s="10"/>
      <c r="C164" s="16" t="s">
        <v>79</v>
      </c>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5"/>
      <c r="AM164" s="10"/>
    </row>
    <row r="165" spans="2:39">
      <c r="B165" s="10"/>
      <c r="C165" s="28" t="str">
        <f>INDEX(_fuel,1)</f>
        <v>Electricity</v>
      </c>
      <c r="D165" s="12" t="s">
        <v>83</v>
      </c>
      <c r="E165" s="39">
        <f ca="1">SUMPRODUCT(OFFSET(tConvElecAxH,0,0,1,_maxLT),INDEX(elecAxH,stdCSL+1,3)*allOnes,tpSurvAxH)</f>
        <v>0</v>
      </c>
      <c r="F165" s="39">
        <f ca="1">SUMPRODUCT(OFFSET(tConvElecAxH,0,1,1,_maxLT),INDEX(elecAxH,stdCSL+1,3)*allOnes,tpSurvAxH)</f>
        <v>0</v>
      </c>
      <c r="G165" s="39">
        <f ca="1">SUMPRODUCT(OFFSET(tConvElecAxH,0,2,1,_maxLT),INDEX(elecAxH,stdCSL+1,3)*allOnes,tpSurvAxH)</f>
        <v>0</v>
      </c>
      <c r="H165" s="39">
        <f ca="1">SUMPRODUCT(OFFSET(tConvElecAxH,0,3,1,_maxLT),INDEX(elecAxH,stdCSL+1,3)*allOnes,tpSurvAxH)</f>
        <v>0</v>
      </c>
      <c r="I165" s="39">
        <f ca="1">SUMPRODUCT(OFFSET(tConvElecAxH,0,4,1,_maxLT),INDEX(elecAxH,stdCSL+1,3)*allOnes,tpSurvAxH)</f>
        <v>0</v>
      </c>
      <c r="J165" s="39">
        <f ca="1">SUMPRODUCT(OFFSET(tConvElecAxH,0,5,1,_maxLT),INDEX(elecAxH,stdCSL+1,3)*allOnes,tpSurvAxH)</f>
        <v>0</v>
      </c>
      <c r="K165" s="39">
        <f ca="1">SUMPRODUCT(OFFSET(tConvElecAxH,0,6,1,_maxLT),INDEX(elecAxH,stdCSL+1,3)*allOnes,tpSurvAxH)</f>
        <v>0</v>
      </c>
      <c r="L165" s="39">
        <f ca="1">SUMPRODUCT(OFFSET(tConvElecAxH,0,7,1,_maxLT),INDEX(elecAxH,stdCSL+1,3)*allOnes,tpSurvAxH)</f>
        <v>0</v>
      </c>
      <c r="M165" s="39">
        <f ca="1">SUMPRODUCT(OFFSET(tConvElecAxH,0,8,1,_maxLT),INDEX(elecAxH,stdCSL+1,3)*allOnes,tpSurvAxH)</f>
        <v>0</v>
      </c>
      <c r="N165" s="39">
        <f ca="1">SUMPRODUCT(OFFSET(tConvElecAxH,0,9,1,_maxLT),INDEX(elecAxH,stdCSL+1,3)*allOnes,tpSurvAxH)</f>
        <v>0</v>
      </c>
      <c r="O165" s="39">
        <f ca="1">SUMPRODUCT(OFFSET(tConvElecAxH,0,10,1,_maxLT),INDEX(elecAxH,stdCSL+1,3)*allOnes,tpSurvAxH)</f>
        <v>0</v>
      </c>
      <c r="P165" s="39">
        <f ca="1">SUMPRODUCT(OFFSET(tConvElecAxH,0,11,1,_maxLT),INDEX(elecAxH,stdCSL+1,3)*allOnes,tpSurvAxH)</f>
        <v>0</v>
      </c>
      <c r="Q165" s="39">
        <f ca="1">SUMPRODUCT(OFFSET(tConvElecAxH,0,12,1,_maxLT),INDEX(elecAxH,stdCSL+1,3)*allOnes,tpSurvAxH)</f>
        <v>0</v>
      </c>
      <c r="R165" s="39">
        <f ca="1">SUMPRODUCT(OFFSET(tConvElecAxH,0,13,1,_maxLT),INDEX(elecAxH,stdCSL+1,3)*allOnes,tpSurvAxH)</f>
        <v>0</v>
      </c>
      <c r="S165" s="39">
        <f ca="1">SUMPRODUCT(OFFSET(tConvElecAxH,0,14,1,_maxLT),INDEX(elecAxH,stdCSL+1,3)*allOnes,tpSurvAxH)</f>
        <v>0</v>
      </c>
      <c r="T165" s="39">
        <f ca="1">SUMPRODUCT(OFFSET(tConvElecAxH,0,15,1,_maxLT),INDEX(elecAxH,stdCSL+1,3)*allOnes,tpSurvAxH)</f>
        <v>0</v>
      </c>
      <c r="U165" s="39">
        <f ca="1">SUMPRODUCT(OFFSET(tConvElecAxH,0,16,1,_maxLT),INDEX(elecAxH,stdCSL+1,3)*allOnes,tpSurvAxH)</f>
        <v>0</v>
      </c>
      <c r="V165" s="39">
        <f ca="1">SUMPRODUCT(OFFSET(tConvElecAxH,0,17,1,_maxLT),INDEX(elecAxH,stdCSL+1,3)*allOnes,tpSurvAxH)</f>
        <v>0</v>
      </c>
      <c r="W165" s="39">
        <f ca="1">SUMPRODUCT(OFFSET(tConvElecAxH,0,18,1,_maxLT),INDEX(elecAxH,stdCSL+1,3)*allOnes,tpSurvAxH)</f>
        <v>0</v>
      </c>
      <c r="X165" s="39">
        <f ca="1">SUMPRODUCT(OFFSET(tConvElecAxH,0,19,1,_maxLT),INDEX(elecAxH,stdCSL+1,3)*allOnes,tpSurvAxH)</f>
        <v>0</v>
      </c>
      <c r="Y165" s="39">
        <f ca="1">SUMPRODUCT(OFFSET(tConvElecAxH,0,20,1,_maxLT),INDEX(elecAxH,stdCSL+1,3)*allOnes,tpSurvAxH)</f>
        <v>0</v>
      </c>
      <c r="Z165" s="39">
        <f ca="1">SUMPRODUCT(OFFSET(tConvElecAxH,0,21,1,_maxLT),INDEX(elecAxH,stdCSL+1,3)*allOnes,tpSurvAxH)</f>
        <v>0</v>
      </c>
      <c r="AA165" s="39">
        <f ca="1">SUMPRODUCT(OFFSET(tConvElecAxH,0,22,1,_maxLT),INDEX(elecAxH,stdCSL+1,3)*allOnes,tpSurvAxH)</f>
        <v>0</v>
      </c>
      <c r="AB165" s="39">
        <f ca="1">SUMPRODUCT(OFFSET(tConvElecAxH,0,23,1,_maxLT),INDEX(elecAxH,stdCSL+1,3)*allOnes,tpSurvAxH)</f>
        <v>0</v>
      </c>
      <c r="AC165" s="39">
        <f ca="1">SUMPRODUCT(OFFSET(tConvElecAxH,0,24,1,_maxLT),INDEX(elecAxH,stdCSL+1,3)*allOnes,tpSurvAxH)</f>
        <v>0</v>
      </c>
      <c r="AD165" s="39">
        <f ca="1">SUMPRODUCT(OFFSET(tConvElecAxH,0,25,1,_maxLT),INDEX(elecAxH,stdCSL+1,3)*allOnes,tpSurvAxH)</f>
        <v>0</v>
      </c>
      <c r="AE165" s="39">
        <f ca="1">SUMPRODUCT(OFFSET(tConvElecAxH,0,26,1,_maxLT),INDEX(elecAxH,stdCSL+1,3)*allOnes,tpSurvAxH)</f>
        <v>0</v>
      </c>
      <c r="AF165" s="39">
        <f ca="1">SUMPRODUCT(OFFSET(tConvElecAxH,0,27,1,_maxLT),INDEX(elecAxH,stdCSL+1,3)*allOnes,tpSurvAxH)</f>
        <v>0</v>
      </c>
      <c r="AG165" s="39">
        <f ca="1">SUMPRODUCT(OFFSET(tConvElecAxH,0,28,1,_maxLT),INDEX(elecAxH,stdCSL+1,3)*allOnes,tpSurvAxH)</f>
        <v>0</v>
      </c>
      <c r="AH165" s="39">
        <f ca="1">SUMPRODUCT(OFFSET(tConvElecAxH,0,29,1,_maxLT),INDEX(elecAxH,stdCSL+1,3)*allOnes,tpSurvAxH)</f>
        <v>0</v>
      </c>
      <c r="AI165" s="39">
        <f ca="1">SUMPRODUCT(OFFSET(tConvElecAxH,0,30,1,_maxLT),INDEX(elecAxH,stdCSL+1,3)*allOnes,tpSurvAxH)</f>
        <v>0</v>
      </c>
      <c r="AJ165" s="39">
        <f ca="1">SUMPRODUCT(OFFSET(tConvElecAxH,0,31,1,_maxLT),INDEX(elecAxH,stdCSL+1,3)*allOnes,tpSurvAxH)</f>
        <v>0</v>
      </c>
      <c r="AK165" s="39">
        <f ca="1">SUMPRODUCT(OFFSET(tConvElecAxH,0,32,1,_maxLT),INDEX(elecAxH,stdCSL+1,3)*allOnes,tpSurvAxH)</f>
        <v>0</v>
      </c>
      <c r="AL165" s="40">
        <f ca="1">SUMPRODUCT(OFFSET(tConvElecAxH,0,33,1,_maxLT),INDEX(elecAxH,stdCSL+1,3)*allOnes,tpSurvAxH)</f>
        <v>0</v>
      </c>
      <c r="AM165" s="10"/>
    </row>
    <row r="166" spans="2:39">
      <c r="B166" s="10"/>
      <c r="C166" s="57" t="str">
        <f>"EL 3: " &amp; INDEX(_doName,1,4)</f>
        <v>EL 3: EL 3</v>
      </c>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3"/>
      <c r="AM166" s="10"/>
    </row>
    <row r="167" spans="2:39">
      <c r="B167" s="10"/>
      <c r="C167" s="16" t="s">
        <v>69</v>
      </c>
      <c r="D167" s="12" t="str">
        <f>_yearDol &amp; "$"</f>
        <v>2015$</v>
      </c>
      <c r="E167" s="13">
        <f t="array" aca="1" ref="E167:AL167" ca="1">INDEX(mspAxH,stdCSL+1,4)*tPIdxAll + INDEX(instAxH,stdCSL+1,4) + IF(bESav,SUMPRODUCT(dFactor,tpSurvAxH,INDEX(mrAxH,stdCSL+1,4)*allOnes),0)</f>
        <v>0</v>
      </c>
      <c r="F167" s="13">
        <f ca="1"/>
        <v>0</v>
      </c>
      <c r="G167" s="13">
        <f ca="1"/>
        <v>0</v>
      </c>
      <c r="H167" s="13">
        <f ca="1"/>
        <v>0</v>
      </c>
      <c r="I167" s="13">
        <f ca="1"/>
        <v>0</v>
      </c>
      <c r="J167" s="13">
        <f ca="1"/>
        <v>0</v>
      </c>
      <c r="K167" s="13">
        <f ca="1"/>
        <v>0</v>
      </c>
      <c r="L167" s="13">
        <f ca="1"/>
        <v>0</v>
      </c>
      <c r="M167" s="13">
        <f ca="1"/>
        <v>0</v>
      </c>
      <c r="N167" s="13">
        <f ca="1"/>
        <v>0</v>
      </c>
      <c r="O167" s="13">
        <f ca="1"/>
        <v>0</v>
      </c>
      <c r="P167" s="13">
        <f ca="1"/>
        <v>0</v>
      </c>
      <c r="Q167" s="13">
        <f ca="1"/>
        <v>0</v>
      </c>
      <c r="R167" s="13">
        <f ca="1"/>
        <v>0</v>
      </c>
      <c r="S167" s="13">
        <f ca="1"/>
        <v>0</v>
      </c>
      <c r="T167" s="13">
        <f ca="1"/>
        <v>0</v>
      </c>
      <c r="U167" s="13">
        <f ca="1"/>
        <v>0</v>
      </c>
      <c r="V167" s="13">
        <f ca="1"/>
        <v>0</v>
      </c>
      <c r="W167" s="13">
        <f ca="1"/>
        <v>0</v>
      </c>
      <c r="X167" s="13">
        <f ca="1"/>
        <v>0</v>
      </c>
      <c r="Y167" s="13">
        <f ca="1"/>
        <v>0</v>
      </c>
      <c r="Z167" s="13">
        <f ca="1"/>
        <v>0</v>
      </c>
      <c r="AA167" s="13">
        <f ca="1"/>
        <v>0</v>
      </c>
      <c r="AB167" s="13">
        <f ca="1"/>
        <v>0</v>
      </c>
      <c r="AC167" s="13">
        <f ca="1"/>
        <v>0</v>
      </c>
      <c r="AD167" s="13">
        <f ca="1"/>
        <v>0</v>
      </c>
      <c r="AE167" s="13">
        <f ca="1"/>
        <v>0</v>
      </c>
      <c r="AF167" s="13">
        <f ca="1"/>
        <v>0</v>
      </c>
      <c r="AG167" s="13">
        <f ca="1"/>
        <v>0</v>
      </c>
      <c r="AH167" s="13">
        <f ca="1"/>
        <v>0</v>
      </c>
      <c r="AI167" s="13">
        <f ca="1"/>
        <v>0</v>
      </c>
      <c r="AJ167" s="13">
        <f ca="1"/>
        <v>0</v>
      </c>
      <c r="AK167" s="13">
        <f ca="1"/>
        <v>0</v>
      </c>
      <c r="AL167" s="56">
        <f ca="1"/>
        <v>0</v>
      </c>
      <c r="AM167" s="10"/>
    </row>
    <row r="168" spans="2:39">
      <c r="B168" s="10"/>
      <c r="C168" s="16" t="str">
        <f>zEO&amp;" Costs"</f>
        <v>Operating Costs</v>
      </c>
      <c r="D168" s="12" t="str">
        <f>_yearDol &amp; "$"</f>
        <v>2015$</v>
      </c>
      <c r="E168" s="13">
        <f t="array" aca="1" ref="E168:AL168" ca="1">(tlccEFuElecpol3) + IF(bOSav,SUMPRODUCT(dFactor,tpSurvAxH,INDEX(mrAxH,stdCSL+1,4)*allOnes),0)</f>
        <v>0</v>
      </c>
      <c r="F168" s="13">
        <f ca="1"/>
        <v>0</v>
      </c>
      <c r="G168" s="13">
        <f ca="1"/>
        <v>0</v>
      </c>
      <c r="H168" s="13">
        <f ca="1"/>
        <v>0</v>
      </c>
      <c r="I168" s="13">
        <f ca="1"/>
        <v>0</v>
      </c>
      <c r="J168" s="13">
        <f ca="1"/>
        <v>0</v>
      </c>
      <c r="K168" s="13">
        <f ca="1"/>
        <v>0</v>
      </c>
      <c r="L168" s="13">
        <f ca="1"/>
        <v>0</v>
      </c>
      <c r="M168" s="13">
        <f ca="1"/>
        <v>0</v>
      </c>
      <c r="N168" s="13">
        <f ca="1"/>
        <v>0</v>
      </c>
      <c r="O168" s="13">
        <f ca="1"/>
        <v>0</v>
      </c>
      <c r="P168" s="13">
        <f ca="1"/>
        <v>0</v>
      </c>
      <c r="Q168" s="13">
        <f ca="1"/>
        <v>0</v>
      </c>
      <c r="R168" s="13">
        <f ca="1"/>
        <v>0</v>
      </c>
      <c r="S168" s="13">
        <f ca="1"/>
        <v>0</v>
      </c>
      <c r="T168" s="13">
        <f ca="1"/>
        <v>0</v>
      </c>
      <c r="U168" s="13">
        <f ca="1"/>
        <v>0</v>
      </c>
      <c r="V168" s="13">
        <f ca="1"/>
        <v>0</v>
      </c>
      <c r="W168" s="13">
        <f ca="1"/>
        <v>0</v>
      </c>
      <c r="X168" s="13">
        <f ca="1"/>
        <v>0</v>
      </c>
      <c r="Y168" s="13">
        <f ca="1"/>
        <v>0</v>
      </c>
      <c r="Z168" s="13">
        <f ca="1"/>
        <v>0</v>
      </c>
      <c r="AA168" s="13">
        <f ca="1"/>
        <v>0</v>
      </c>
      <c r="AB168" s="13">
        <f ca="1"/>
        <v>0</v>
      </c>
      <c r="AC168" s="13">
        <f ca="1"/>
        <v>0</v>
      </c>
      <c r="AD168" s="13">
        <f ca="1"/>
        <v>0</v>
      </c>
      <c r="AE168" s="13">
        <f ca="1"/>
        <v>0</v>
      </c>
      <c r="AF168" s="13">
        <f ca="1"/>
        <v>0</v>
      </c>
      <c r="AG168" s="13">
        <f ca="1"/>
        <v>0</v>
      </c>
      <c r="AH168" s="13">
        <f ca="1"/>
        <v>0</v>
      </c>
      <c r="AI168" s="13">
        <f ca="1"/>
        <v>0</v>
      </c>
      <c r="AJ168" s="13">
        <f ca="1"/>
        <v>0</v>
      </c>
      <c r="AK168" s="13">
        <f ca="1"/>
        <v>0</v>
      </c>
      <c r="AL168" s="56">
        <f ca="1"/>
        <v>0</v>
      </c>
      <c r="AM168" s="10"/>
    </row>
    <row r="169" spans="2:39">
      <c r="B169" s="10"/>
      <c r="C169" s="28" t="str">
        <f>INDEX(_fuel,1)</f>
        <v>Electricity</v>
      </c>
      <c r="D169" s="12" t="str">
        <f>_yearDol &amp; "$"</f>
        <v>2015$</v>
      </c>
      <c r="E169" s="13">
        <f ca="1">SUMPRODUCT(dFactor,tpSurvAxH,INDEX(elecAxH,stdCSL+1,4)*allOnes,OFFSET(tPrcElec,0,0,1,_maxLT))</f>
        <v>0</v>
      </c>
      <c r="F169" s="13">
        <f ca="1">SUMPRODUCT(dFactor,tpSurvAxH,INDEX(elecAxH,stdCSL+1,4)*allOnes,OFFSET(tPrcElec,0,1,1,_maxLT))</f>
        <v>0</v>
      </c>
      <c r="G169" s="13">
        <f ca="1">SUMPRODUCT(dFactor,tpSurvAxH,INDEX(elecAxH,stdCSL+1,4)*allOnes,OFFSET(tPrcElec,0,2,1,_maxLT))</f>
        <v>0</v>
      </c>
      <c r="H169" s="13">
        <f ca="1">SUMPRODUCT(dFactor,tpSurvAxH,INDEX(elecAxH,stdCSL+1,4)*allOnes,OFFSET(tPrcElec,0,3,1,_maxLT))</f>
        <v>0</v>
      </c>
      <c r="I169" s="13">
        <f ca="1">SUMPRODUCT(dFactor,tpSurvAxH,INDEX(elecAxH,stdCSL+1,4)*allOnes,OFFSET(tPrcElec,0,4,1,_maxLT))</f>
        <v>0</v>
      </c>
      <c r="J169" s="13">
        <f ca="1">SUMPRODUCT(dFactor,tpSurvAxH,INDEX(elecAxH,stdCSL+1,4)*allOnes,OFFSET(tPrcElec,0,5,1,_maxLT))</f>
        <v>0</v>
      </c>
      <c r="K169" s="13">
        <f ca="1">SUMPRODUCT(dFactor,tpSurvAxH,INDEX(elecAxH,stdCSL+1,4)*allOnes,OFFSET(tPrcElec,0,6,1,_maxLT))</f>
        <v>0</v>
      </c>
      <c r="L169" s="13">
        <f ca="1">SUMPRODUCT(dFactor,tpSurvAxH,INDEX(elecAxH,stdCSL+1,4)*allOnes,OFFSET(tPrcElec,0,7,1,_maxLT))</f>
        <v>0</v>
      </c>
      <c r="M169" s="13">
        <f ca="1">SUMPRODUCT(dFactor,tpSurvAxH,INDEX(elecAxH,stdCSL+1,4)*allOnes,OFFSET(tPrcElec,0,8,1,_maxLT))</f>
        <v>0</v>
      </c>
      <c r="N169" s="13">
        <f ca="1">SUMPRODUCT(dFactor,tpSurvAxH,INDEX(elecAxH,stdCSL+1,4)*allOnes,OFFSET(tPrcElec,0,9,1,_maxLT))</f>
        <v>0</v>
      </c>
      <c r="O169" s="13">
        <f ca="1">SUMPRODUCT(dFactor,tpSurvAxH,INDEX(elecAxH,stdCSL+1,4)*allOnes,OFFSET(tPrcElec,0,10,1,_maxLT))</f>
        <v>0</v>
      </c>
      <c r="P169" s="13">
        <f ca="1">SUMPRODUCT(dFactor,tpSurvAxH,INDEX(elecAxH,stdCSL+1,4)*allOnes,OFFSET(tPrcElec,0,11,1,_maxLT))</f>
        <v>0</v>
      </c>
      <c r="Q169" s="13">
        <f ca="1">SUMPRODUCT(dFactor,tpSurvAxH,INDEX(elecAxH,stdCSL+1,4)*allOnes,OFFSET(tPrcElec,0,12,1,_maxLT))</f>
        <v>0</v>
      </c>
      <c r="R169" s="13">
        <f ca="1">SUMPRODUCT(dFactor,tpSurvAxH,INDEX(elecAxH,stdCSL+1,4)*allOnes,OFFSET(tPrcElec,0,13,1,_maxLT))</f>
        <v>0</v>
      </c>
      <c r="S169" s="13">
        <f ca="1">SUMPRODUCT(dFactor,tpSurvAxH,INDEX(elecAxH,stdCSL+1,4)*allOnes,OFFSET(tPrcElec,0,14,1,_maxLT))</f>
        <v>0</v>
      </c>
      <c r="T169" s="13">
        <f ca="1">SUMPRODUCT(dFactor,tpSurvAxH,INDEX(elecAxH,stdCSL+1,4)*allOnes,OFFSET(tPrcElec,0,15,1,_maxLT))</f>
        <v>0</v>
      </c>
      <c r="U169" s="13">
        <f ca="1">SUMPRODUCT(dFactor,tpSurvAxH,INDEX(elecAxH,stdCSL+1,4)*allOnes,OFFSET(tPrcElec,0,16,1,_maxLT))</f>
        <v>0</v>
      </c>
      <c r="V169" s="13">
        <f ca="1">SUMPRODUCT(dFactor,tpSurvAxH,INDEX(elecAxH,stdCSL+1,4)*allOnes,OFFSET(tPrcElec,0,17,1,_maxLT))</f>
        <v>0</v>
      </c>
      <c r="W169" s="13">
        <f ca="1">SUMPRODUCT(dFactor,tpSurvAxH,INDEX(elecAxH,stdCSL+1,4)*allOnes,OFFSET(tPrcElec,0,18,1,_maxLT))</f>
        <v>0</v>
      </c>
      <c r="X169" s="13">
        <f ca="1">SUMPRODUCT(dFactor,tpSurvAxH,INDEX(elecAxH,stdCSL+1,4)*allOnes,OFFSET(tPrcElec,0,19,1,_maxLT))</f>
        <v>0</v>
      </c>
      <c r="Y169" s="13">
        <f ca="1">SUMPRODUCT(dFactor,tpSurvAxH,INDEX(elecAxH,stdCSL+1,4)*allOnes,OFFSET(tPrcElec,0,20,1,_maxLT))</f>
        <v>0</v>
      </c>
      <c r="Z169" s="13">
        <f ca="1">SUMPRODUCT(dFactor,tpSurvAxH,INDEX(elecAxH,stdCSL+1,4)*allOnes,OFFSET(tPrcElec,0,21,1,_maxLT))</f>
        <v>0</v>
      </c>
      <c r="AA169" s="13">
        <f ca="1">SUMPRODUCT(dFactor,tpSurvAxH,INDEX(elecAxH,stdCSL+1,4)*allOnes,OFFSET(tPrcElec,0,22,1,_maxLT))</f>
        <v>0</v>
      </c>
      <c r="AB169" s="13">
        <f ca="1">SUMPRODUCT(dFactor,tpSurvAxH,INDEX(elecAxH,stdCSL+1,4)*allOnes,OFFSET(tPrcElec,0,23,1,_maxLT))</f>
        <v>0</v>
      </c>
      <c r="AC169" s="13">
        <f ca="1">SUMPRODUCT(dFactor,tpSurvAxH,INDEX(elecAxH,stdCSL+1,4)*allOnes,OFFSET(tPrcElec,0,24,1,_maxLT))</f>
        <v>0</v>
      </c>
      <c r="AD169" s="13">
        <f ca="1">SUMPRODUCT(dFactor,tpSurvAxH,INDEX(elecAxH,stdCSL+1,4)*allOnes,OFFSET(tPrcElec,0,25,1,_maxLT))</f>
        <v>0</v>
      </c>
      <c r="AE169" s="13">
        <f ca="1">SUMPRODUCT(dFactor,tpSurvAxH,INDEX(elecAxH,stdCSL+1,4)*allOnes,OFFSET(tPrcElec,0,26,1,_maxLT))</f>
        <v>0</v>
      </c>
      <c r="AF169" s="13">
        <f ca="1">SUMPRODUCT(dFactor,tpSurvAxH,INDEX(elecAxH,stdCSL+1,4)*allOnes,OFFSET(tPrcElec,0,27,1,_maxLT))</f>
        <v>0</v>
      </c>
      <c r="AG169" s="13">
        <f ca="1">SUMPRODUCT(dFactor,tpSurvAxH,INDEX(elecAxH,stdCSL+1,4)*allOnes,OFFSET(tPrcElec,0,28,1,_maxLT))</f>
        <v>0</v>
      </c>
      <c r="AH169" s="13">
        <f ca="1">SUMPRODUCT(dFactor,tpSurvAxH,INDEX(elecAxH,stdCSL+1,4)*allOnes,OFFSET(tPrcElec,0,29,1,_maxLT))</f>
        <v>0</v>
      </c>
      <c r="AI169" s="13">
        <f ca="1">SUMPRODUCT(dFactor,tpSurvAxH,INDEX(elecAxH,stdCSL+1,4)*allOnes,OFFSET(tPrcElec,0,30,1,_maxLT))</f>
        <v>0</v>
      </c>
      <c r="AJ169" s="13">
        <f ca="1">SUMPRODUCT(dFactor,tpSurvAxH,INDEX(elecAxH,stdCSL+1,4)*allOnes,OFFSET(tPrcElec,0,31,1,_maxLT))</f>
        <v>0</v>
      </c>
      <c r="AK169" s="13">
        <f ca="1">SUMPRODUCT(dFactor,tpSurvAxH,INDEX(elecAxH,stdCSL+1,4)*allOnes,OFFSET(tPrcElec,0,32,1,_maxLT))</f>
        <v>0</v>
      </c>
      <c r="AL169" s="56">
        <f ca="1">SUMPRODUCT(dFactor,tpSurvAxH,INDEX(elecAxH,stdCSL+1,4)*allOnes,OFFSET(tPrcElec,0,33,1,_maxLT))</f>
        <v>0</v>
      </c>
      <c r="AM169" s="10"/>
    </row>
    <row r="170" spans="2:39">
      <c r="B170" s="10"/>
      <c r="C170" s="16" t="s">
        <v>79</v>
      </c>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5"/>
      <c r="AM170" s="10"/>
    </row>
    <row r="171" spans="2:39">
      <c r="B171" s="10"/>
      <c r="C171" s="28" t="str">
        <f>INDEX(_fuel,1)</f>
        <v>Electricity</v>
      </c>
      <c r="D171" s="12" t="s">
        <v>83</v>
      </c>
      <c r="E171" s="39">
        <f ca="1">SUMPRODUCT(OFFSET(tConvElecAxH,0,0,1,_maxLT),INDEX(elecAxH,stdCSL+1,4)*allOnes,tpSurvAxH)</f>
        <v>0</v>
      </c>
      <c r="F171" s="39">
        <f ca="1">SUMPRODUCT(OFFSET(tConvElecAxH,0,1,1,_maxLT),INDEX(elecAxH,stdCSL+1,4)*allOnes,tpSurvAxH)</f>
        <v>0</v>
      </c>
      <c r="G171" s="39">
        <f ca="1">SUMPRODUCT(OFFSET(tConvElecAxH,0,2,1,_maxLT),INDEX(elecAxH,stdCSL+1,4)*allOnes,tpSurvAxH)</f>
        <v>0</v>
      </c>
      <c r="H171" s="39">
        <f ca="1">SUMPRODUCT(OFFSET(tConvElecAxH,0,3,1,_maxLT),INDEX(elecAxH,stdCSL+1,4)*allOnes,tpSurvAxH)</f>
        <v>0</v>
      </c>
      <c r="I171" s="39">
        <f ca="1">SUMPRODUCT(OFFSET(tConvElecAxH,0,4,1,_maxLT),INDEX(elecAxH,stdCSL+1,4)*allOnes,tpSurvAxH)</f>
        <v>0</v>
      </c>
      <c r="J171" s="39">
        <f ca="1">SUMPRODUCT(OFFSET(tConvElecAxH,0,5,1,_maxLT),INDEX(elecAxH,stdCSL+1,4)*allOnes,tpSurvAxH)</f>
        <v>0</v>
      </c>
      <c r="K171" s="39">
        <f ca="1">SUMPRODUCT(OFFSET(tConvElecAxH,0,6,1,_maxLT),INDEX(elecAxH,stdCSL+1,4)*allOnes,tpSurvAxH)</f>
        <v>0</v>
      </c>
      <c r="L171" s="39">
        <f ca="1">SUMPRODUCT(OFFSET(tConvElecAxH,0,7,1,_maxLT),INDEX(elecAxH,stdCSL+1,4)*allOnes,tpSurvAxH)</f>
        <v>0</v>
      </c>
      <c r="M171" s="39">
        <f ca="1">SUMPRODUCT(OFFSET(tConvElecAxH,0,8,1,_maxLT),INDEX(elecAxH,stdCSL+1,4)*allOnes,tpSurvAxH)</f>
        <v>0</v>
      </c>
      <c r="N171" s="39">
        <f ca="1">SUMPRODUCT(OFFSET(tConvElecAxH,0,9,1,_maxLT),INDEX(elecAxH,stdCSL+1,4)*allOnes,tpSurvAxH)</f>
        <v>0</v>
      </c>
      <c r="O171" s="39">
        <f ca="1">SUMPRODUCT(OFFSET(tConvElecAxH,0,10,1,_maxLT),INDEX(elecAxH,stdCSL+1,4)*allOnes,tpSurvAxH)</f>
        <v>0</v>
      </c>
      <c r="P171" s="39">
        <f ca="1">SUMPRODUCT(OFFSET(tConvElecAxH,0,11,1,_maxLT),INDEX(elecAxH,stdCSL+1,4)*allOnes,tpSurvAxH)</f>
        <v>0</v>
      </c>
      <c r="Q171" s="39">
        <f ca="1">SUMPRODUCT(OFFSET(tConvElecAxH,0,12,1,_maxLT),INDEX(elecAxH,stdCSL+1,4)*allOnes,tpSurvAxH)</f>
        <v>0</v>
      </c>
      <c r="R171" s="39">
        <f ca="1">SUMPRODUCT(OFFSET(tConvElecAxH,0,13,1,_maxLT),INDEX(elecAxH,stdCSL+1,4)*allOnes,tpSurvAxH)</f>
        <v>0</v>
      </c>
      <c r="S171" s="39">
        <f ca="1">SUMPRODUCT(OFFSET(tConvElecAxH,0,14,1,_maxLT),INDEX(elecAxH,stdCSL+1,4)*allOnes,tpSurvAxH)</f>
        <v>0</v>
      </c>
      <c r="T171" s="39">
        <f ca="1">SUMPRODUCT(OFFSET(tConvElecAxH,0,15,1,_maxLT),INDEX(elecAxH,stdCSL+1,4)*allOnes,tpSurvAxH)</f>
        <v>0</v>
      </c>
      <c r="U171" s="39">
        <f ca="1">SUMPRODUCT(OFFSET(tConvElecAxH,0,16,1,_maxLT),INDEX(elecAxH,stdCSL+1,4)*allOnes,tpSurvAxH)</f>
        <v>0</v>
      </c>
      <c r="V171" s="39">
        <f ca="1">SUMPRODUCT(OFFSET(tConvElecAxH,0,17,1,_maxLT),INDEX(elecAxH,stdCSL+1,4)*allOnes,tpSurvAxH)</f>
        <v>0</v>
      </c>
      <c r="W171" s="39">
        <f ca="1">SUMPRODUCT(OFFSET(tConvElecAxH,0,18,1,_maxLT),INDEX(elecAxH,stdCSL+1,4)*allOnes,tpSurvAxH)</f>
        <v>0</v>
      </c>
      <c r="X171" s="39">
        <f ca="1">SUMPRODUCT(OFFSET(tConvElecAxH,0,19,1,_maxLT),INDEX(elecAxH,stdCSL+1,4)*allOnes,tpSurvAxH)</f>
        <v>0</v>
      </c>
      <c r="Y171" s="39">
        <f ca="1">SUMPRODUCT(OFFSET(tConvElecAxH,0,20,1,_maxLT),INDEX(elecAxH,stdCSL+1,4)*allOnes,tpSurvAxH)</f>
        <v>0</v>
      </c>
      <c r="Z171" s="39">
        <f ca="1">SUMPRODUCT(OFFSET(tConvElecAxH,0,21,1,_maxLT),INDEX(elecAxH,stdCSL+1,4)*allOnes,tpSurvAxH)</f>
        <v>0</v>
      </c>
      <c r="AA171" s="39">
        <f ca="1">SUMPRODUCT(OFFSET(tConvElecAxH,0,22,1,_maxLT),INDEX(elecAxH,stdCSL+1,4)*allOnes,tpSurvAxH)</f>
        <v>0</v>
      </c>
      <c r="AB171" s="39">
        <f ca="1">SUMPRODUCT(OFFSET(tConvElecAxH,0,23,1,_maxLT),INDEX(elecAxH,stdCSL+1,4)*allOnes,tpSurvAxH)</f>
        <v>0</v>
      </c>
      <c r="AC171" s="39">
        <f ca="1">SUMPRODUCT(OFFSET(tConvElecAxH,0,24,1,_maxLT),INDEX(elecAxH,stdCSL+1,4)*allOnes,tpSurvAxH)</f>
        <v>0</v>
      </c>
      <c r="AD171" s="39">
        <f ca="1">SUMPRODUCT(OFFSET(tConvElecAxH,0,25,1,_maxLT),INDEX(elecAxH,stdCSL+1,4)*allOnes,tpSurvAxH)</f>
        <v>0</v>
      </c>
      <c r="AE171" s="39">
        <f ca="1">SUMPRODUCT(OFFSET(tConvElecAxH,0,26,1,_maxLT),INDEX(elecAxH,stdCSL+1,4)*allOnes,tpSurvAxH)</f>
        <v>0</v>
      </c>
      <c r="AF171" s="39">
        <f ca="1">SUMPRODUCT(OFFSET(tConvElecAxH,0,27,1,_maxLT),INDEX(elecAxH,stdCSL+1,4)*allOnes,tpSurvAxH)</f>
        <v>0</v>
      </c>
      <c r="AG171" s="39">
        <f ca="1">SUMPRODUCT(OFFSET(tConvElecAxH,0,28,1,_maxLT),INDEX(elecAxH,stdCSL+1,4)*allOnes,tpSurvAxH)</f>
        <v>0</v>
      </c>
      <c r="AH171" s="39">
        <f ca="1">SUMPRODUCT(OFFSET(tConvElecAxH,0,29,1,_maxLT),INDEX(elecAxH,stdCSL+1,4)*allOnes,tpSurvAxH)</f>
        <v>0</v>
      </c>
      <c r="AI171" s="39">
        <f ca="1">SUMPRODUCT(OFFSET(tConvElecAxH,0,30,1,_maxLT),INDEX(elecAxH,stdCSL+1,4)*allOnes,tpSurvAxH)</f>
        <v>0</v>
      </c>
      <c r="AJ171" s="39">
        <f ca="1">SUMPRODUCT(OFFSET(tConvElecAxH,0,31,1,_maxLT),INDEX(elecAxH,stdCSL+1,4)*allOnes,tpSurvAxH)</f>
        <v>0</v>
      </c>
      <c r="AK171" s="39">
        <f ca="1">SUMPRODUCT(OFFSET(tConvElecAxH,0,32,1,_maxLT),INDEX(elecAxH,stdCSL+1,4)*allOnes,tpSurvAxH)</f>
        <v>0</v>
      </c>
      <c r="AL171" s="40">
        <f ca="1">SUMPRODUCT(OFFSET(tConvElecAxH,0,33,1,_maxLT),INDEX(elecAxH,stdCSL+1,4)*allOnes,tpSurvAxH)</f>
        <v>0</v>
      </c>
      <c r="AM171" s="10"/>
    </row>
    <row r="172" spans="2:39">
      <c r="B172" s="10"/>
      <c r="C172" s="57" t="str">
        <f>"EL 4: " &amp; INDEX(_doName,1,5)</f>
        <v>EL 4: EL 4</v>
      </c>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3"/>
      <c r="AM172" s="10"/>
    </row>
    <row r="173" spans="2:39">
      <c r="B173" s="10"/>
      <c r="C173" s="16" t="s">
        <v>69</v>
      </c>
      <c r="D173" s="12" t="str">
        <f>_yearDol &amp; "$"</f>
        <v>2015$</v>
      </c>
      <c r="E173" s="13">
        <f t="array" aca="1" ref="E173:AL173" ca="1">INDEX(mspAxH,stdCSL+1,5)*tPIdxAll + INDEX(instAxH,stdCSL+1,5) + IF(bESav,SUMPRODUCT(dFactor,tpSurvAxH,INDEX(mrAxH,stdCSL+1,5)*allOnes),0)</f>
        <v>0</v>
      </c>
      <c r="F173" s="13">
        <f ca="1"/>
        <v>0</v>
      </c>
      <c r="G173" s="13">
        <f ca="1"/>
        <v>0</v>
      </c>
      <c r="H173" s="13">
        <f ca="1"/>
        <v>0</v>
      </c>
      <c r="I173" s="13">
        <f ca="1"/>
        <v>0</v>
      </c>
      <c r="J173" s="13">
        <f ca="1"/>
        <v>0</v>
      </c>
      <c r="K173" s="13">
        <f ca="1"/>
        <v>0</v>
      </c>
      <c r="L173" s="13">
        <f ca="1"/>
        <v>0</v>
      </c>
      <c r="M173" s="13">
        <f ca="1"/>
        <v>0</v>
      </c>
      <c r="N173" s="13">
        <f ca="1"/>
        <v>0</v>
      </c>
      <c r="O173" s="13">
        <f ca="1"/>
        <v>0</v>
      </c>
      <c r="P173" s="13">
        <f ca="1"/>
        <v>0</v>
      </c>
      <c r="Q173" s="13">
        <f ca="1"/>
        <v>0</v>
      </c>
      <c r="R173" s="13">
        <f ca="1"/>
        <v>0</v>
      </c>
      <c r="S173" s="13">
        <f ca="1"/>
        <v>0</v>
      </c>
      <c r="T173" s="13">
        <f ca="1"/>
        <v>0</v>
      </c>
      <c r="U173" s="13">
        <f ca="1"/>
        <v>0</v>
      </c>
      <c r="V173" s="13">
        <f ca="1"/>
        <v>0</v>
      </c>
      <c r="W173" s="13">
        <f ca="1"/>
        <v>0</v>
      </c>
      <c r="X173" s="13">
        <f ca="1"/>
        <v>0</v>
      </c>
      <c r="Y173" s="13">
        <f ca="1"/>
        <v>0</v>
      </c>
      <c r="Z173" s="13">
        <f ca="1"/>
        <v>0</v>
      </c>
      <c r="AA173" s="13">
        <f ca="1"/>
        <v>0</v>
      </c>
      <c r="AB173" s="13">
        <f ca="1"/>
        <v>0</v>
      </c>
      <c r="AC173" s="13">
        <f ca="1"/>
        <v>0</v>
      </c>
      <c r="AD173" s="13">
        <f ca="1"/>
        <v>0</v>
      </c>
      <c r="AE173" s="13">
        <f ca="1"/>
        <v>0</v>
      </c>
      <c r="AF173" s="13">
        <f ca="1"/>
        <v>0</v>
      </c>
      <c r="AG173" s="13">
        <f ca="1"/>
        <v>0</v>
      </c>
      <c r="AH173" s="13">
        <f ca="1"/>
        <v>0</v>
      </c>
      <c r="AI173" s="13">
        <f ca="1"/>
        <v>0</v>
      </c>
      <c r="AJ173" s="13">
        <f ca="1"/>
        <v>0</v>
      </c>
      <c r="AK173" s="13">
        <f ca="1"/>
        <v>0</v>
      </c>
      <c r="AL173" s="56">
        <f ca="1"/>
        <v>0</v>
      </c>
      <c r="AM173" s="10"/>
    </row>
    <row r="174" spans="2:39">
      <c r="B174" s="10"/>
      <c r="C174" s="16" t="str">
        <f>zEO&amp;" Costs"</f>
        <v>Operating Costs</v>
      </c>
      <c r="D174" s="12" t="str">
        <f>_yearDol &amp; "$"</f>
        <v>2015$</v>
      </c>
      <c r="E174" s="13">
        <f t="array" aca="1" ref="E174:AL174" ca="1">(tlccEFuElecpol4) + IF(bOSav,SUMPRODUCT(dFactor,tpSurvAxH,INDEX(mrAxH,stdCSL+1,5)*allOnes),0)</f>
        <v>0</v>
      </c>
      <c r="F174" s="13">
        <f ca="1"/>
        <v>0</v>
      </c>
      <c r="G174" s="13">
        <f ca="1"/>
        <v>0</v>
      </c>
      <c r="H174" s="13">
        <f ca="1"/>
        <v>0</v>
      </c>
      <c r="I174" s="13">
        <f ca="1"/>
        <v>0</v>
      </c>
      <c r="J174" s="13">
        <f ca="1"/>
        <v>0</v>
      </c>
      <c r="K174" s="13">
        <f ca="1"/>
        <v>0</v>
      </c>
      <c r="L174" s="13">
        <f ca="1"/>
        <v>0</v>
      </c>
      <c r="M174" s="13">
        <f ca="1"/>
        <v>0</v>
      </c>
      <c r="N174" s="13">
        <f ca="1"/>
        <v>0</v>
      </c>
      <c r="O174" s="13">
        <f ca="1"/>
        <v>0</v>
      </c>
      <c r="P174" s="13">
        <f ca="1"/>
        <v>0</v>
      </c>
      <c r="Q174" s="13">
        <f ca="1"/>
        <v>0</v>
      </c>
      <c r="R174" s="13">
        <f ca="1"/>
        <v>0</v>
      </c>
      <c r="S174" s="13">
        <f ca="1"/>
        <v>0</v>
      </c>
      <c r="T174" s="13">
        <f ca="1"/>
        <v>0</v>
      </c>
      <c r="U174" s="13">
        <f ca="1"/>
        <v>0</v>
      </c>
      <c r="V174" s="13">
        <f ca="1"/>
        <v>0</v>
      </c>
      <c r="W174" s="13">
        <f ca="1"/>
        <v>0</v>
      </c>
      <c r="X174" s="13">
        <f ca="1"/>
        <v>0</v>
      </c>
      <c r="Y174" s="13">
        <f ca="1"/>
        <v>0</v>
      </c>
      <c r="Z174" s="13">
        <f ca="1"/>
        <v>0</v>
      </c>
      <c r="AA174" s="13">
        <f ca="1"/>
        <v>0</v>
      </c>
      <c r="AB174" s="13">
        <f ca="1"/>
        <v>0</v>
      </c>
      <c r="AC174" s="13">
        <f ca="1"/>
        <v>0</v>
      </c>
      <c r="AD174" s="13">
        <f ca="1"/>
        <v>0</v>
      </c>
      <c r="AE174" s="13">
        <f ca="1"/>
        <v>0</v>
      </c>
      <c r="AF174" s="13">
        <f ca="1"/>
        <v>0</v>
      </c>
      <c r="AG174" s="13">
        <f ca="1"/>
        <v>0</v>
      </c>
      <c r="AH174" s="13">
        <f ca="1"/>
        <v>0</v>
      </c>
      <c r="AI174" s="13">
        <f ca="1"/>
        <v>0</v>
      </c>
      <c r="AJ174" s="13">
        <f ca="1"/>
        <v>0</v>
      </c>
      <c r="AK174" s="13">
        <f ca="1"/>
        <v>0</v>
      </c>
      <c r="AL174" s="56">
        <f ca="1"/>
        <v>0</v>
      </c>
      <c r="AM174" s="10"/>
    </row>
    <row r="175" spans="2:39">
      <c r="B175" s="10"/>
      <c r="C175" s="28" t="str">
        <f>INDEX(_fuel,1)</f>
        <v>Electricity</v>
      </c>
      <c r="D175" s="12" t="str">
        <f>_yearDol &amp; "$"</f>
        <v>2015$</v>
      </c>
      <c r="E175" s="13">
        <f ca="1">SUMPRODUCT(dFactor,tpSurvAxH,INDEX(elecAxH,stdCSL+1,5)*allOnes,OFFSET(tPrcElec,0,0,1,_maxLT))</f>
        <v>0</v>
      </c>
      <c r="F175" s="13">
        <f ca="1">SUMPRODUCT(dFactor,tpSurvAxH,INDEX(elecAxH,stdCSL+1,5)*allOnes,OFFSET(tPrcElec,0,1,1,_maxLT))</f>
        <v>0</v>
      </c>
      <c r="G175" s="13">
        <f ca="1">SUMPRODUCT(dFactor,tpSurvAxH,INDEX(elecAxH,stdCSL+1,5)*allOnes,OFFSET(tPrcElec,0,2,1,_maxLT))</f>
        <v>0</v>
      </c>
      <c r="H175" s="13">
        <f ca="1">SUMPRODUCT(dFactor,tpSurvAxH,INDEX(elecAxH,stdCSL+1,5)*allOnes,OFFSET(tPrcElec,0,3,1,_maxLT))</f>
        <v>0</v>
      </c>
      <c r="I175" s="13">
        <f ca="1">SUMPRODUCT(dFactor,tpSurvAxH,INDEX(elecAxH,stdCSL+1,5)*allOnes,OFFSET(tPrcElec,0,4,1,_maxLT))</f>
        <v>0</v>
      </c>
      <c r="J175" s="13">
        <f ca="1">SUMPRODUCT(dFactor,tpSurvAxH,INDEX(elecAxH,stdCSL+1,5)*allOnes,OFFSET(tPrcElec,0,5,1,_maxLT))</f>
        <v>0</v>
      </c>
      <c r="K175" s="13">
        <f ca="1">SUMPRODUCT(dFactor,tpSurvAxH,INDEX(elecAxH,stdCSL+1,5)*allOnes,OFFSET(tPrcElec,0,6,1,_maxLT))</f>
        <v>0</v>
      </c>
      <c r="L175" s="13">
        <f ca="1">SUMPRODUCT(dFactor,tpSurvAxH,INDEX(elecAxH,stdCSL+1,5)*allOnes,OFFSET(tPrcElec,0,7,1,_maxLT))</f>
        <v>0</v>
      </c>
      <c r="M175" s="13">
        <f ca="1">SUMPRODUCT(dFactor,tpSurvAxH,INDEX(elecAxH,stdCSL+1,5)*allOnes,OFFSET(tPrcElec,0,8,1,_maxLT))</f>
        <v>0</v>
      </c>
      <c r="N175" s="13">
        <f ca="1">SUMPRODUCT(dFactor,tpSurvAxH,INDEX(elecAxH,stdCSL+1,5)*allOnes,OFFSET(tPrcElec,0,9,1,_maxLT))</f>
        <v>0</v>
      </c>
      <c r="O175" s="13">
        <f ca="1">SUMPRODUCT(dFactor,tpSurvAxH,INDEX(elecAxH,stdCSL+1,5)*allOnes,OFFSET(tPrcElec,0,10,1,_maxLT))</f>
        <v>0</v>
      </c>
      <c r="P175" s="13">
        <f ca="1">SUMPRODUCT(dFactor,tpSurvAxH,INDEX(elecAxH,stdCSL+1,5)*allOnes,OFFSET(tPrcElec,0,11,1,_maxLT))</f>
        <v>0</v>
      </c>
      <c r="Q175" s="13">
        <f ca="1">SUMPRODUCT(dFactor,tpSurvAxH,INDEX(elecAxH,stdCSL+1,5)*allOnes,OFFSET(tPrcElec,0,12,1,_maxLT))</f>
        <v>0</v>
      </c>
      <c r="R175" s="13">
        <f ca="1">SUMPRODUCT(dFactor,tpSurvAxH,INDEX(elecAxH,stdCSL+1,5)*allOnes,OFFSET(tPrcElec,0,13,1,_maxLT))</f>
        <v>0</v>
      </c>
      <c r="S175" s="13">
        <f ca="1">SUMPRODUCT(dFactor,tpSurvAxH,INDEX(elecAxH,stdCSL+1,5)*allOnes,OFFSET(tPrcElec,0,14,1,_maxLT))</f>
        <v>0</v>
      </c>
      <c r="T175" s="13">
        <f ca="1">SUMPRODUCT(dFactor,tpSurvAxH,INDEX(elecAxH,stdCSL+1,5)*allOnes,OFFSET(tPrcElec,0,15,1,_maxLT))</f>
        <v>0</v>
      </c>
      <c r="U175" s="13">
        <f ca="1">SUMPRODUCT(dFactor,tpSurvAxH,INDEX(elecAxH,stdCSL+1,5)*allOnes,OFFSET(tPrcElec,0,16,1,_maxLT))</f>
        <v>0</v>
      </c>
      <c r="V175" s="13">
        <f ca="1">SUMPRODUCT(dFactor,tpSurvAxH,INDEX(elecAxH,stdCSL+1,5)*allOnes,OFFSET(tPrcElec,0,17,1,_maxLT))</f>
        <v>0</v>
      </c>
      <c r="W175" s="13">
        <f ca="1">SUMPRODUCT(dFactor,tpSurvAxH,INDEX(elecAxH,stdCSL+1,5)*allOnes,OFFSET(tPrcElec,0,18,1,_maxLT))</f>
        <v>0</v>
      </c>
      <c r="X175" s="13">
        <f ca="1">SUMPRODUCT(dFactor,tpSurvAxH,INDEX(elecAxH,stdCSL+1,5)*allOnes,OFFSET(tPrcElec,0,19,1,_maxLT))</f>
        <v>0</v>
      </c>
      <c r="Y175" s="13">
        <f ca="1">SUMPRODUCT(dFactor,tpSurvAxH,INDEX(elecAxH,stdCSL+1,5)*allOnes,OFFSET(tPrcElec,0,20,1,_maxLT))</f>
        <v>0</v>
      </c>
      <c r="Z175" s="13">
        <f ca="1">SUMPRODUCT(dFactor,tpSurvAxH,INDEX(elecAxH,stdCSL+1,5)*allOnes,OFFSET(tPrcElec,0,21,1,_maxLT))</f>
        <v>0</v>
      </c>
      <c r="AA175" s="13">
        <f ca="1">SUMPRODUCT(dFactor,tpSurvAxH,INDEX(elecAxH,stdCSL+1,5)*allOnes,OFFSET(tPrcElec,0,22,1,_maxLT))</f>
        <v>0</v>
      </c>
      <c r="AB175" s="13">
        <f ca="1">SUMPRODUCT(dFactor,tpSurvAxH,INDEX(elecAxH,stdCSL+1,5)*allOnes,OFFSET(tPrcElec,0,23,1,_maxLT))</f>
        <v>0</v>
      </c>
      <c r="AC175" s="13">
        <f ca="1">SUMPRODUCT(dFactor,tpSurvAxH,INDEX(elecAxH,stdCSL+1,5)*allOnes,OFFSET(tPrcElec,0,24,1,_maxLT))</f>
        <v>0</v>
      </c>
      <c r="AD175" s="13">
        <f ca="1">SUMPRODUCT(dFactor,tpSurvAxH,INDEX(elecAxH,stdCSL+1,5)*allOnes,OFFSET(tPrcElec,0,25,1,_maxLT))</f>
        <v>0</v>
      </c>
      <c r="AE175" s="13">
        <f ca="1">SUMPRODUCT(dFactor,tpSurvAxH,INDEX(elecAxH,stdCSL+1,5)*allOnes,OFFSET(tPrcElec,0,26,1,_maxLT))</f>
        <v>0</v>
      </c>
      <c r="AF175" s="13">
        <f ca="1">SUMPRODUCT(dFactor,tpSurvAxH,INDEX(elecAxH,stdCSL+1,5)*allOnes,OFFSET(tPrcElec,0,27,1,_maxLT))</f>
        <v>0</v>
      </c>
      <c r="AG175" s="13">
        <f ca="1">SUMPRODUCT(dFactor,tpSurvAxH,INDEX(elecAxH,stdCSL+1,5)*allOnes,OFFSET(tPrcElec,0,28,1,_maxLT))</f>
        <v>0</v>
      </c>
      <c r="AH175" s="13">
        <f ca="1">SUMPRODUCT(dFactor,tpSurvAxH,INDEX(elecAxH,stdCSL+1,5)*allOnes,OFFSET(tPrcElec,0,29,1,_maxLT))</f>
        <v>0</v>
      </c>
      <c r="AI175" s="13">
        <f ca="1">SUMPRODUCT(dFactor,tpSurvAxH,INDEX(elecAxH,stdCSL+1,5)*allOnes,OFFSET(tPrcElec,0,30,1,_maxLT))</f>
        <v>0</v>
      </c>
      <c r="AJ175" s="13">
        <f ca="1">SUMPRODUCT(dFactor,tpSurvAxH,INDEX(elecAxH,stdCSL+1,5)*allOnes,OFFSET(tPrcElec,0,31,1,_maxLT))</f>
        <v>0</v>
      </c>
      <c r="AK175" s="13">
        <f ca="1">SUMPRODUCT(dFactor,tpSurvAxH,INDEX(elecAxH,stdCSL+1,5)*allOnes,OFFSET(tPrcElec,0,32,1,_maxLT))</f>
        <v>0</v>
      </c>
      <c r="AL175" s="56">
        <f ca="1">SUMPRODUCT(dFactor,tpSurvAxH,INDEX(elecAxH,stdCSL+1,5)*allOnes,OFFSET(tPrcElec,0,33,1,_maxLT))</f>
        <v>0</v>
      </c>
      <c r="AM175" s="10"/>
    </row>
    <row r="176" spans="2:39">
      <c r="B176" s="10"/>
      <c r="C176" s="16" t="s">
        <v>79</v>
      </c>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5"/>
      <c r="AM176" s="10"/>
    </row>
    <row r="177" spans="2:39">
      <c r="B177" s="10"/>
      <c r="C177" s="28" t="str">
        <f>INDEX(_fuel,1)</f>
        <v>Electricity</v>
      </c>
      <c r="D177" s="12" t="s">
        <v>83</v>
      </c>
      <c r="E177" s="39">
        <f ca="1">SUMPRODUCT(OFFSET(tConvElecAxH,0,0,1,_maxLT),INDEX(elecAxH,stdCSL+1,5)*allOnes,tpSurvAxH)</f>
        <v>0</v>
      </c>
      <c r="F177" s="39">
        <f ca="1">SUMPRODUCT(OFFSET(tConvElecAxH,0,1,1,_maxLT),INDEX(elecAxH,stdCSL+1,5)*allOnes,tpSurvAxH)</f>
        <v>0</v>
      </c>
      <c r="G177" s="39">
        <f ca="1">SUMPRODUCT(OFFSET(tConvElecAxH,0,2,1,_maxLT),INDEX(elecAxH,stdCSL+1,5)*allOnes,tpSurvAxH)</f>
        <v>0</v>
      </c>
      <c r="H177" s="39">
        <f ca="1">SUMPRODUCT(OFFSET(tConvElecAxH,0,3,1,_maxLT),INDEX(elecAxH,stdCSL+1,5)*allOnes,tpSurvAxH)</f>
        <v>0</v>
      </c>
      <c r="I177" s="39">
        <f ca="1">SUMPRODUCT(OFFSET(tConvElecAxH,0,4,1,_maxLT),INDEX(elecAxH,stdCSL+1,5)*allOnes,tpSurvAxH)</f>
        <v>0</v>
      </c>
      <c r="J177" s="39">
        <f ca="1">SUMPRODUCT(OFFSET(tConvElecAxH,0,5,1,_maxLT),INDEX(elecAxH,stdCSL+1,5)*allOnes,tpSurvAxH)</f>
        <v>0</v>
      </c>
      <c r="K177" s="39">
        <f ca="1">SUMPRODUCT(OFFSET(tConvElecAxH,0,6,1,_maxLT),INDEX(elecAxH,stdCSL+1,5)*allOnes,tpSurvAxH)</f>
        <v>0</v>
      </c>
      <c r="L177" s="39">
        <f ca="1">SUMPRODUCT(OFFSET(tConvElecAxH,0,7,1,_maxLT),INDEX(elecAxH,stdCSL+1,5)*allOnes,tpSurvAxH)</f>
        <v>0</v>
      </c>
      <c r="M177" s="39">
        <f ca="1">SUMPRODUCT(OFFSET(tConvElecAxH,0,8,1,_maxLT),INDEX(elecAxH,stdCSL+1,5)*allOnes,tpSurvAxH)</f>
        <v>0</v>
      </c>
      <c r="N177" s="39">
        <f ca="1">SUMPRODUCT(OFFSET(tConvElecAxH,0,9,1,_maxLT),INDEX(elecAxH,stdCSL+1,5)*allOnes,tpSurvAxH)</f>
        <v>0</v>
      </c>
      <c r="O177" s="39">
        <f ca="1">SUMPRODUCT(OFFSET(tConvElecAxH,0,10,1,_maxLT),INDEX(elecAxH,stdCSL+1,5)*allOnes,tpSurvAxH)</f>
        <v>0</v>
      </c>
      <c r="P177" s="39">
        <f ca="1">SUMPRODUCT(OFFSET(tConvElecAxH,0,11,1,_maxLT),INDEX(elecAxH,stdCSL+1,5)*allOnes,tpSurvAxH)</f>
        <v>0</v>
      </c>
      <c r="Q177" s="39">
        <f ca="1">SUMPRODUCT(OFFSET(tConvElecAxH,0,12,1,_maxLT),INDEX(elecAxH,stdCSL+1,5)*allOnes,tpSurvAxH)</f>
        <v>0</v>
      </c>
      <c r="R177" s="39">
        <f ca="1">SUMPRODUCT(OFFSET(tConvElecAxH,0,13,1,_maxLT),INDEX(elecAxH,stdCSL+1,5)*allOnes,tpSurvAxH)</f>
        <v>0</v>
      </c>
      <c r="S177" s="39">
        <f ca="1">SUMPRODUCT(OFFSET(tConvElecAxH,0,14,1,_maxLT),INDEX(elecAxH,stdCSL+1,5)*allOnes,tpSurvAxH)</f>
        <v>0</v>
      </c>
      <c r="T177" s="39">
        <f ca="1">SUMPRODUCT(OFFSET(tConvElecAxH,0,15,1,_maxLT),INDEX(elecAxH,stdCSL+1,5)*allOnes,tpSurvAxH)</f>
        <v>0</v>
      </c>
      <c r="U177" s="39">
        <f ca="1">SUMPRODUCT(OFFSET(tConvElecAxH,0,16,1,_maxLT),INDEX(elecAxH,stdCSL+1,5)*allOnes,tpSurvAxH)</f>
        <v>0</v>
      </c>
      <c r="V177" s="39">
        <f ca="1">SUMPRODUCT(OFFSET(tConvElecAxH,0,17,1,_maxLT),INDEX(elecAxH,stdCSL+1,5)*allOnes,tpSurvAxH)</f>
        <v>0</v>
      </c>
      <c r="W177" s="39">
        <f ca="1">SUMPRODUCT(OFFSET(tConvElecAxH,0,18,1,_maxLT),INDEX(elecAxH,stdCSL+1,5)*allOnes,tpSurvAxH)</f>
        <v>0</v>
      </c>
      <c r="X177" s="39">
        <f ca="1">SUMPRODUCT(OFFSET(tConvElecAxH,0,19,1,_maxLT),INDEX(elecAxH,stdCSL+1,5)*allOnes,tpSurvAxH)</f>
        <v>0</v>
      </c>
      <c r="Y177" s="39">
        <f ca="1">SUMPRODUCT(OFFSET(tConvElecAxH,0,20,1,_maxLT),INDEX(elecAxH,stdCSL+1,5)*allOnes,tpSurvAxH)</f>
        <v>0</v>
      </c>
      <c r="Z177" s="39">
        <f ca="1">SUMPRODUCT(OFFSET(tConvElecAxH,0,21,1,_maxLT),INDEX(elecAxH,stdCSL+1,5)*allOnes,tpSurvAxH)</f>
        <v>0</v>
      </c>
      <c r="AA177" s="39">
        <f ca="1">SUMPRODUCT(OFFSET(tConvElecAxH,0,22,1,_maxLT),INDEX(elecAxH,stdCSL+1,5)*allOnes,tpSurvAxH)</f>
        <v>0</v>
      </c>
      <c r="AB177" s="39">
        <f ca="1">SUMPRODUCT(OFFSET(tConvElecAxH,0,23,1,_maxLT),INDEX(elecAxH,stdCSL+1,5)*allOnes,tpSurvAxH)</f>
        <v>0</v>
      </c>
      <c r="AC177" s="39">
        <f ca="1">SUMPRODUCT(OFFSET(tConvElecAxH,0,24,1,_maxLT),INDEX(elecAxH,stdCSL+1,5)*allOnes,tpSurvAxH)</f>
        <v>0</v>
      </c>
      <c r="AD177" s="39">
        <f ca="1">SUMPRODUCT(OFFSET(tConvElecAxH,0,25,1,_maxLT),INDEX(elecAxH,stdCSL+1,5)*allOnes,tpSurvAxH)</f>
        <v>0</v>
      </c>
      <c r="AE177" s="39">
        <f ca="1">SUMPRODUCT(OFFSET(tConvElecAxH,0,26,1,_maxLT),INDEX(elecAxH,stdCSL+1,5)*allOnes,tpSurvAxH)</f>
        <v>0</v>
      </c>
      <c r="AF177" s="39">
        <f ca="1">SUMPRODUCT(OFFSET(tConvElecAxH,0,27,1,_maxLT),INDEX(elecAxH,stdCSL+1,5)*allOnes,tpSurvAxH)</f>
        <v>0</v>
      </c>
      <c r="AG177" s="39">
        <f ca="1">SUMPRODUCT(OFFSET(tConvElecAxH,0,28,1,_maxLT),INDEX(elecAxH,stdCSL+1,5)*allOnes,tpSurvAxH)</f>
        <v>0</v>
      </c>
      <c r="AH177" s="39">
        <f ca="1">SUMPRODUCT(OFFSET(tConvElecAxH,0,29,1,_maxLT),INDEX(elecAxH,stdCSL+1,5)*allOnes,tpSurvAxH)</f>
        <v>0</v>
      </c>
      <c r="AI177" s="39">
        <f ca="1">SUMPRODUCT(OFFSET(tConvElecAxH,0,30,1,_maxLT),INDEX(elecAxH,stdCSL+1,5)*allOnes,tpSurvAxH)</f>
        <v>0</v>
      </c>
      <c r="AJ177" s="39">
        <f ca="1">SUMPRODUCT(OFFSET(tConvElecAxH,0,31,1,_maxLT),INDEX(elecAxH,stdCSL+1,5)*allOnes,tpSurvAxH)</f>
        <v>0</v>
      </c>
      <c r="AK177" s="39">
        <f ca="1">SUMPRODUCT(OFFSET(tConvElecAxH,0,32,1,_maxLT),INDEX(elecAxH,stdCSL+1,5)*allOnes,tpSurvAxH)</f>
        <v>0</v>
      </c>
      <c r="AL177" s="40">
        <f ca="1">SUMPRODUCT(OFFSET(tConvElecAxH,0,33,1,_maxLT),INDEX(elecAxH,stdCSL+1,5)*allOnes,tpSurvAxH)</f>
        <v>0</v>
      </c>
      <c r="AM177" s="10"/>
    </row>
    <row r="178" spans="2:39">
      <c r="B178" s="10"/>
      <c r="C178" s="57" t="str">
        <f>"EL 5: " &amp; INDEX(_doName,1,6)</f>
        <v>EL 5: EL 5</v>
      </c>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3"/>
      <c r="AM178" s="10"/>
    </row>
    <row r="179" spans="2:39">
      <c r="B179" s="10"/>
      <c r="C179" s="16" t="s">
        <v>69</v>
      </c>
      <c r="D179" s="12" t="str">
        <f>_yearDol &amp; "$"</f>
        <v>2015$</v>
      </c>
      <c r="E179" s="13">
        <f t="array" aca="1" ref="E179:AL179" ca="1">INDEX(mspAxH,stdCSL+1,6)*tPIdxAll + INDEX(instAxH,stdCSL+1,6) + IF(bESav,SUMPRODUCT(dFactor,tpSurvAxH,INDEX(mrAxH,stdCSL+1,6)*allOnes),0)</f>
        <v>6551.9977940593899</v>
      </c>
      <c r="F179" s="13">
        <f ca="1"/>
        <v>6551.9977940593899</v>
      </c>
      <c r="G179" s="13">
        <f ca="1"/>
        <v>6551.9977940593899</v>
      </c>
      <c r="H179" s="13">
        <f ca="1"/>
        <v>6551.9977940593899</v>
      </c>
      <c r="I179" s="13">
        <f ca="1"/>
        <v>6551.9977940593899</v>
      </c>
      <c r="J179" s="13">
        <f ca="1"/>
        <v>6551.9977940593899</v>
      </c>
      <c r="K179" s="13">
        <f ca="1"/>
        <v>6551.9977940593899</v>
      </c>
      <c r="L179" s="13">
        <f ca="1"/>
        <v>6551.9977940593899</v>
      </c>
      <c r="M179" s="13">
        <f ca="1"/>
        <v>6551.9977940593899</v>
      </c>
      <c r="N179" s="13">
        <f ca="1"/>
        <v>6551.9977940593899</v>
      </c>
      <c r="O179" s="13">
        <f ca="1"/>
        <v>6551.9977940593899</v>
      </c>
      <c r="P179" s="13">
        <f ca="1"/>
        <v>6551.9977940593899</v>
      </c>
      <c r="Q179" s="13">
        <f ca="1"/>
        <v>6551.9977940593899</v>
      </c>
      <c r="R179" s="13">
        <f ca="1"/>
        <v>6551.9977940593899</v>
      </c>
      <c r="S179" s="13">
        <f ca="1"/>
        <v>6551.9977940593899</v>
      </c>
      <c r="T179" s="13">
        <f ca="1"/>
        <v>6551.9977940593899</v>
      </c>
      <c r="U179" s="13">
        <f ca="1"/>
        <v>6551.9977940593899</v>
      </c>
      <c r="V179" s="13">
        <f ca="1"/>
        <v>6551.9977940593899</v>
      </c>
      <c r="W179" s="13">
        <f ca="1"/>
        <v>6551.9977940593899</v>
      </c>
      <c r="X179" s="13">
        <f ca="1"/>
        <v>6551.9977940593899</v>
      </c>
      <c r="Y179" s="13">
        <f ca="1"/>
        <v>6551.9977940593899</v>
      </c>
      <c r="Z179" s="13">
        <f ca="1"/>
        <v>6551.9977940593899</v>
      </c>
      <c r="AA179" s="13">
        <f ca="1"/>
        <v>6551.9977940593899</v>
      </c>
      <c r="AB179" s="13">
        <f ca="1"/>
        <v>6551.9977940593899</v>
      </c>
      <c r="AC179" s="13">
        <f ca="1"/>
        <v>6551.9977940593899</v>
      </c>
      <c r="AD179" s="13">
        <f ca="1"/>
        <v>6551.9977940593899</v>
      </c>
      <c r="AE179" s="13">
        <f ca="1"/>
        <v>6551.9977940593899</v>
      </c>
      <c r="AF179" s="13">
        <f ca="1"/>
        <v>6551.9977940593899</v>
      </c>
      <c r="AG179" s="13">
        <f ca="1"/>
        <v>6551.9977940593899</v>
      </c>
      <c r="AH179" s="13">
        <f ca="1"/>
        <v>6551.9977940593899</v>
      </c>
      <c r="AI179" s="13">
        <f ca="1"/>
        <v>6551.9977940593899</v>
      </c>
      <c r="AJ179" s="13">
        <f ca="1"/>
        <v>6551.9977940593899</v>
      </c>
      <c r="AK179" s="13">
        <f ca="1"/>
        <v>6551.9977940593899</v>
      </c>
      <c r="AL179" s="56">
        <f ca="1"/>
        <v>6551.9977940593899</v>
      </c>
      <c r="AM179" s="10"/>
    </row>
    <row r="180" spans="2:39">
      <c r="B180" s="10"/>
      <c r="C180" s="16" t="str">
        <f>zEO&amp;" Costs"</f>
        <v>Operating Costs</v>
      </c>
      <c r="D180" s="12" t="str">
        <f>_yearDol &amp; "$"</f>
        <v>2015$</v>
      </c>
      <c r="E180" s="13">
        <f t="array" aca="1" ref="E180:AL180" ca="1">(tlccEFuElecpol5) + IF(bOSav,SUMPRODUCT(dFactor,tpSurvAxH,INDEX(mrAxH,stdCSL+1,6)*allOnes),0)</f>
        <v>50410.851094500111</v>
      </c>
      <c r="F180" s="13">
        <f ca="1"/>
        <v>50823.369621947691</v>
      </c>
      <c r="G180" s="13">
        <f ca="1"/>
        <v>51223.089461115174</v>
      </c>
      <c r="H180" s="13">
        <f ca="1"/>
        <v>51582.480312754138</v>
      </c>
      <c r="I180" s="13">
        <f ca="1"/>
        <v>51907.373442403856</v>
      </c>
      <c r="J180" s="13">
        <f ca="1"/>
        <v>52234.356526287404</v>
      </c>
      <c r="K180" s="13">
        <f ca="1"/>
        <v>52563.443326667344</v>
      </c>
      <c r="L180" s="13">
        <f ca="1"/>
        <v>52894.647698702393</v>
      </c>
      <c r="M180" s="13">
        <f ca="1"/>
        <v>53227.983591090218</v>
      </c>
      <c r="N180" s="13">
        <f ca="1"/>
        <v>53563.465046715166</v>
      </c>
      <c r="O180" s="13">
        <f ca="1"/>
        <v>53901.106203300093</v>
      </c>
      <c r="P180" s="13">
        <f ca="1"/>
        <v>54240.921294063177</v>
      </c>
      <c r="Q180" s="13">
        <f ca="1"/>
        <v>54582.924648379063</v>
      </c>
      <c r="R180" s="13">
        <f ca="1"/>
        <v>54927.130692445251</v>
      </c>
      <c r="S180" s="13">
        <f ca="1"/>
        <v>55273.553949952526</v>
      </c>
      <c r="T180" s="13">
        <f ca="1"/>
        <v>55622.209042760536</v>
      </c>
      <c r="U180" s="13">
        <f ca="1"/>
        <v>55973.110691578229</v>
      </c>
      <c r="V180" s="13">
        <f ca="1"/>
        <v>56326.273716648822</v>
      </c>
      <c r="W180" s="13">
        <f ca="1"/>
        <v>56681.71303843995</v>
      </c>
      <c r="X180" s="13">
        <f ca="1"/>
        <v>57039.443678338401</v>
      </c>
      <c r="Y180" s="13">
        <f ca="1"/>
        <v>57399.480759350161</v>
      </c>
      <c r="Z180" s="13">
        <f ca="1"/>
        <v>57761.839506805016</v>
      </c>
      <c r="AA180" s="13">
        <f ca="1"/>
        <v>58126.535249066408</v>
      </c>
      <c r="AB180" s="13">
        <f ca="1"/>
        <v>58493.58341824638</v>
      </c>
      <c r="AC180" s="13">
        <f ca="1"/>
        <v>58862.9995509254</v>
      </c>
      <c r="AD180" s="13">
        <f ca="1"/>
        <v>59234.799288877424</v>
      </c>
      <c r="AE180" s="13">
        <f ca="1"/>
        <v>59608.998379800149</v>
      </c>
      <c r="AF180" s="13">
        <f ca="1"/>
        <v>59985.612678050391</v>
      </c>
      <c r="AG180" s="13">
        <f ca="1"/>
        <v>60364.658145384594</v>
      </c>
      <c r="AH180" s="13">
        <f ca="1"/>
        <v>60746.150851704915</v>
      </c>
      <c r="AI180" s="13">
        <f ca="1"/>
        <v>61130.106975810195</v>
      </c>
      <c r="AJ180" s="13">
        <f ca="1"/>
        <v>61516.542806152633</v>
      </c>
      <c r="AK180" s="13">
        <f ca="1"/>
        <v>61905.474741599697</v>
      </c>
      <c r="AL180" s="56">
        <f ca="1"/>
        <v>62296.919292201317</v>
      </c>
      <c r="AM180" s="10"/>
    </row>
    <row r="181" spans="2:39">
      <c r="B181" s="10"/>
      <c r="C181" s="28" t="str">
        <f>INDEX(_fuel,1)</f>
        <v>Electricity</v>
      </c>
      <c r="D181" s="12" t="str">
        <f>_yearDol &amp; "$"</f>
        <v>2015$</v>
      </c>
      <c r="E181" s="13">
        <f ca="1">SUMPRODUCT(dFactor,tpSurvAxH,INDEX(elecAxH,stdCSL+1,6)*allOnes,OFFSET(tPrcElec,0,0,1,_maxLT))</f>
        <v>50410.851094500111</v>
      </c>
      <c r="F181" s="13">
        <f ca="1">SUMPRODUCT(dFactor,tpSurvAxH,INDEX(elecAxH,stdCSL+1,6)*allOnes,OFFSET(tPrcElec,0,1,1,_maxLT))</f>
        <v>50823.369621947691</v>
      </c>
      <c r="G181" s="13">
        <f ca="1">SUMPRODUCT(dFactor,tpSurvAxH,INDEX(elecAxH,stdCSL+1,6)*allOnes,OFFSET(tPrcElec,0,2,1,_maxLT))</f>
        <v>51223.089461115174</v>
      </c>
      <c r="H181" s="13">
        <f ca="1">SUMPRODUCT(dFactor,tpSurvAxH,INDEX(elecAxH,stdCSL+1,6)*allOnes,OFFSET(tPrcElec,0,3,1,_maxLT))</f>
        <v>51582.480312754138</v>
      </c>
      <c r="I181" s="13">
        <f ca="1">SUMPRODUCT(dFactor,tpSurvAxH,INDEX(elecAxH,stdCSL+1,6)*allOnes,OFFSET(tPrcElec,0,4,1,_maxLT))</f>
        <v>51907.373442403856</v>
      </c>
      <c r="J181" s="13">
        <f ca="1">SUMPRODUCT(dFactor,tpSurvAxH,INDEX(elecAxH,stdCSL+1,6)*allOnes,OFFSET(tPrcElec,0,5,1,_maxLT))</f>
        <v>52234.356526287404</v>
      </c>
      <c r="K181" s="13">
        <f ca="1">SUMPRODUCT(dFactor,tpSurvAxH,INDEX(elecAxH,stdCSL+1,6)*allOnes,OFFSET(tPrcElec,0,6,1,_maxLT))</f>
        <v>52563.443326667344</v>
      </c>
      <c r="L181" s="13">
        <f ca="1">SUMPRODUCT(dFactor,tpSurvAxH,INDEX(elecAxH,stdCSL+1,6)*allOnes,OFFSET(tPrcElec,0,7,1,_maxLT))</f>
        <v>52894.647698702393</v>
      </c>
      <c r="M181" s="13">
        <f ca="1">SUMPRODUCT(dFactor,tpSurvAxH,INDEX(elecAxH,stdCSL+1,6)*allOnes,OFFSET(tPrcElec,0,8,1,_maxLT))</f>
        <v>53227.983591090218</v>
      </c>
      <c r="N181" s="13">
        <f ca="1">SUMPRODUCT(dFactor,tpSurvAxH,INDEX(elecAxH,stdCSL+1,6)*allOnes,OFFSET(tPrcElec,0,9,1,_maxLT))</f>
        <v>53563.465046715166</v>
      </c>
      <c r="O181" s="13">
        <f ca="1">SUMPRODUCT(dFactor,tpSurvAxH,INDEX(elecAxH,stdCSL+1,6)*allOnes,OFFSET(tPrcElec,0,10,1,_maxLT))</f>
        <v>53901.106203300093</v>
      </c>
      <c r="P181" s="13">
        <f ca="1">SUMPRODUCT(dFactor,tpSurvAxH,INDEX(elecAxH,stdCSL+1,6)*allOnes,OFFSET(tPrcElec,0,11,1,_maxLT))</f>
        <v>54240.921294063177</v>
      </c>
      <c r="Q181" s="13">
        <f ca="1">SUMPRODUCT(dFactor,tpSurvAxH,INDEX(elecAxH,stdCSL+1,6)*allOnes,OFFSET(tPrcElec,0,12,1,_maxLT))</f>
        <v>54582.924648379063</v>
      </c>
      <c r="R181" s="13">
        <f ca="1">SUMPRODUCT(dFactor,tpSurvAxH,INDEX(elecAxH,stdCSL+1,6)*allOnes,OFFSET(tPrcElec,0,13,1,_maxLT))</f>
        <v>54927.130692445251</v>
      </c>
      <c r="S181" s="13">
        <f ca="1">SUMPRODUCT(dFactor,tpSurvAxH,INDEX(elecAxH,stdCSL+1,6)*allOnes,OFFSET(tPrcElec,0,14,1,_maxLT))</f>
        <v>55273.553949952526</v>
      </c>
      <c r="T181" s="13">
        <f ca="1">SUMPRODUCT(dFactor,tpSurvAxH,INDEX(elecAxH,stdCSL+1,6)*allOnes,OFFSET(tPrcElec,0,15,1,_maxLT))</f>
        <v>55622.209042760536</v>
      </c>
      <c r="U181" s="13">
        <f ca="1">SUMPRODUCT(dFactor,tpSurvAxH,INDEX(elecAxH,stdCSL+1,6)*allOnes,OFFSET(tPrcElec,0,16,1,_maxLT))</f>
        <v>55973.110691578229</v>
      </c>
      <c r="V181" s="13">
        <f ca="1">SUMPRODUCT(dFactor,tpSurvAxH,INDEX(elecAxH,stdCSL+1,6)*allOnes,OFFSET(tPrcElec,0,17,1,_maxLT))</f>
        <v>56326.273716648822</v>
      </c>
      <c r="W181" s="13">
        <f ca="1">SUMPRODUCT(dFactor,tpSurvAxH,INDEX(elecAxH,stdCSL+1,6)*allOnes,OFFSET(tPrcElec,0,18,1,_maxLT))</f>
        <v>56681.71303843995</v>
      </c>
      <c r="X181" s="13">
        <f ca="1">SUMPRODUCT(dFactor,tpSurvAxH,INDEX(elecAxH,stdCSL+1,6)*allOnes,OFFSET(tPrcElec,0,19,1,_maxLT))</f>
        <v>57039.443678338401</v>
      </c>
      <c r="Y181" s="13">
        <f ca="1">SUMPRODUCT(dFactor,tpSurvAxH,INDEX(elecAxH,stdCSL+1,6)*allOnes,OFFSET(tPrcElec,0,20,1,_maxLT))</f>
        <v>57399.480759350161</v>
      </c>
      <c r="Z181" s="13">
        <f ca="1">SUMPRODUCT(dFactor,tpSurvAxH,INDEX(elecAxH,stdCSL+1,6)*allOnes,OFFSET(tPrcElec,0,21,1,_maxLT))</f>
        <v>57761.839506805016</v>
      </c>
      <c r="AA181" s="13">
        <f ca="1">SUMPRODUCT(dFactor,tpSurvAxH,INDEX(elecAxH,stdCSL+1,6)*allOnes,OFFSET(tPrcElec,0,22,1,_maxLT))</f>
        <v>58126.535249066408</v>
      </c>
      <c r="AB181" s="13">
        <f ca="1">SUMPRODUCT(dFactor,tpSurvAxH,INDEX(elecAxH,stdCSL+1,6)*allOnes,OFFSET(tPrcElec,0,23,1,_maxLT))</f>
        <v>58493.58341824638</v>
      </c>
      <c r="AC181" s="13">
        <f ca="1">SUMPRODUCT(dFactor,tpSurvAxH,INDEX(elecAxH,stdCSL+1,6)*allOnes,OFFSET(tPrcElec,0,24,1,_maxLT))</f>
        <v>58862.9995509254</v>
      </c>
      <c r="AD181" s="13">
        <f ca="1">SUMPRODUCT(dFactor,tpSurvAxH,INDEX(elecAxH,stdCSL+1,6)*allOnes,OFFSET(tPrcElec,0,25,1,_maxLT))</f>
        <v>59234.799288877424</v>
      </c>
      <c r="AE181" s="13">
        <f ca="1">SUMPRODUCT(dFactor,tpSurvAxH,INDEX(elecAxH,stdCSL+1,6)*allOnes,OFFSET(tPrcElec,0,26,1,_maxLT))</f>
        <v>59608.998379800149</v>
      </c>
      <c r="AF181" s="13">
        <f ca="1">SUMPRODUCT(dFactor,tpSurvAxH,INDEX(elecAxH,stdCSL+1,6)*allOnes,OFFSET(tPrcElec,0,27,1,_maxLT))</f>
        <v>59985.612678050391</v>
      </c>
      <c r="AG181" s="13">
        <f ca="1">SUMPRODUCT(dFactor,tpSurvAxH,INDEX(elecAxH,stdCSL+1,6)*allOnes,OFFSET(tPrcElec,0,28,1,_maxLT))</f>
        <v>60364.658145384594</v>
      </c>
      <c r="AH181" s="13">
        <f ca="1">SUMPRODUCT(dFactor,tpSurvAxH,INDEX(elecAxH,stdCSL+1,6)*allOnes,OFFSET(tPrcElec,0,29,1,_maxLT))</f>
        <v>60746.150851704915</v>
      </c>
      <c r="AI181" s="13">
        <f ca="1">SUMPRODUCT(dFactor,tpSurvAxH,INDEX(elecAxH,stdCSL+1,6)*allOnes,OFFSET(tPrcElec,0,30,1,_maxLT))</f>
        <v>61130.106975810195</v>
      </c>
      <c r="AJ181" s="13">
        <f ca="1">SUMPRODUCT(dFactor,tpSurvAxH,INDEX(elecAxH,stdCSL+1,6)*allOnes,OFFSET(tPrcElec,0,31,1,_maxLT))</f>
        <v>61516.542806152633</v>
      </c>
      <c r="AK181" s="13">
        <f ca="1">SUMPRODUCT(dFactor,tpSurvAxH,INDEX(elecAxH,stdCSL+1,6)*allOnes,OFFSET(tPrcElec,0,32,1,_maxLT))</f>
        <v>61905.474741599697</v>
      </c>
      <c r="AL181" s="56">
        <f ca="1">SUMPRODUCT(dFactor,tpSurvAxH,INDEX(elecAxH,stdCSL+1,6)*allOnes,OFFSET(tPrcElec,0,33,1,_maxLT))</f>
        <v>62296.919292201317</v>
      </c>
      <c r="AM181" s="10"/>
    </row>
    <row r="182" spans="2:39">
      <c r="B182" s="10"/>
      <c r="C182" s="16" t="s">
        <v>79</v>
      </c>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5"/>
      <c r="AM182" s="10"/>
    </row>
    <row r="183" spans="2:39">
      <c r="B183" s="10"/>
      <c r="C183" s="28" t="str">
        <f>INDEX(_fuel,1)</f>
        <v>Electricity</v>
      </c>
      <c r="D183" s="12" t="s">
        <v>83</v>
      </c>
      <c r="E183" s="39">
        <f ca="1">SUMPRODUCT(OFFSET(tConvElecAxH,0,0,1,_maxLT),INDEX(elecAxH,stdCSL+1,6)*allOnes,tpSurvAxH)</f>
        <v>10158.132665414589</v>
      </c>
      <c r="F183" s="39">
        <f ca="1">SUMPRODUCT(OFFSET(tConvElecAxH,0,1,1,_maxLT),INDEX(elecAxH,stdCSL+1,6)*allOnes,tpSurvAxH)</f>
        <v>10084.888882795358</v>
      </c>
      <c r="G183" s="39">
        <f ca="1">SUMPRODUCT(OFFSET(tConvElecAxH,0,2,1,_maxLT),INDEX(elecAxH,stdCSL+1,6)*allOnes,tpSurvAxH)</f>
        <v>10019.977094585962</v>
      </c>
      <c r="H183" s="39">
        <f ca="1">SUMPRODUCT(OFFSET(tConvElecAxH,0,3,1,_maxLT),INDEX(elecAxH,stdCSL+1,6)*allOnes,tpSurvAxH)</f>
        <v>9957.964886082369</v>
      </c>
      <c r="I183" s="39">
        <f ca="1">SUMPRODUCT(OFFSET(tConvElecAxH,0,4,1,_maxLT),INDEX(elecAxH,stdCSL+1,6)*allOnes,tpSurvAxH)</f>
        <v>9903.4507483678735</v>
      </c>
      <c r="J183" s="39">
        <f ca="1">SUMPRODUCT(OFFSET(tConvElecAxH,0,5,1,_maxLT),INDEX(elecAxH,stdCSL+1,6)*allOnes,tpSurvAxH)</f>
        <v>9860.9054145457339</v>
      </c>
      <c r="K183" s="39">
        <f ca="1">SUMPRODUCT(OFFSET(tConvElecAxH,0,6,1,_maxLT),INDEX(elecAxH,stdCSL+1,6)*allOnes,tpSurvAxH)</f>
        <v>9825.5857136410377</v>
      </c>
      <c r="L183" s="39">
        <f ca="1">SUMPRODUCT(OFFSET(tConvElecAxH,0,7,1,_maxLT),INDEX(elecAxH,stdCSL+1,6)*allOnes,tpSurvAxH)</f>
        <v>9789.9045784882055</v>
      </c>
      <c r="M183" s="39">
        <f ca="1">SUMPRODUCT(OFFSET(tConvElecAxH,0,8,1,_maxLT),INDEX(elecAxH,stdCSL+1,6)*allOnes,tpSurvAxH)</f>
        <v>9761.1014443928343</v>
      </c>
      <c r="N183" s="39">
        <f ca="1">SUMPRODUCT(OFFSET(tConvElecAxH,0,9,1,_maxLT),INDEX(elecAxH,stdCSL+1,6)*allOnes,tpSurvAxH)</f>
        <v>9740.9985811441038</v>
      </c>
      <c r="O183" s="39">
        <f ca="1">SUMPRODUCT(OFFSET(tConvElecAxH,0,10,1,_maxLT),INDEX(elecAxH,stdCSL+1,6)*allOnes,tpSurvAxH)</f>
        <v>9726.062326315543</v>
      </c>
      <c r="P183" s="39">
        <f ca="1">SUMPRODUCT(OFFSET(tConvElecAxH,0,11,1,_maxLT),INDEX(elecAxH,stdCSL+1,6)*allOnes,tpSurvAxH)</f>
        <v>9713.3781145324792</v>
      </c>
      <c r="Q183" s="39">
        <f ca="1">SUMPRODUCT(OFFSET(tConvElecAxH,0,12,1,_maxLT),INDEX(elecAxH,stdCSL+1,6)*allOnes,tpSurvAxH)</f>
        <v>9703.9141983260033</v>
      </c>
      <c r="R183" s="39">
        <f ca="1">SUMPRODUCT(OFFSET(tConvElecAxH,0,13,1,_maxLT),INDEX(elecAxH,stdCSL+1,6)*allOnes,tpSurvAxH)</f>
        <v>9696.6297827201179</v>
      </c>
      <c r="S183" s="39">
        <f ca="1">SUMPRODUCT(OFFSET(tConvElecAxH,0,14,1,_maxLT),INDEX(elecAxH,stdCSL+1,6)*allOnes,tpSurvAxH)</f>
        <v>9695.2956918393174</v>
      </c>
      <c r="T183" s="39">
        <f ca="1">SUMPRODUCT(OFFSET(tConvElecAxH,0,15,1,_maxLT),INDEX(elecAxH,stdCSL+1,6)*allOnes,tpSurvAxH)</f>
        <v>9696.5107675515646</v>
      </c>
      <c r="U183" s="39">
        <f ca="1">SUMPRODUCT(OFFSET(tConvElecAxH,0,16,1,_maxLT),INDEX(elecAxH,stdCSL+1,6)*allOnes,tpSurvAxH)</f>
        <v>9698.5279520339664</v>
      </c>
      <c r="V183" s="39">
        <f ca="1">SUMPRODUCT(OFFSET(tConvElecAxH,0,17,1,_maxLT),INDEX(elecAxH,stdCSL+1,6)*allOnes,tpSurvAxH)</f>
        <v>9701.6368458580691</v>
      </c>
      <c r="W183" s="39">
        <f ca="1">SUMPRODUCT(OFFSET(tConvElecAxH,0,18,1,_maxLT),INDEX(elecAxH,stdCSL+1,6)*allOnes,tpSurvAxH)</f>
        <v>9704.6629905171358</v>
      </c>
      <c r="X183" s="39">
        <f ca="1">SUMPRODUCT(OFFSET(tConvElecAxH,0,19,1,_maxLT),INDEX(elecAxH,stdCSL+1,6)*allOnes,tpSurvAxH)</f>
        <v>9707.1868394815992</v>
      </c>
      <c r="Y183" s="39">
        <f ca="1">SUMPRODUCT(OFFSET(tConvElecAxH,0,20,1,_maxLT),INDEX(elecAxH,stdCSL+1,6)*allOnes,tpSurvAxH)</f>
        <v>9708.8676257693551</v>
      </c>
      <c r="Z183" s="39">
        <f ca="1">SUMPRODUCT(OFFSET(tConvElecAxH,0,21,1,_maxLT),INDEX(elecAxH,stdCSL+1,6)*allOnes,tpSurvAxH)</f>
        <v>9710.0168104438508</v>
      </c>
      <c r="AA183" s="39">
        <f ca="1">SUMPRODUCT(OFFSET(tConvElecAxH,0,22,1,_maxLT),INDEX(elecAxH,stdCSL+1,6)*allOnes,tpSurvAxH)</f>
        <v>9710.0168104438508</v>
      </c>
      <c r="AB183" s="39">
        <f ca="1">SUMPRODUCT(OFFSET(tConvElecAxH,0,23,1,_maxLT),INDEX(elecAxH,stdCSL+1,6)*allOnes,tpSurvAxH)</f>
        <v>9710.0168104438508</v>
      </c>
      <c r="AC183" s="39">
        <f ca="1">SUMPRODUCT(OFFSET(tConvElecAxH,0,24,1,_maxLT),INDEX(elecAxH,stdCSL+1,6)*allOnes,tpSurvAxH)</f>
        <v>9710.0168104438508</v>
      </c>
      <c r="AD183" s="39">
        <f ca="1">SUMPRODUCT(OFFSET(tConvElecAxH,0,25,1,_maxLT),INDEX(elecAxH,stdCSL+1,6)*allOnes,tpSurvAxH)</f>
        <v>9710.0168104438508</v>
      </c>
      <c r="AE183" s="39">
        <f ca="1">SUMPRODUCT(OFFSET(tConvElecAxH,0,26,1,_maxLT),INDEX(elecAxH,stdCSL+1,6)*allOnes,tpSurvAxH)</f>
        <v>9710.0168104438508</v>
      </c>
      <c r="AF183" s="39">
        <f ca="1">SUMPRODUCT(OFFSET(tConvElecAxH,0,27,1,_maxLT),INDEX(elecAxH,stdCSL+1,6)*allOnes,tpSurvAxH)</f>
        <v>9710.0168104438508</v>
      </c>
      <c r="AG183" s="39">
        <f ca="1">SUMPRODUCT(OFFSET(tConvElecAxH,0,28,1,_maxLT),INDEX(elecAxH,stdCSL+1,6)*allOnes,tpSurvAxH)</f>
        <v>9710.0168104438508</v>
      </c>
      <c r="AH183" s="39">
        <f ca="1">SUMPRODUCT(OFFSET(tConvElecAxH,0,29,1,_maxLT),INDEX(elecAxH,stdCSL+1,6)*allOnes,tpSurvAxH)</f>
        <v>9710.0168104438508</v>
      </c>
      <c r="AI183" s="39">
        <f ca="1">SUMPRODUCT(OFFSET(tConvElecAxH,0,30,1,_maxLT),INDEX(elecAxH,stdCSL+1,6)*allOnes,tpSurvAxH)</f>
        <v>9710.0168104438508</v>
      </c>
      <c r="AJ183" s="39">
        <f ca="1">SUMPRODUCT(OFFSET(tConvElecAxH,0,31,1,_maxLT),INDEX(elecAxH,stdCSL+1,6)*allOnes,tpSurvAxH)</f>
        <v>9710.0168104438508</v>
      </c>
      <c r="AK183" s="39">
        <f ca="1">SUMPRODUCT(OFFSET(tConvElecAxH,0,32,1,_maxLT),INDEX(elecAxH,stdCSL+1,6)*allOnes,tpSurvAxH)</f>
        <v>9710.0168104438508</v>
      </c>
      <c r="AL183" s="40">
        <f ca="1">SUMPRODUCT(OFFSET(tConvElecAxH,0,33,1,_maxLT),INDEX(elecAxH,stdCSL+1,6)*allOnes,tpSurvAxH)</f>
        <v>9710.0168104438508</v>
      </c>
      <c r="AM183" s="10"/>
    </row>
    <row r="184" spans="2:39">
      <c r="B184" s="10"/>
      <c r="C184" s="57" t="str">
        <f>"EL 6: " &amp; INDEX(_doName,1,7)</f>
        <v>EL 6: EL 6</v>
      </c>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3"/>
      <c r="AM184" s="10"/>
    </row>
    <row r="185" spans="2:39">
      <c r="B185" s="10"/>
      <c r="C185" s="16" t="s">
        <v>69</v>
      </c>
      <c r="D185" s="12" t="str">
        <f>_yearDol &amp; "$"</f>
        <v>2015$</v>
      </c>
      <c r="E185" s="13">
        <f t="array" aca="1" ref="E185:AL185" ca="1">INDEX(mspAxH,stdCSL+1,7)*tPIdxAll + INDEX(instAxH,stdCSL+1,7) + IF(bESav,SUMPRODUCT(dFactor,tpSurvAxH,INDEX(mrAxH,stdCSL+1,7)*allOnes),0)</f>
        <v>7267.0659445983601</v>
      </c>
      <c r="F185" s="13">
        <f ca="1"/>
        <v>7267.0659445983601</v>
      </c>
      <c r="G185" s="13">
        <f ca="1"/>
        <v>7267.0659445983601</v>
      </c>
      <c r="H185" s="13">
        <f ca="1"/>
        <v>7267.0659445983601</v>
      </c>
      <c r="I185" s="13">
        <f ca="1"/>
        <v>7267.0659445983601</v>
      </c>
      <c r="J185" s="13">
        <f ca="1"/>
        <v>7267.0659445983601</v>
      </c>
      <c r="K185" s="13">
        <f ca="1"/>
        <v>7267.0659445983601</v>
      </c>
      <c r="L185" s="13">
        <f ca="1"/>
        <v>7267.0659445983601</v>
      </c>
      <c r="M185" s="13">
        <f ca="1"/>
        <v>7267.0659445983601</v>
      </c>
      <c r="N185" s="13">
        <f ca="1"/>
        <v>7267.0659445983601</v>
      </c>
      <c r="O185" s="13">
        <f ca="1"/>
        <v>7267.0659445983601</v>
      </c>
      <c r="P185" s="13">
        <f ca="1"/>
        <v>7267.0659445983601</v>
      </c>
      <c r="Q185" s="13">
        <f ca="1"/>
        <v>7267.0659445983601</v>
      </c>
      <c r="R185" s="13">
        <f ca="1"/>
        <v>7267.0659445983601</v>
      </c>
      <c r="S185" s="13">
        <f ca="1"/>
        <v>7267.0659445983601</v>
      </c>
      <c r="T185" s="13">
        <f ca="1"/>
        <v>7267.0659445983601</v>
      </c>
      <c r="U185" s="13">
        <f ca="1"/>
        <v>7267.0659445983601</v>
      </c>
      <c r="V185" s="13">
        <f ca="1"/>
        <v>7267.0659445983601</v>
      </c>
      <c r="W185" s="13">
        <f ca="1"/>
        <v>7267.0659445983601</v>
      </c>
      <c r="X185" s="13">
        <f ca="1"/>
        <v>7267.0659445983601</v>
      </c>
      <c r="Y185" s="13">
        <f ca="1"/>
        <v>7267.0659445983601</v>
      </c>
      <c r="Z185" s="13">
        <f ca="1"/>
        <v>7267.0659445983601</v>
      </c>
      <c r="AA185" s="13">
        <f ca="1"/>
        <v>7267.0659445983601</v>
      </c>
      <c r="AB185" s="13">
        <f ca="1"/>
        <v>7267.0659445983601</v>
      </c>
      <c r="AC185" s="13">
        <f ca="1"/>
        <v>7267.0659445983601</v>
      </c>
      <c r="AD185" s="13">
        <f ca="1"/>
        <v>7267.0659445983601</v>
      </c>
      <c r="AE185" s="13">
        <f ca="1"/>
        <v>7267.0659445983601</v>
      </c>
      <c r="AF185" s="13">
        <f ca="1"/>
        <v>7267.0659445983601</v>
      </c>
      <c r="AG185" s="13">
        <f ca="1"/>
        <v>7267.0659445983601</v>
      </c>
      <c r="AH185" s="13">
        <f ca="1"/>
        <v>7267.0659445983601</v>
      </c>
      <c r="AI185" s="13">
        <f ca="1"/>
        <v>7267.0659445983601</v>
      </c>
      <c r="AJ185" s="13">
        <f ca="1"/>
        <v>7267.0659445983601</v>
      </c>
      <c r="AK185" s="13">
        <f ca="1"/>
        <v>7267.0659445983601</v>
      </c>
      <c r="AL185" s="56">
        <f ca="1"/>
        <v>7267.0659445983601</v>
      </c>
      <c r="AM185" s="10"/>
    </row>
    <row r="186" spans="2:39">
      <c r="B186" s="10"/>
      <c r="C186" s="16" t="str">
        <f>zEO&amp;" Costs"</f>
        <v>Operating Costs</v>
      </c>
      <c r="D186" s="12" t="str">
        <f>_yearDol &amp; "$"</f>
        <v>2015$</v>
      </c>
      <c r="E186" s="13">
        <f t="array" aca="1" ref="E186:AL186" ca="1">(tlccEFuElecpol6) + IF(bOSav,SUMPRODUCT(dFactor,tpSurvAxH,INDEX(mrAxH,stdCSL+1,7)*allOnes),0)</f>
        <v>40417.485286573319</v>
      </c>
      <c r="F186" s="13">
        <f ca="1"/>
        <v>40748.226806534869</v>
      </c>
      <c r="G186" s="13">
        <f ca="1"/>
        <v>41068.706829536677</v>
      </c>
      <c r="H186" s="13">
        <f ca="1"/>
        <v>41356.852618446595</v>
      </c>
      <c r="I186" s="13">
        <f ca="1"/>
        <v>41617.339458129376</v>
      </c>
      <c r="J186" s="13">
        <f ca="1"/>
        <v>41879.50194288983</v>
      </c>
      <c r="K186" s="13">
        <f ca="1"/>
        <v>42143.351106781709</v>
      </c>
      <c r="L186" s="13">
        <f ca="1"/>
        <v>42408.898058339393</v>
      </c>
      <c r="M186" s="13">
        <f ca="1"/>
        <v>42676.153981093383</v>
      </c>
      <c r="N186" s="13">
        <f ca="1"/>
        <v>42945.13013408913</v>
      </c>
      <c r="O186" s="13">
        <f ca="1"/>
        <v>43215.837852410157</v>
      </c>
      <c r="P186" s="13">
        <f ca="1"/>
        <v>43488.288547704375</v>
      </c>
      <c r="Q186" s="13">
        <f ca="1"/>
        <v>43762.49370871445</v>
      </c>
      <c r="R186" s="13">
        <f ca="1"/>
        <v>44038.464901811676</v>
      </c>
      <c r="S186" s="13">
        <f ca="1"/>
        <v>44316.213771533759</v>
      </c>
      <c r="T186" s="13">
        <f ca="1"/>
        <v>44595.752041126529</v>
      </c>
      <c r="U186" s="13">
        <f ca="1"/>
        <v>44877.091513089385</v>
      </c>
      <c r="V186" s="13">
        <f ca="1"/>
        <v>45160.244069724336</v>
      </c>
      <c r="W186" s="13">
        <f ca="1"/>
        <v>45445.221673689652</v>
      </c>
      <c r="X186" s="13">
        <f ca="1"/>
        <v>45732.036368556626</v>
      </c>
      <c r="Y186" s="13">
        <f ca="1"/>
        <v>46020.700279370853</v>
      </c>
      <c r="Z186" s="13">
        <f ca="1"/>
        <v>46311.225613217401</v>
      </c>
      <c r="AA186" s="13">
        <f ca="1"/>
        <v>46603.624659789624</v>
      </c>
      <c r="AB186" s="13">
        <f ca="1"/>
        <v>46897.909791962549</v>
      </c>
      <c r="AC186" s="13">
        <f ca="1"/>
        <v>47194.093466369988</v>
      </c>
      <c r="AD186" s="13">
        <f ca="1"/>
        <v>47492.188223985941</v>
      </c>
      <c r="AE186" s="13">
        <f ca="1"/>
        <v>47792.206690709841</v>
      </c>
      <c r="AF186" s="13">
        <f ca="1"/>
        <v>48094.161577956387</v>
      </c>
      <c r="AG186" s="13">
        <f ca="1"/>
        <v>48398.065683249202</v>
      </c>
      <c r="AH186" s="13">
        <f ca="1"/>
        <v>48703.931890818909</v>
      </c>
      <c r="AI186" s="13">
        <f ca="1"/>
        <v>49011.773172205423</v>
      </c>
      <c r="AJ186" s="13">
        <f ca="1"/>
        <v>49321.602586864436</v>
      </c>
      <c r="AK186" s="13">
        <f ca="1"/>
        <v>49633.433282778307</v>
      </c>
      <c r="AL186" s="56">
        <f ca="1"/>
        <v>49947.278497071355</v>
      </c>
      <c r="AM186" s="10"/>
    </row>
    <row r="187" spans="2:39">
      <c r="B187" s="10"/>
      <c r="C187" s="28" t="str">
        <f>INDEX(_fuel,1)</f>
        <v>Electricity</v>
      </c>
      <c r="D187" s="12" t="str">
        <f>_yearDol &amp; "$"</f>
        <v>2015$</v>
      </c>
      <c r="E187" s="13">
        <f ca="1">SUMPRODUCT(dFactor,tpSurvAxH,INDEX(elecAxH,stdCSL+1,7)*allOnes,OFFSET(tPrcElec,0,0,1,_maxLT))</f>
        <v>40417.485286573319</v>
      </c>
      <c r="F187" s="13">
        <f ca="1">SUMPRODUCT(dFactor,tpSurvAxH,INDEX(elecAxH,stdCSL+1,7)*allOnes,OFFSET(tPrcElec,0,1,1,_maxLT))</f>
        <v>40748.226806534869</v>
      </c>
      <c r="G187" s="13">
        <f ca="1">SUMPRODUCT(dFactor,tpSurvAxH,INDEX(elecAxH,stdCSL+1,7)*allOnes,OFFSET(tPrcElec,0,2,1,_maxLT))</f>
        <v>41068.706829536677</v>
      </c>
      <c r="H187" s="13">
        <f ca="1">SUMPRODUCT(dFactor,tpSurvAxH,INDEX(elecAxH,stdCSL+1,7)*allOnes,OFFSET(tPrcElec,0,3,1,_maxLT))</f>
        <v>41356.852618446595</v>
      </c>
      <c r="I187" s="13">
        <f ca="1">SUMPRODUCT(dFactor,tpSurvAxH,INDEX(elecAxH,stdCSL+1,7)*allOnes,OFFSET(tPrcElec,0,4,1,_maxLT))</f>
        <v>41617.339458129376</v>
      </c>
      <c r="J187" s="13">
        <f ca="1">SUMPRODUCT(dFactor,tpSurvAxH,INDEX(elecAxH,stdCSL+1,7)*allOnes,OFFSET(tPrcElec,0,5,1,_maxLT))</f>
        <v>41879.50194288983</v>
      </c>
      <c r="K187" s="13">
        <f ca="1">SUMPRODUCT(dFactor,tpSurvAxH,INDEX(elecAxH,stdCSL+1,7)*allOnes,OFFSET(tPrcElec,0,6,1,_maxLT))</f>
        <v>42143.351106781709</v>
      </c>
      <c r="L187" s="13">
        <f ca="1">SUMPRODUCT(dFactor,tpSurvAxH,INDEX(elecAxH,stdCSL+1,7)*allOnes,OFFSET(tPrcElec,0,7,1,_maxLT))</f>
        <v>42408.898058339393</v>
      </c>
      <c r="M187" s="13">
        <f ca="1">SUMPRODUCT(dFactor,tpSurvAxH,INDEX(elecAxH,stdCSL+1,7)*allOnes,OFFSET(tPrcElec,0,8,1,_maxLT))</f>
        <v>42676.153981093383</v>
      </c>
      <c r="N187" s="13">
        <f ca="1">SUMPRODUCT(dFactor,tpSurvAxH,INDEX(elecAxH,stdCSL+1,7)*allOnes,OFFSET(tPrcElec,0,9,1,_maxLT))</f>
        <v>42945.13013408913</v>
      </c>
      <c r="O187" s="13">
        <f ca="1">SUMPRODUCT(dFactor,tpSurvAxH,INDEX(elecAxH,stdCSL+1,7)*allOnes,OFFSET(tPrcElec,0,10,1,_maxLT))</f>
        <v>43215.837852410157</v>
      </c>
      <c r="P187" s="13">
        <f ca="1">SUMPRODUCT(dFactor,tpSurvAxH,INDEX(elecAxH,stdCSL+1,7)*allOnes,OFFSET(tPrcElec,0,11,1,_maxLT))</f>
        <v>43488.288547704375</v>
      </c>
      <c r="Q187" s="13">
        <f ca="1">SUMPRODUCT(dFactor,tpSurvAxH,INDEX(elecAxH,stdCSL+1,7)*allOnes,OFFSET(tPrcElec,0,12,1,_maxLT))</f>
        <v>43762.49370871445</v>
      </c>
      <c r="R187" s="13">
        <f ca="1">SUMPRODUCT(dFactor,tpSurvAxH,INDEX(elecAxH,stdCSL+1,7)*allOnes,OFFSET(tPrcElec,0,13,1,_maxLT))</f>
        <v>44038.464901811676</v>
      </c>
      <c r="S187" s="13">
        <f ca="1">SUMPRODUCT(dFactor,tpSurvAxH,INDEX(elecAxH,stdCSL+1,7)*allOnes,OFFSET(tPrcElec,0,14,1,_maxLT))</f>
        <v>44316.213771533759</v>
      </c>
      <c r="T187" s="13">
        <f ca="1">SUMPRODUCT(dFactor,tpSurvAxH,INDEX(elecAxH,stdCSL+1,7)*allOnes,OFFSET(tPrcElec,0,15,1,_maxLT))</f>
        <v>44595.752041126529</v>
      </c>
      <c r="U187" s="13">
        <f ca="1">SUMPRODUCT(dFactor,tpSurvAxH,INDEX(elecAxH,stdCSL+1,7)*allOnes,OFFSET(tPrcElec,0,16,1,_maxLT))</f>
        <v>44877.091513089385</v>
      </c>
      <c r="V187" s="13">
        <f ca="1">SUMPRODUCT(dFactor,tpSurvAxH,INDEX(elecAxH,stdCSL+1,7)*allOnes,OFFSET(tPrcElec,0,17,1,_maxLT))</f>
        <v>45160.244069724336</v>
      </c>
      <c r="W187" s="13">
        <f ca="1">SUMPRODUCT(dFactor,tpSurvAxH,INDEX(elecAxH,stdCSL+1,7)*allOnes,OFFSET(tPrcElec,0,18,1,_maxLT))</f>
        <v>45445.221673689652</v>
      </c>
      <c r="X187" s="13">
        <f ca="1">SUMPRODUCT(dFactor,tpSurvAxH,INDEX(elecAxH,stdCSL+1,7)*allOnes,OFFSET(tPrcElec,0,19,1,_maxLT))</f>
        <v>45732.036368556626</v>
      </c>
      <c r="Y187" s="13">
        <f ca="1">SUMPRODUCT(dFactor,tpSurvAxH,INDEX(elecAxH,stdCSL+1,7)*allOnes,OFFSET(tPrcElec,0,20,1,_maxLT))</f>
        <v>46020.700279370853</v>
      </c>
      <c r="Z187" s="13">
        <f ca="1">SUMPRODUCT(dFactor,tpSurvAxH,INDEX(elecAxH,stdCSL+1,7)*allOnes,OFFSET(tPrcElec,0,21,1,_maxLT))</f>
        <v>46311.225613217401</v>
      </c>
      <c r="AA187" s="13">
        <f ca="1">SUMPRODUCT(dFactor,tpSurvAxH,INDEX(elecAxH,stdCSL+1,7)*allOnes,OFFSET(tPrcElec,0,22,1,_maxLT))</f>
        <v>46603.624659789624</v>
      </c>
      <c r="AB187" s="13">
        <f ca="1">SUMPRODUCT(dFactor,tpSurvAxH,INDEX(elecAxH,stdCSL+1,7)*allOnes,OFFSET(tPrcElec,0,23,1,_maxLT))</f>
        <v>46897.909791962549</v>
      </c>
      <c r="AC187" s="13">
        <f ca="1">SUMPRODUCT(dFactor,tpSurvAxH,INDEX(elecAxH,stdCSL+1,7)*allOnes,OFFSET(tPrcElec,0,24,1,_maxLT))</f>
        <v>47194.093466369988</v>
      </c>
      <c r="AD187" s="13">
        <f ca="1">SUMPRODUCT(dFactor,tpSurvAxH,INDEX(elecAxH,stdCSL+1,7)*allOnes,OFFSET(tPrcElec,0,25,1,_maxLT))</f>
        <v>47492.188223985941</v>
      </c>
      <c r="AE187" s="13">
        <f ca="1">SUMPRODUCT(dFactor,tpSurvAxH,INDEX(elecAxH,stdCSL+1,7)*allOnes,OFFSET(tPrcElec,0,26,1,_maxLT))</f>
        <v>47792.206690709841</v>
      </c>
      <c r="AF187" s="13">
        <f ca="1">SUMPRODUCT(dFactor,tpSurvAxH,INDEX(elecAxH,stdCSL+1,7)*allOnes,OFFSET(tPrcElec,0,27,1,_maxLT))</f>
        <v>48094.161577956387</v>
      </c>
      <c r="AG187" s="13">
        <f ca="1">SUMPRODUCT(dFactor,tpSurvAxH,INDEX(elecAxH,stdCSL+1,7)*allOnes,OFFSET(tPrcElec,0,28,1,_maxLT))</f>
        <v>48398.065683249202</v>
      </c>
      <c r="AH187" s="13">
        <f ca="1">SUMPRODUCT(dFactor,tpSurvAxH,INDEX(elecAxH,stdCSL+1,7)*allOnes,OFFSET(tPrcElec,0,29,1,_maxLT))</f>
        <v>48703.931890818909</v>
      </c>
      <c r="AI187" s="13">
        <f ca="1">SUMPRODUCT(dFactor,tpSurvAxH,INDEX(elecAxH,stdCSL+1,7)*allOnes,OFFSET(tPrcElec,0,30,1,_maxLT))</f>
        <v>49011.773172205423</v>
      </c>
      <c r="AJ187" s="13">
        <f ca="1">SUMPRODUCT(dFactor,tpSurvAxH,INDEX(elecAxH,stdCSL+1,7)*allOnes,OFFSET(tPrcElec,0,31,1,_maxLT))</f>
        <v>49321.602586864436</v>
      </c>
      <c r="AK187" s="13">
        <f ca="1">SUMPRODUCT(dFactor,tpSurvAxH,INDEX(elecAxH,stdCSL+1,7)*allOnes,OFFSET(tPrcElec,0,32,1,_maxLT))</f>
        <v>49633.433282778307</v>
      </c>
      <c r="AL187" s="56">
        <f ca="1">SUMPRODUCT(dFactor,tpSurvAxH,INDEX(elecAxH,stdCSL+1,7)*allOnes,OFFSET(tPrcElec,0,33,1,_maxLT))</f>
        <v>49947.278497071355</v>
      </c>
      <c r="AM187" s="10"/>
    </row>
    <row r="188" spans="2:39">
      <c r="B188" s="10"/>
      <c r="C188" s="16" t="s">
        <v>79</v>
      </c>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5"/>
      <c r="AM188" s="10"/>
    </row>
    <row r="189" spans="2:39">
      <c r="B189" s="10"/>
      <c r="C189" s="45" t="str">
        <f>INDEX(_fuel,1)</f>
        <v>Electricity</v>
      </c>
      <c r="D189" s="18" t="s">
        <v>83</v>
      </c>
      <c r="E189" s="49">
        <f ca="1">SUMPRODUCT(OFFSET(tConvElecAxH,0,0,1,_maxLT),INDEX(elecAxH,stdCSL+1,7)*allOnes,tpSurvAxH)</f>
        <v>8144.4008309601268</v>
      </c>
      <c r="F189" s="49">
        <f ca="1">SUMPRODUCT(OFFSET(tConvElecAxH,0,1,1,_maxLT),INDEX(elecAxH,stdCSL+1,7)*allOnes,tpSurvAxH)</f>
        <v>8085.6767776646102</v>
      </c>
      <c r="G189" s="49">
        <f ca="1">SUMPRODUCT(OFFSET(tConvElecAxH,0,2,1,_maxLT),INDEX(elecAxH,stdCSL+1,7)*allOnes,tpSurvAxH)</f>
        <v>8033.6329976466914</v>
      </c>
      <c r="H189" s="49">
        <f ca="1">SUMPRODUCT(OFFSET(tConvElecAxH,0,3,1,_maxLT),INDEX(elecAxH,stdCSL+1,7)*allOnes,tpSurvAxH)</f>
        <v>7983.9139893307329</v>
      </c>
      <c r="I189" s="49">
        <f ca="1">SUMPRODUCT(OFFSET(tConvElecAxH,0,4,1,_maxLT),INDEX(elecAxH,stdCSL+1,7)*allOnes,tpSurvAxH)</f>
        <v>7940.2066463450828</v>
      </c>
      <c r="J189" s="49">
        <f ca="1">SUMPRODUCT(OFFSET(tConvElecAxH,0,5,1,_maxLT),INDEX(elecAxH,stdCSL+1,7)*allOnes,tpSurvAxH)</f>
        <v>7906.0954308739292</v>
      </c>
      <c r="K189" s="49">
        <f ca="1">SUMPRODUCT(OFFSET(tConvElecAxH,0,6,1,_maxLT),INDEX(elecAxH,stdCSL+1,7)*allOnes,tpSurvAxH)</f>
        <v>7877.7774505056605</v>
      </c>
      <c r="L189" s="49">
        <f ca="1">SUMPRODUCT(OFFSET(tConvElecAxH,0,7,1,_maxLT),INDEX(elecAxH,stdCSL+1,7)*allOnes,tpSurvAxH)</f>
        <v>7849.1696860316115</v>
      </c>
      <c r="M189" s="49">
        <f ca="1">SUMPRODUCT(OFFSET(tConvElecAxH,0,8,1,_maxLT),INDEX(elecAxH,stdCSL+1,7)*allOnes,tpSurvAxH)</f>
        <v>7826.0764387796553</v>
      </c>
      <c r="N189" s="49">
        <f ca="1">SUMPRODUCT(OFFSET(tConvElecAxH,0,9,1,_maxLT),INDEX(elecAxH,stdCSL+1,7)*allOnes,tpSurvAxH)</f>
        <v>7809.9587347152974</v>
      </c>
      <c r="O189" s="49">
        <f ca="1">SUMPRODUCT(OFFSET(tConvElecAxH,0,10,1,_maxLT),INDEX(elecAxH,stdCSL+1,7)*allOnes,tpSurvAxH)</f>
        <v>7797.9834189516696</v>
      </c>
      <c r="P189" s="49">
        <f ca="1">SUMPRODUCT(OFFSET(tConvElecAxH,0,11,1,_maxLT),INDEX(elecAxH,stdCSL+1,7)*allOnes,tpSurvAxH)</f>
        <v>7787.8137048527606</v>
      </c>
      <c r="Q189" s="49">
        <f ca="1">SUMPRODUCT(OFFSET(tConvElecAxH,0,12,1,_maxLT),INDEX(elecAxH,stdCSL+1,7)*allOnes,tpSurvAxH)</f>
        <v>7780.2259001296952</v>
      </c>
      <c r="R189" s="49">
        <f ca="1">SUMPRODUCT(OFFSET(tConvElecAxH,0,13,1,_maxLT),INDEX(elecAxH,stdCSL+1,7)*allOnes,tpSurvAxH)</f>
        <v>7774.3855353237068</v>
      </c>
      <c r="S189" s="49">
        <f ca="1">SUMPRODUCT(OFFSET(tConvElecAxH,0,14,1,_maxLT),INDEX(elecAxH,stdCSL+1,7)*allOnes,tpSurvAxH)</f>
        <v>7773.3159124672184</v>
      </c>
      <c r="T189" s="49">
        <f ca="1">SUMPRODUCT(OFFSET(tConvElecAxH,0,15,1,_maxLT),INDEX(elecAxH,stdCSL+1,7)*allOnes,tpSurvAxH)</f>
        <v>7774.2901135301945</v>
      </c>
      <c r="U189" s="49">
        <f ca="1">SUMPRODUCT(OFFSET(tConvElecAxH,0,16,1,_maxLT),INDEX(elecAxH,stdCSL+1,7)*allOnes,tpSurvAxH)</f>
        <v>7775.9074146145394</v>
      </c>
      <c r="V189" s="49">
        <f ca="1">SUMPRODUCT(OFFSET(tConvElecAxH,0,17,1,_maxLT),INDEX(elecAxH,stdCSL+1,7)*allOnes,tpSurvAxH)</f>
        <v>7778.4000063416188</v>
      </c>
      <c r="W189" s="49">
        <f ca="1">SUMPRODUCT(OFFSET(tConvElecAxH,0,18,1,_maxLT),INDEX(elecAxH,stdCSL+1,7)*allOnes,tpSurvAxH)</f>
        <v>7780.8262529646636</v>
      </c>
      <c r="X189" s="49">
        <f ca="1">SUMPRODUCT(OFFSET(tConvElecAxH,0,19,1,_maxLT),INDEX(elecAxH,stdCSL+1,7)*allOnes,tpSurvAxH)</f>
        <v>7782.8497781813985</v>
      </c>
      <c r="Y189" s="49">
        <f ca="1">SUMPRODUCT(OFFSET(tConvElecAxH,0,20,1,_maxLT),INDEX(elecAxH,stdCSL+1,7)*allOnes,tpSurvAxH)</f>
        <v>7784.1973681065883</v>
      </c>
      <c r="Z189" s="49">
        <f ca="1">SUMPRODUCT(OFFSET(tConvElecAxH,0,21,1,_maxLT),INDEX(elecAxH,stdCSL+1,7)*allOnes,tpSurvAxH)</f>
        <v>7785.1187402648557</v>
      </c>
      <c r="AA189" s="49">
        <f ca="1">SUMPRODUCT(OFFSET(tConvElecAxH,0,22,1,_maxLT),INDEX(elecAxH,stdCSL+1,7)*allOnes,tpSurvAxH)</f>
        <v>7785.1187402648557</v>
      </c>
      <c r="AB189" s="49">
        <f ca="1">SUMPRODUCT(OFFSET(tConvElecAxH,0,23,1,_maxLT),INDEX(elecAxH,stdCSL+1,7)*allOnes,tpSurvAxH)</f>
        <v>7785.1187402648557</v>
      </c>
      <c r="AC189" s="49">
        <f ca="1">SUMPRODUCT(OFFSET(tConvElecAxH,0,24,1,_maxLT),INDEX(elecAxH,stdCSL+1,7)*allOnes,tpSurvAxH)</f>
        <v>7785.1187402648557</v>
      </c>
      <c r="AD189" s="49">
        <f ca="1">SUMPRODUCT(OFFSET(tConvElecAxH,0,25,1,_maxLT),INDEX(elecAxH,stdCSL+1,7)*allOnes,tpSurvAxH)</f>
        <v>7785.1187402648557</v>
      </c>
      <c r="AE189" s="49">
        <f ca="1">SUMPRODUCT(OFFSET(tConvElecAxH,0,26,1,_maxLT),INDEX(elecAxH,stdCSL+1,7)*allOnes,tpSurvAxH)</f>
        <v>7785.1187402648557</v>
      </c>
      <c r="AF189" s="49">
        <f ca="1">SUMPRODUCT(OFFSET(tConvElecAxH,0,27,1,_maxLT),INDEX(elecAxH,stdCSL+1,7)*allOnes,tpSurvAxH)</f>
        <v>7785.1187402648557</v>
      </c>
      <c r="AG189" s="49">
        <f ca="1">SUMPRODUCT(OFFSET(tConvElecAxH,0,28,1,_maxLT),INDEX(elecAxH,stdCSL+1,7)*allOnes,tpSurvAxH)</f>
        <v>7785.1187402648557</v>
      </c>
      <c r="AH189" s="49">
        <f ca="1">SUMPRODUCT(OFFSET(tConvElecAxH,0,29,1,_maxLT),INDEX(elecAxH,stdCSL+1,7)*allOnes,tpSurvAxH)</f>
        <v>7785.1187402648557</v>
      </c>
      <c r="AI189" s="49">
        <f ca="1">SUMPRODUCT(OFFSET(tConvElecAxH,0,30,1,_maxLT),INDEX(elecAxH,stdCSL+1,7)*allOnes,tpSurvAxH)</f>
        <v>7785.1187402648557</v>
      </c>
      <c r="AJ189" s="49">
        <f ca="1">SUMPRODUCT(OFFSET(tConvElecAxH,0,31,1,_maxLT),INDEX(elecAxH,stdCSL+1,7)*allOnes,tpSurvAxH)</f>
        <v>7785.1187402648557</v>
      </c>
      <c r="AK189" s="49">
        <f ca="1">SUMPRODUCT(OFFSET(tConvElecAxH,0,32,1,_maxLT),INDEX(elecAxH,stdCSL+1,7)*allOnes,tpSurvAxH)</f>
        <v>7785.1187402648557</v>
      </c>
      <c r="AL189" s="50">
        <f ca="1">SUMPRODUCT(OFFSET(tConvElecAxH,0,33,1,_maxLT),INDEX(elecAxH,stdCSL+1,7)*allOnes,tpSurvAxH)</f>
        <v>7785.1187402648557</v>
      </c>
      <c r="AM189" s="10"/>
    </row>
    <row r="190" spans="2:39">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row>
  </sheetData>
  <conditionalFormatting sqref="E106:AL106">
    <cfRule type="containsBlanks" dxfId="3552" priority="1" stopIfTrue="1">
      <formula>LEN(TRIM(E106))=0</formula>
    </cfRule>
    <cfRule type="notContainsBlanks" dxfId="3551" priority="2" stopIfTrue="1">
      <formula>LEN(TRIM(E106))&gt;0</formula>
    </cfRule>
  </conditionalFormatting>
  <conditionalFormatting sqref="E107:AL107">
    <cfRule type="containsBlanks" dxfId="3550" priority="3" stopIfTrue="1">
      <formula>LEN(TRIM(E107))=0</formula>
    </cfRule>
    <cfRule type="notContainsBlanks" dxfId="3549" priority="4" stopIfTrue="1">
      <formula>LEN(TRIM(E107))&gt;0</formula>
    </cfRule>
  </conditionalFormatting>
  <conditionalFormatting sqref="E108:AL108">
    <cfRule type="containsBlanks" dxfId="3548" priority="5" stopIfTrue="1">
      <formula>LEN(TRIM(E108))=0</formula>
    </cfRule>
    <cfRule type="notContainsBlanks" dxfId="3547" priority="6" stopIfTrue="1">
      <formula>LEN(TRIM(E108))&gt;0</formula>
    </cfRule>
  </conditionalFormatting>
  <conditionalFormatting sqref="E110:AL110">
    <cfRule type="containsBlanks" dxfId="3546" priority="7" stopIfTrue="1">
      <formula>LEN(TRIM(E110))=0</formula>
    </cfRule>
    <cfRule type="notContainsBlanks" dxfId="3545" priority="8" stopIfTrue="1">
      <formula>LEN(TRIM(E110))&gt;0</formula>
    </cfRule>
  </conditionalFormatting>
  <conditionalFormatting sqref="E112:AL112">
    <cfRule type="containsBlanks" dxfId="3544" priority="9" stopIfTrue="1">
      <formula>LEN(TRIM(E112))=0</formula>
    </cfRule>
    <cfRule type="notContainsBlanks" dxfId="3543" priority="10" stopIfTrue="1">
      <formula>LEN(TRIM(E112))&gt;0</formula>
    </cfRule>
  </conditionalFormatting>
  <conditionalFormatting sqref="E113:AL113">
    <cfRule type="containsBlanks" dxfId="3542" priority="11" stopIfTrue="1">
      <formula>LEN(TRIM(E113))=0</formula>
    </cfRule>
    <cfRule type="notContainsBlanks" dxfId="3541" priority="12" stopIfTrue="1">
      <formula>LEN(TRIM(E113))&gt;0</formula>
    </cfRule>
  </conditionalFormatting>
  <conditionalFormatting sqref="E114:AL114">
    <cfRule type="containsBlanks" dxfId="3540" priority="13" stopIfTrue="1">
      <formula>LEN(TRIM(E114))=0</formula>
    </cfRule>
    <cfRule type="notContainsBlanks" dxfId="3539" priority="14" stopIfTrue="1">
      <formula>LEN(TRIM(E114))&gt;0</formula>
    </cfRule>
  </conditionalFormatting>
  <conditionalFormatting sqref="E116:AL116">
    <cfRule type="containsBlanks" dxfId="3538" priority="15" stopIfTrue="1">
      <formula>LEN(TRIM(E116))=0</formula>
    </cfRule>
    <cfRule type="notContainsBlanks" dxfId="3537" priority="16" stopIfTrue="1">
      <formula>LEN(TRIM(E116))&gt;0</formula>
    </cfRule>
  </conditionalFormatting>
  <conditionalFormatting sqref="E118:AL118">
    <cfRule type="containsBlanks" dxfId="3536" priority="17" stopIfTrue="1">
      <formula>LEN(TRIM(E118))=0</formula>
    </cfRule>
    <cfRule type="notContainsBlanks" dxfId="3535" priority="18" stopIfTrue="1">
      <formula>LEN(TRIM(E118))&gt;0</formula>
    </cfRule>
  </conditionalFormatting>
  <conditionalFormatting sqref="E119:AL119">
    <cfRule type="containsBlanks" dxfId="3534" priority="19" stopIfTrue="1">
      <formula>LEN(TRIM(E119))=0</formula>
    </cfRule>
    <cfRule type="notContainsBlanks" dxfId="3533" priority="20" stopIfTrue="1">
      <formula>LEN(TRIM(E119))&gt;0</formula>
    </cfRule>
  </conditionalFormatting>
  <conditionalFormatting sqref="E120:AL120">
    <cfRule type="containsBlanks" dxfId="3532" priority="21" stopIfTrue="1">
      <formula>LEN(TRIM(E120))=0</formula>
    </cfRule>
    <cfRule type="notContainsBlanks" dxfId="3531" priority="22" stopIfTrue="1">
      <formula>LEN(TRIM(E120))&gt;0</formula>
    </cfRule>
  </conditionalFormatting>
  <conditionalFormatting sqref="E122:AL122">
    <cfRule type="containsBlanks" dxfId="3530" priority="23" stopIfTrue="1">
      <formula>LEN(TRIM(E122))=0</formula>
    </cfRule>
    <cfRule type="notContainsBlanks" dxfId="3529" priority="24" stopIfTrue="1">
      <formula>LEN(TRIM(E122))&gt;0</formula>
    </cfRule>
  </conditionalFormatting>
  <conditionalFormatting sqref="E124:AL124">
    <cfRule type="containsBlanks" dxfId="3528" priority="25" stopIfTrue="1">
      <formula>LEN(TRIM(E124))=0</formula>
    </cfRule>
    <cfRule type="notContainsBlanks" dxfId="3527" priority="26" stopIfTrue="1">
      <formula>LEN(TRIM(E124))&gt;0</formula>
    </cfRule>
  </conditionalFormatting>
  <conditionalFormatting sqref="E125:AL125">
    <cfRule type="containsBlanks" dxfId="3526" priority="27" stopIfTrue="1">
      <formula>LEN(TRIM(E125))=0</formula>
    </cfRule>
    <cfRule type="notContainsBlanks" dxfId="3525" priority="28" stopIfTrue="1">
      <formula>LEN(TRIM(E125))&gt;0</formula>
    </cfRule>
  </conditionalFormatting>
  <conditionalFormatting sqref="E126:AL126">
    <cfRule type="containsBlanks" dxfId="3524" priority="29" stopIfTrue="1">
      <formula>LEN(TRIM(E126))=0</formula>
    </cfRule>
    <cfRule type="notContainsBlanks" dxfId="3523" priority="30" stopIfTrue="1">
      <formula>LEN(TRIM(E126))&gt;0</formula>
    </cfRule>
  </conditionalFormatting>
  <conditionalFormatting sqref="E128:AL128">
    <cfRule type="containsBlanks" dxfId="3522" priority="31" stopIfTrue="1">
      <formula>LEN(TRIM(E128))=0</formula>
    </cfRule>
    <cfRule type="notContainsBlanks" dxfId="3521" priority="32" stopIfTrue="1">
      <formula>LEN(TRIM(E128))&gt;0</formula>
    </cfRule>
  </conditionalFormatting>
  <conditionalFormatting sqref="E130:AL130">
    <cfRule type="containsBlanks" dxfId="3520" priority="33" stopIfTrue="1">
      <formula>LEN(TRIM(E130))=0</formula>
    </cfRule>
    <cfRule type="notContainsBlanks" dxfId="3519" priority="34" stopIfTrue="1">
      <formula>LEN(TRIM(E130))&gt;0</formula>
    </cfRule>
  </conditionalFormatting>
  <conditionalFormatting sqref="E131:AL131">
    <cfRule type="containsBlanks" dxfId="3518" priority="35" stopIfTrue="1">
      <formula>LEN(TRIM(E131))=0</formula>
    </cfRule>
    <cfRule type="notContainsBlanks" dxfId="3517" priority="36" stopIfTrue="1">
      <formula>LEN(TRIM(E131))&gt;0</formula>
    </cfRule>
  </conditionalFormatting>
  <conditionalFormatting sqref="E132:AL132">
    <cfRule type="containsBlanks" dxfId="3516" priority="37" stopIfTrue="1">
      <formula>LEN(TRIM(E132))=0</formula>
    </cfRule>
    <cfRule type="notContainsBlanks" dxfId="3515" priority="38" stopIfTrue="1">
      <formula>LEN(TRIM(E132))&gt;0</formula>
    </cfRule>
  </conditionalFormatting>
  <conditionalFormatting sqref="E134:AL134">
    <cfRule type="containsBlanks" dxfId="3514" priority="39" stopIfTrue="1">
      <formula>LEN(TRIM(E134))=0</formula>
    </cfRule>
    <cfRule type="notContainsBlanks" dxfId="3513" priority="40" stopIfTrue="1">
      <formula>LEN(TRIM(E134))&gt;0</formula>
    </cfRule>
  </conditionalFormatting>
  <conditionalFormatting sqref="E136:AL136">
    <cfRule type="containsBlanks" dxfId="3512" priority="41" stopIfTrue="1">
      <formula>LEN(TRIM(E136))=0</formula>
    </cfRule>
  </conditionalFormatting>
  <conditionalFormatting sqref="E136:AL136">
    <cfRule type="notContainsBlanks" dxfId="3511" priority="42" stopIfTrue="1">
      <formula>LEN(TRIM(E136))&gt;0</formula>
    </cfRule>
  </conditionalFormatting>
  <conditionalFormatting sqref="E137:AL137">
    <cfRule type="containsBlanks" dxfId="3510" priority="43" stopIfTrue="1">
      <formula>LEN(TRIM(E137))=0</formula>
    </cfRule>
  </conditionalFormatting>
  <conditionalFormatting sqref="E137:AL137">
    <cfRule type="notContainsBlanks" dxfId="3509" priority="44" stopIfTrue="1">
      <formula>LEN(TRIM(E137))&gt;0</formula>
    </cfRule>
  </conditionalFormatting>
  <conditionalFormatting sqref="E138:AL138">
    <cfRule type="containsBlanks" dxfId="3508" priority="45" stopIfTrue="1">
      <formula>LEN(TRIM(E138))=0</formula>
    </cfRule>
  </conditionalFormatting>
  <conditionalFormatting sqref="E138:AL138">
    <cfRule type="notContainsBlanks" dxfId="3507" priority="46" stopIfTrue="1">
      <formula>LEN(TRIM(E138))&gt;0</formula>
    </cfRule>
  </conditionalFormatting>
  <conditionalFormatting sqref="E140:AL140">
    <cfRule type="containsBlanks" dxfId="3506" priority="47" stopIfTrue="1">
      <formula>LEN(TRIM(E140))=0</formula>
    </cfRule>
  </conditionalFormatting>
  <conditionalFormatting sqref="E140:AL140">
    <cfRule type="notContainsBlanks" dxfId="3505" priority="48" stopIfTrue="1">
      <formula>LEN(TRIM(E140))&gt;0</formula>
    </cfRule>
  </conditionalFormatting>
  <conditionalFormatting sqref="E142:AL142">
    <cfRule type="containsBlanks" dxfId="3504" priority="49" stopIfTrue="1">
      <formula>LEN(TRIM(E142))=0</formula>
    </cfRule>
  </conditionalFormatting>
  <conditionalFormatting sqref="E142:AL142">
    <cfRule type="notContainsBlanks" dxfId="3503" priority="50" stopIfTrue="1">
      <formula>LEN(TRIM(E142))&gt;0</formula>
    </cfRule>
  </conditionalFormatting>
  <conditionalFormatting sqref="E143:AL143">
    <cfRule type="containsBlanks" dxfId="3502" priority="51" stopIfTrue="1">
      <formula>LEN(TRIM(E143))=0</formula>
    </cfRule>
  </conditionalFormatting>
  <conditionalFormatting sqref="E143:AL143">
    <cfRule type="notContainsBlanks" dxfId="3501" priority="52" stopIfTrue="1">
      <formula>LEN(TRIM(E143))&gt;0</formula>
    </cfRule>
  </conditionalFormatting>
  <conditionalFormatting sqref="E144:AL144">
    <cfRule type="containsBlanks" dxfId="3500" priority="53" stopIfTrue="1">
      <formula>LEN(TRIM(E144))=0</formula>
    </cfRule>
  </conditionalFormatting>
  <conditionalFormatting sqref="E144:AL144">
    <cfRule type="notContainsBlanks" dxfId="3499" priority="54" stopIfTrue="1">
      <formula>LEN(TRIM(E144))&gt;0</formula>
    </cfRule>
  </conditionalFormatting>
  <conditionalFormatting sqref="E146:AL146">
    <cfRule type="containsBlanks" dxfId="3498" priority="55" stopIfTrue="1">
      <formula>LEN(TRIM(E146))=0</formula>
    </cfRule>
  </conditionalFormatting>
  <conditionalFormatting sqref="E146:AL146">
    <cfRule type="notContainsBlanks" dxfId="3497" priority="56" stopIfTrue="1">
      <formula>LEN(TRIM(E146))&gt;0</formula>
    </cfRule>
  </conditionalFormatting>
  <conditionalFormatting sqref="E149:AL149">
    <cfRule type="containsBlanks" dxfId="3496" priority="57" stopIfTrue="1">
      <formula>LEN(TRIM(E149))=0</formula>
    </cfRule>
  </conditionalFormatting>
  <conditionalFormatting sqref="E149:AL149">
    <cfRule type="notContainsBlanks" dxfId="3495" priority="58" stopIfTrue="1">
      <formula>LEN(TRIM(E149))&gt;0</formula>
    </cfRule>
  </conditionalFormatting>
  <conditionalFormatting sqref="E150:AL150">
    <cfRule type="containsBlanks" dxfId="3494" priority="59" stopIfTrue="1">
      <formula>LEN(TRIM(E150))=0</formula>
    </cfRule>
  </conditionalFormatting>
  <conditionalFormatting sqref="E150:AL150">
    <cfRule type="notContainsBlanks" dxfId="3493" priority="60" stopIfTrue="1">
      <formula>LEN(TRIM(E150))&gt;0</formula>
    </cfRule>
  </conditionalFormatting>
  <conditionalFormatting sqref="E151:AL151">
    <cfRule type="containsBlanks" dxfId="3492" priority="61" stopIfTrue="1">
      <formula>LEN(TRIM(E151))=0</formula>
    </cfRule>
  </conditionalFormatting>
  <conditionalFormatting sqref="E151:AL151">
    <cfRule type="notContainsBlanks" dxfId="3491" priority="62" stopIfTrue="1">
      <formula>LEN(TRIM(E151))&gt;0</formula>
    </cfRule>
  </conditionalFormatting>
  <conditionalFormatting sqref="E153:AL153">
    <cfRule type="containsBlanks" dxfId="3490" priority="63" stopIfTrue="1">
      <formula>LEN(TRIM(E153))=0</formula>
    </cfRule>
  </conditionalFormatting>
  <conditionalFormatting sqref="E153:AL153">
    <cfRule type="notContainsBlanks" dxfId="3489" priority="64" stopIfTrue="1">
      <formula>LEN(TRIM(E153))&gt;0</formula>
    </cfRule>
  </conditionalFormatting>
  <conditionalFormatting sqref="E155:AL155">
    <cfRule type="containsBlanks" dxfId="3488" priority="65" stopIfTrue="1">
      <formula>LEN(TRIM(E155))=0</formula>
    </cfRule>
  </conditionalFormatting>
  <conditionalFormatting sqref="E155:AL155">
    <cfRule type="notContainsBlanks" dxfId="3487" priority="66" stopIfTrue="1">
      <formula>LEN(TRIM(E155))&gt;0</formula>
    </cfRule>
  </conditionalFormatting>
  <conditionalFormatting sqref="E156:AL156">
    <cfRule type="containsBlanks" dxfId="3486" priority="67" stopIfTrue="1">
      <formula>LEN(TRIM(E156))=0</formula>
    </cfRule>
  </conditionalFormatting>
  <conditionalFormatting sqref="E156:AL156">
    <cfRule type="notContainsBlanks" dxfId="3485" priority="68" stopIfTrue="1">
      <formula>LEN(TRIM(E156))&gt;0</formula>
    </cfRule>
  </conditionalFormatting>
  <conditionalFormatting sqref="E157:AL157">
    <cfRule type="containsBlanks" dxfId="3484" priority="69" stopIfTrue="1">
      <formula>LEN(TRIM(E157))=0</formula>
    </cfRule>
  </conditionalFormatting>
  <conditionalFormatting sqref="E157:AL157">
    <cfRule type="notContainsBlanks" dxfId="3483" priority="70" stopIfTrue="1">
      <formula>LEN(TRIM(E157))&gt;0</formula>
    </cfRule>
  </conditionalFormatting>
  <conditionalFormatting sqref="E159:AL159">
    <cfRule type="containsBlanks" dxfId="3482" priority="71" stopIfTrue="1">
      <formula>LEN(TRIM(E159))=0</formula>
    </cfRule>
  </conditionalFormatting>
  <conditionalFormatting sqref="E159:AL159">
    <cfRule type="notContainsBlanks" dxfId="3481" priority="72" stopIfTrue="1">
      <formula>LEN(TRIM(E159))&gt;0</formula>
    </cfRule>
  </conditionalFormatting>
  <conditionalFormatting sqref="E161:AL161">
    <cfRule type="containsBlanks" dxfId="3480" priority="73" stopIfTrue="1">
      <formula>LEN(TRIM(E161))=0</formula>
    </cfRule>
  </conditionalFormatting>
  <conditionalFormatting sqref="E161:AL161">
    <cfRule type="notContainsBlanks" dxfId="3479" priority="74" stopIfTrue="1">
      <formula>LEN(TRIM(E161))&gt;0</formula>
    </cfRule>
  </conditionalFormatting>
  <conditionalFormatting sqref="E162:AL162">
    <cfRule type="containsBlanks" dxfId="3478" priority="75" stopIfTrue="1">
      <formula>LEN(TRIM(E162))=0</formula>
    </cfRule>
  </conditionalFormatting>
  <conditionalFormatting sqref="E162:AL162">
    <cfRule type="notContainsBlanks" dxfId="3477" priority="76" stopIfTrue="1">
      <formula>LEN(TRIM(E162))&gt;0</formula>
    </cfRule>
  </conditionalFormatting>
  <conditionalFormatting sqref="E163:AL163">
    <cfRule type="containsBlanks" dxfId="3476" priority="77" stopIfTrue="1">
      <formula>LEN(TRIM(E163))=0</formula>
    </cfRule>
  </conditionalFormatting>
  <conditionalFormatting sqref="E163:AL163">
    <cfRule type="notContainsBlanks" dxfId="3475" priority="78" stopIfTrue="1">
      <formula>LEN(TRIM(E163))&gt;0</formula>
    </cfRule>
  </conditionalFormatting>
  <conditionalFormatting sqref="E165:AL165">
    <cfRule type="containsBlanks" dxfId="3474" priority="79" stopIfTrue="1">
      <formula>LEN(TRIM(E165))=0</formula>
    </cfRule>
  </conditionalFormatting>
  <conditionalFormatting sqref="E165:AL165">
    <cfRule type="notContainsBlanks" dxfId="3473" priority="80" stopIfTrue="1">
      <formula>LEN(TRIM(E165))&gt;0</formula>
    </cfRule>
  </conditionalFormatting>
  <conditionalFormatting sqref="E167:AL167">
    <cfRule type="containsBlanks" dxfId="3472" priority="81" stopIfTrue="1">
      <formula>LEN(TRIM(E167))=0</formula>
    </cfRule>
  </conditionalFormatting>
  <conditionalFormatting sqref="E167:AL167">
    <cfRule type="notContainsBlanks" dxfId="3471" priority="82" stopIfTrue="1">
      <formula>LEN(TRIM(E167))&gt;0</formula>
    </cfRule>
  </conditionalFormatting>
  <conditionalFormatting sqref="E168:AL168">
    <cfRule type="containsBlanks" dxfId="3470" priority="83" stopIfTrue="1">
      <formula>LEN(TRIM(E168))=0</formula>
    </cfRule>
  </conditionalFormatting>
  <conditionalFormatting sqref="E168:AL168">
    <cfRule type="notContainsBlanks" dxfId="3469" priority="84" stopIfTrue="1">
      <formula>LEN(TRIM(E168))&gt;0</formula>
    </cfRule>
  </conditionalFormatting>
  <conditionalFormatting sqref="E169:AL169">
    <cfRule type="containsBlanks" dxfId="3468" priority="85" stopIfTrue="1">
      <formula>LEN(TRIM(E169))=0</formula>
    </cfRule>
  </conditionalFormatting>
  <conditionalFormatting sqref="E169:AL169">
    <cfRule type="notContainsBlanks" dxfId="3467" priority="86" stopIfTrue="1">
      <formula>LEN(TRIM(E169))&gt;0</formula>
    </cfRule>
  </conditionalFormatting>
  <conditionalFormatting sqref="E171:AL171">
    <cfRule type="containsBlanks" dxfId="3466" priority="87" stopIfTrue="1">
      <formula>LEN(TRIM(E171))=0</formula>
    </cfRule>
  </conditionalFormatting>
  <conditionalFormatting sqref="E171:AL171">
    <cfRule type="notContainsBlanks" dxfId="3465" priority="88" stopIfTrue="1">
      <formula>LEN(TRIM(E171))&gt;0</formula>
    </cfRule>
  </conditionalFormatting>
  <conditionalFormatting sqref="E173:AL173">
    <cfRule type="containsBlanks" dxfId="3464" priority="89" stopIfTrue="1">
      <formula>LEN(TRIM(E173))=0</formula>
    </cfRule>
  </conditionalFormatting>
  <conditionalFormatting sqref="E173:AL173">
    <cfRule type="notContainsBlanks" dxfId="3463" priority="90" stopIfTrue="1">
      <formula>LEN(TRIM(E173))&gt;0</formula>
    </cfRule>
  </conditionalFormatting>
  <conditionalFormatting sqref="E174:AL174">
    <cfRule type="containsBlanks" dxfId="3462" priority="91" stopIfTrue="1">
      <formula>LEN(TRIM(E174))=0</formula>
    </cfRule>
  </conditionalFormatting>
  <conditionalFormatting sqref="E174:AL174">
    <cfRule type="notContainsBlanks" dxfId="3461" priority="92" stopIfTrue="1">
      <formula>LEN(TRIM(E174))&gt;0</formula>
    </cfRule>
  </conditionalFormatting>
  <conditionalFormatting sqref="E175:AL175">
    <cfRule type="containsBlanks" dxfId="3460" priority="93" stopIfTrue="1">
      <formula>LEN(TRIM(E175))=0</formula>
    </cfRule>
  </conditionalFormatting>
  <conditionalFormatting sqref="E175:AL175">
    <cfRule type="notContainsBlanks" dxfId="3459" priority="94" stopIfTrue="1">
      <formula>LEN(TRIM(E175))&gt;0</formula>
    </cfRule>
  </conditionalFormatting>
  <conditionalFormatting sqref="E177:AL177">
    <cfRule type="containsBlanks" dxfId="3458" priority="95" stopIfTrue="1">
      <formula>LEN(TRIM(E177))=0</formula>
    </cfRule>
  </conditionalFormatting>
  <conditionalFormatting sqref="E177:AL177">
    <cfRule type="notContainsBlanks" dxfId="3457" priority="96" stopIfTrue="1">
      <formula>LEN(TRIM(E177))&gt;0</formula>
    </cfRule>
  </conditionalFormatting>
  <conditionalFormatting sqref="E179:AL179">
    <cfRule type="containsBlanks" dxfId="3456" priority="97" stopIfTrue="1">
      <formula>LEN(TRIM(E179))=0</formula>
    </cfRule>
  </conditionalFormatting>
  <conditionalFormatting sqref="E179:AL179">
    <cfRule type="notContainsBlanks" dxfId="3455" priority="98" stopIfTrue="1">
      <formula>LEN(TRIM(E179))&gt;0</formula>
    </cfRule>
  </conditionalFormatting>
  <conditionalFormatting sqref="E180:AL180">
    <cfRule type="containsBlanks" dxfId="3454" priority="99" stopIfTrue="1">
      <formula>LEN(TRIM(E180))=0</formula>
    </cfRule>
  </conditionalFormatting>
  <conditionalFormatting sqref="E180:AL180">
    <cfRule type="notContainsBlanks" dxfId="3453" priority="100" stopIfTrue="1">
      <formula>LEN(TRIM(E180))&gt;0</formula>
    </cfRule>
  </conditionalFormatting>
  <conditionalFormatting sqref="E181:AL181">
    <cfRule type="containsBlanks" dxfId="3452" priority="101" stopIfTrue="1">
      <formula>LEN(TRIM(E181))=0</formula>
    </cfRule>
  </conditionalFormatting>
  <conditionalFormatting sqref="E181:AL181">
    <cfRule type="notContainsBlanks" dxfId="3451" priority="102" stopIfTrue="1">
      <formula>LEN(TRIM(E181))&gt;0</formula>
    </cfRule>
  </conditionalFormatting>
  <conditionalFormatting sqref="E183:AL183">
    <cfRule type="containsBlanks" dxfId="3450" priority="103" stopIfTrue="1">
      <formula>LEN(TRIM(E183))=0</formula>
    </cfRule>
  </conditionalFormatting>
  <conditionalFormatting sqref="E183:AL183">
    <cfRule type="notContainsBlanks" dxfId="3449" priority="104" stopIfTrue="1">
      <formula>LEN(TRIM(E183))&gt;0</formula>
    </cfRule>
  </conditionalFormatting>
  <conditionalFormatting sqref="E185:AL185">
    <cfRule type="containsBlanks" dxfId="3448" priority="105" stopIfTrue="1">
      <formula>LEN(TRIM(E185))=0</formula>
    </cfRule>
  </conditionalFormatting>
  <conditionalFormatting sqref="E185:AL185">
    <cfRule type="notContainsBlanks" dxfId="3447" priority="106" stopIfTrue="1">
      <formula>LEN(TRIM(E185))&gt;0</formula>
    </cfRule>
  </conditionalFormatting>
  <conditionalFormatting sqref="E186:AL186">
    <cfRule type="containsBlanks" dxfId="3446" priority="107" stopIfTrue="1">
      <formula>LEN(TRIM(E186))=0</formula>
    </cfRule>
  </conditionalFormatting>
  <conditionalFormatting sqref="E186:AL186">
    <cfRule type="notContainsBlanks" dxfId="3445" priority="108" stopIfTrue="1">
      <formula>LEN(TRIM(E186))&gt;0</formula>
    </cfRule>
  </conditionalFormatting>
  <conditionalFormatting sqref="E187:AL187">
    <cfRule type="containsBlanks" dxfId="3444" priority="109" stopIfTrue="1">
      <formula>LEN(TRIM(E187))=0</formula>
    </cfRule>
  </conditionalFormatting>
  <conditionalFormatting sqref="E187:AL187">
    <cfRule type="notContainsBlanks" dxfId="3443" priority="110" stopIfTrue="1">
      <formula>LEN(TRIM(E187))&gt;0</formula>
    </cfRule>
  </conditionalFormatting>
  <conditionalFormatting sqref="E189:AL189">
    <cfRule type="containsBlanks" dxfId="3442" priority="111" stopIfTrue="1">
      <formula>LEN(TRIM(E189))=0</formula>
    </cfRule>
  </conditionalFormatting>
  <conditionalFormatting sqref="E189:AL189">
    <cfRule type="notContainsBlanks" dxfId="3441" priority="112" stopIfTrue="1">
      <formula>LEN(TRIM(E189))&gt;0</formula>
    </cfRule>
  </conditionalFormatting>
  <conditionalFormatting sqref="E95:AL95">
    <cfRule type="containsBlanks" dxfId="3440" priority="113" stopIfTrue="1">
      <formula>LEN(TRIM(E95))=0</formula>
    </cfRule>
    <cfRule type="notContainsBlanks" dxfId="3439" priority="114" stopIfTrue="1">
      <formula>LEN(TRIM(E95))&gt;0</formula>
    </cfRule>
  </conditionalFormatting>
  <conditionalFormatting sqref="E96:AL96">
    <cfRule type="containsBlanks" dxfId="3438" priority="115" stopIfTrue="1">
      <formula>LEN(TRIM(E96))=0</formula>
    </cfRule>
    <cfRule type="notContainsBlanks" dxfId="3437" priority="116" stopIfTrue="1">
      <formula>LEN(TRIM(E96))&gt;0</formula>
    </cfRule>
  </conditionalFormatting>
  <conditionalFormatting sqref="E97:AL97">
    <cfRule type="containsBlanks" dxfId="3436" priority="117" stopIfTrue="1">
      <formula>LEN(TRIM(E97))=0</formula>
    </cfRule>
    <cfRule type="notContainsBlanks" dxfId="3435" priority="118" stopIfTrue="1">
      <formula>LEN(TRIM(E97))&gt;0</formula>
    </cfRule>
  </conditionalFormatting>
  <conditionalFormatting sqref="E98:AL98">
    <cfRule type="containsBlanks" dxfId="3434" priority="119" stopIfTrue="1">
      <formula>LEN(TRIM(E98))=0</formula>
    </cfRule>
    <cfRule type="notContainsBlanks" dxfId="3433" priority="120" stopIfTrue="1">
      <formula>LEN(TRIM(E98))&gt;0</formula>
    </cfRule>
  </conditionalFormatting>
  <conditionalFormatting sqref="E99:AL99">
    <cfRule type="containsBlanks" dxfId="3432" priority="121" stopIfTrue="1">
      <formula>LEN(TRIM(E99))=0</formula>
    </cfRule>
    <cfRule type="notContainsBlanks" dxfId="3431" priority="122" stopIfTrue="1">
      <formula>LEN(TRIM(E99))&gt;0</formula>
    </cfRule>
  </conditionalFormatting>
  <conditionalFormatting sqref="E100:AL100">
    <cfRule type="containsBlanks" dxfId="3430" priority="123" stopIfTrue="1">
      <formula>LEN(TRIM(E100))=0</formula>
    </cfRule>
    <cfRule type="notContainsBlanks" dxfId="3429" priority="124" stopIfTrue="1">
      <formula>LEN(TRIM(E100))&gt;0</formula>
    </cfRule>
  </conditionalFormatting>
  <conditionalFormatting sqref="E101:AL101">
    <cfRule type="containsBlanks" dxfId="3428" priority="125" stopIfTrue="1">
      <formula>LEN(TRIM(E101))=0</formula>
    </cfRule>
    <cfRule type="notContainsBlanks" dxfId="3427" priority="126" stopIfTrue="1">
      <formula>LEN(TRIM(E101))&gt;0</formula>
    </cfRule>
  </conditionalFormatting>
  <conditionalFormatting sqref="E86:AL86">
    <cfRule type="containsBlanks" dxfId="3426" priority="127" stopIfTrue="1">
      <formula>LEN(TRIM(E86))=0</formula>
    </cfRule>
    <cfRule type="notContainsBlanks" dxfId="3425" priority="128" stopIfTrue="1">
      <formula>LEN(TRIM(E86))&gt;0</formula>
    </cfRule>
  </conditionalFormatting>
  <conditionalFormatting sqref="E87:AL87">
    <cfRule type="containsBlanks" dxfId="3424" priority="129" stopIfTrue="1">
      <formula>LEN(TRIM(E87))=0</formula>
    </cfRule>
    <cfRule type="notContainsBlanks" dxfId="3423" priority="130" stopIfTrue="1">
      <formula>LEN(TRIM(E87))&gt;0</formula>
    </cfRule>
  </conditionalFormatting>
  <conditionalFormatting sqref="E88:AL88">
    <cfRule type="containsBlanks" dxfId="3422" priority="131" stopIfTrue="1">
      <formula>LEN(TRIM(E88))=0</formula>
    </cfRule>
    <cfRule type="notContainsBlanks" dxfId="3421" priority="132" stopIfTrue="1">
      <formula>LEN(TRIM(E88))&gt;0</formula>
    </cfRule>
  </conditionalFormatting>
  <conditionalFormatting sqref="E89:AL89">
    <cfRule type="containsBlanks" dxfId="3420" priority="133" stopIfTrue="1">
      <formula>LEN(TRIM(E89))=0</formula>
    </cfRule>
    <cfRule type="notContainsBlanks" dxfId="3419" priority="134" stopIfTrue="1">
      <formula>LEN(TRIM(E89))&gt;0</formula>
    </cfRule>
  </conditionalFormatting>
  <conditionalFormatting sqref="E90:AL90">
    <cfRule type="containsBlanks" dxfId="3418" priority="135" stopIfTrue="1">
      <formula>LEN(TRIM(E90))=0</formula>
    </cfRule>
    <cfRule type="notContainsBlanks" dxfId="3417" priority="136" stopIfTrue="1">
      <formula>LEN(TRIM(E90))&gt;0</formula>
    </cfRule>
  </conditionalFormatting>
  <conditionalFormatting sqref="E91:AL91">
    <cfRule type="containsBlanks" dxfId="3416" priority="137" stopIfTrue="1">
      <formula>LEN(TRIM(E91))=0</formula>
    </cfRule>
    <cfRule type="notContainsBlanks" dxfId="3415" priority="138" stopIfTrue="1">
      <formula>LEN(TRIM(E91))&gt;0</formula>
    </cfRule>
  </conditionalFormatting>
  <conditionalFormatting sqref="E92:AL92">
    <cfRule type="containsBlanks" dxfId="3414" priority="139" stopIfTrue="1">
      <formula>LEN(TRIM(E92))=0</formula>
    </cfRule>
    <cfRule type="notContainsBlanks" dxfId="3413" priority="140" stopIfTrue="1">
      <formula>LEN(TRIM(E92))&gt;0</formula>
    </cfRule>
  </conditionalFormatting>
  <conditionalFormatting sqref="E77:AL77">
    <cfRule type="containsBlanks" dxfId="3412" priority="141" stopIfTrue="1">
      <formula>LEN(TRIM(E77))=0</formula>
    </cfRule>
    <cfRule type="notContainsBlanks" dxfId="3411" priority="142" stopIfTrue="1">
      <formula>LEN(TRIM(E77))&gt;0</formula>
    </cfRule>
  </conditionalFormatting>
  <conditionalFormatting sqref="E78:AL78">
    <cfRule type="containsBlanks" dxfId="3410" priority="143" stopIfTrue="1">
      <formula>LEN(TRIM(E78))=0</formula>
    </cfRule>
    <cfRule type="notContainsBlanks" dxfId="3409" priority="144" stopIfTrue="1">
      <formula>LEN(TRIM(E78))&gt;0</formula>
    </cfRule>
  </conditionalFormatting>
  <conditionalFormatting sqref="E79:AL79">
    <cfRule type="containsBlanks" dxfId="3408" priority="145" stopIfTrue="1">
      <formula>LEN(TRIM(E79))=0</formula>
    </cfRule>
    <cfRule type="notContainsBlanks" dxfId="3407" priority="146" stopIfTrue="1">
      <formula>LEN(TRIM(E79))&gt;0</formula>
    </cfRule>
  </conditionalFormatting>
  <conditionalFormatting sqref="E80:AL80">
    <cfRule type="containsBlanks" dxfId="3406" priority="147" stopIfTrue="1">
      <formula>LEN(TRIM(E80))=0</formula>
    </cfRule>
    <cfRule type="notContainsBlanks" dxfId="3405" priority="148" stopIfTrue="1">
      <formula>LEN(TRIM(E80))&gt;0</formula>
    </cfRule>
  </conditionalFormatting>
  <conditionalFormatting sqref="E81:AL81">
    <cfRule type="containsBlanks" dxfId="3404" priority="149" stopIfTrue="1">
      <formula>LEN(TRIM(E81))=0</formula>
    </cfRule>
    <cfRule type="notContainsBlanks" dxfId="3403" priority="150" stopIfTrue="1">
      <formula>LEN(TRIM(E81))&gt;0</formula>
    </cfRule>
  </conditionalFormatting>
  <conditionalFormatting sqref="E82:AL82">
    <cfRule type="containsBlanks" dxfId="3402" priority="151" stopIfTrue="1">
      <formula>LEN(TRIM(E82))=0</formula>
    </cfRule>
    <cfRule type="notContainsBlanks" dxfId="3401" priority="152" stopIfTrue="1">
      <formula>LEN(TRIM(E82))&gt;0</formula>
    </cfRule>
  </conditionalFormatting>
  <conditionalFormatting sqref="E83:AL83">
    <cfRule type="containsBlanks" dxfId="3400" priority="153" stopIfTrue="1">
      <formula>LEN(TRIM(E83))=0</formula>
    </cfRule>
    <cfRule type="notContainsBlanks" dxfId="3399" priority="154" stopIfTrue="1">
      <formula>LEN(TRIM(E83))&gt;0</formula>
    </cfRule>
  </conditionalFormatting>
  <conditionalFormatting sqref="E68:AL68">
    <cfRule type="containsBlanks" dxfId="3398" priority="155" stopIfTrue="1">
      <formula>LEN(TRIM(E68))=0</formula>
    </cfRule>
    <cfRule type="notContainsBlanks" dxfId="3397" priority="156" stopIfTrue="1">
      <formula>LEN(TRIM(E68))&gt;0</formula>
    </cfRule>
  </conditionalFormatting>
  <conditionalFormatting sqref="E69:AL69">
    <cfRule type="containsBlanks" dxfId="3396" priority="157" stopIfTrue="1">
      <formula>LEN(TRIM(E69))=0</formula>
    </cfRule>
    <cfRule type="notContainsBlanks" dxfId="3395" priority="158" stopIfTrue="1">
      <formula>LEN(TRIM(E69))&gt;0</formula>
    </cfRule>
  </conditionalFormatting>
  <conditionalFormatting sqref="E70:AL70">
    <cfRule type="containsBlanks" dxfId="3394" priority="159" stopIfTrue="1">
      <formula>LEN(TRIM(E70))=0</formula>
    </cfRule>
    <cfRule type="notContainsBlanks" dxfId="3393" priority="160" stopIfTrue="1">
      <formula>LEN(TRIM(E70))&gt;0</formula>
    </cfRule>
  </conditionalFormatting>
  <conditionalFormatting sqref="E71:AL71">
    <cfRule type="containsBlanks" dxfId="3392" priority="161" stopIfTrue="1">
      <formula>LEN(TRIM(E71))=0</formula>
    </cfRule>
    <cfRule type="notContainsBlanks" dxfId="3391" priority="162" stopIfTrue="1">
      <formula>LEN(TRIM(E71))&gt;0</formula>
    </cfRule>
  </conditionalFormatting>
  <conditionalFormatting sqref="E72:AL72">
    <cfRule type="containsBlanks" dxfId="3390" priority="163" stopIfTrue="1">
      <formula>LEN(TRIM(E72))=0</formula>
    </cfRule>
    <cfRule type="notContainsBlanks" dxfId="3389" priority="164" stopIfTrue="1">
      <formula>LEN(TRIM(E72))&gt;0</formula>
    </cfRule>
  </conditionalFormatting>
  <conditionalFormatting sqref="E73:AL73">
    <cfRule type="containsBlanks" dxfId="3388" priority="165" stopIfTrue="1">
      <formula>LEN(TRIM(E73))=0</formula>
    </cfRule>
    <cfRule type="notContainsBlanks" dxfId="3387" priority="166" stopIfTrue="1">
      <formula>LEN(TRIM(E73))&gt;0</formula>
    </cfRule>
  </conditionalFormatting>
  <conditionalFormatting sqref="E74:AL74">
    <cfRule type="containsBlanks" dxfId="3386" priority="167" stopIfTrue="1">
      <formula>LEN(TRIM(E74))=0</formula>
    </cfRule>
    <cfRule type="notContainsBlanks" dxfId="3385" priority="168" stopIfTrue="1">
      <formula>LEN(TRIM(E74))&gt;0</formula>
    </cfRule>
  </conditionalFormatting>
  <conditionalFormatting sqref="E59:AL59">
    <cfRule type="containsBlanks" dxfId="3384" priority="169" stopIfTrue="1">
      <formula>LEN(TRIM(E59))=0</formula>
    </cfRule>
    <cfRule type="notContainsBlanks" dxfId="3383" priority="170" stopIfTrue="1">
      <formula>LEN(TRIM(E59))&gt;0</formula>
    </cfRule>
  </conditionalFormatting>
  <conditionalFormatting sqref="E60:AL60">
    <cfRule type="containsBlanks" dxfId="3382" priority="171" stopIfTrue="1">
      <formula>LEN(TRIM(E60))=0</formula>
    </cfRule>
    <cfRule type="notContainsBlanks" dxfId="3381" priority="172" stopIfTrue="1">
      <formula>LEN(TRIM(E60))&gt;0</formula>
    </cfRule>
  </conditionalFormatting>
  <conditionalFormatting sqref="E61:AL61">
    <cfRule type="containsBlanks" dxfId="3380" priority="173" stopIfTrue="1">
      <formula>LEN(TRIM(E61))=0</formula>
    </cfRule>
    <cfRule type="notContainsBlanks" dxfId="3379" priority="174" stopIfTrue="1">
      <formula>LEN(TRIM(E61))&gt;0</formula>
    </cfRule>
  </conditionalFormatting>
  <conditionalFormatting sqref="E62:AL62">
    <cfRule type="containsBlanks" dxfId="3378" priority="175" stopIfTrue="1">
      <formula>LEN(TRIM(E62))=0</formula>
    </cfRule>
    <cfRule type="notContainsBlanks" dxfId="3377" priority="176" stopIfTrue="1">
      <formula>LEN(TRIM(E62))&gt;0</formula>
    </cfRule>
  </conditionalFormatting>
  <conditionalFormatting sqref="E63:AL63">
    <cfRule type="containsBlanks" dxfId="3376" priority="177" stopIfTrue="1">
      <formula>LEN(TRIM(E63))=0</formula>
    </cfRule>
    <cfRule type="notContainsBlanks" dxfId="3375" priority="178" stopIfTrue="1">
      <formula>LEN(TRIM(E63))&gt;0</formula>
    </cfRule>
  </conditionalFormatting>
  <conditionalFormatting sqref="E64:AL64">
    <cfRule type="containsBlanks" dxfId="3374" priority="179" stopIfTrue="1">
      <formula>LEN(TRIM(E64))=0</formula>
    </cfRule>
    <cfRule type="notContainsBlanks" dxfId="3373" priority="180" stopIfTrue="1">
      <formula>LEN(TRIM(E64))&gt;0</formula>
    </cfRule>
  </conditionalFormatting>
  <conditionalFormatting sqref="E65:AL65">
    <cfRule type="containsBlanks" dxfId="3372" priority="181" stopIfTrue="1">
      <formula>LEN(TRIM(E65))=0</formula>
    </cfRule>
    <cfRule type="notContainsBlanks" dxfId="3371" priority="182" stopIfTrue="1">
      <formula>LEN(TRIM(E65))&gt;0</formula>
    </cfRule>
  </conditionalFormatting>
  <conditionalFormatting sqref="E50:AL50">
    <cfRule type="containsBlanks" dxfId="3370" priority="183" stopIfTrue="1">
      <formula>LEN(TRIM(E50))=0</formula>
    </cfRule>
    <cfRule type="notContainsBlanks" dxfId="3369" priority="184" stopIfTrue="1">
      <formula>LEN(TRIM(E50))&gt;0</formula>
    </cfRule>
  </conditionalFormatting>
  <conditionalFormatting sqref="E51:AL51">
    <cfRule type="containsBlanks" dxfId="3368" priority="185" stopIfTrue="1">
      <formula>LEN(TRIM(E51))=0</formula>
    </cfRule>
    <cfRule type="notContainsBlanks" dxfId="3367" priority="186" stopIfTrue="1">
      <formula>LEN(TRIM(E51))&gt;0</formula>
    </cfRule>
  </conditionalFormatting>
  <conditionalFormatting sqref="E52:AL52">
    <cfRule type="containsBlanks" dxfId="3366" priority="187" stopIfTrue="1">
      <formula>LEN(TRIM(E52))=0</formula>
    </cfRule>
    <cfRule type="notContainsBlanks" dxfId="3365" priority="188" stopIfTrue="1">
      <formula>LEN(TRIM(E52))&gt;0</formula>
    </cfRule>
  </conditionalFormatting>
  <conditionalFormatting sqref="E53:AL53">
    <cfRule type="containsBlanks" dxfId="3364" priority="189" stopIfTrue="1">
      <formula>LEN(TRIM(E53))=0</formula>
    </cfRule>
    <cfRule type="notContainsBlanks" dxfId="3363" priority="190" stopIfTrue="1">
      <formula>LEN(TRIM(E53))&gt;0</formula>
    </cfRule>
  </conditionalFormatting>
  <conditionalFormatting sqref="E54:AL54">
    <cfRule type="containsBlanks" dxfId="3362" priority="191" stopIfTrue="1">
      <formula>LEN(TRIM(E54))=0</formula>
    </cfRule>
    <cfRule type="notContainsBlanks" dxfId="3361" priority="192" stopIfTrue="1">
      <formula>LEN(TRIM(E54))&gt;0</formula>
    </cfRule>
  </conditionalFormatting>
  <conditionalFormatting sqref="E55:AL55">
    <cfRule type="containsBlanks" dxfId="3360" priority="193" stopIfTrue="1">
      <formula>LEN(TRIM(E55))=0</formula>
    </cfRule>
    <cfRule type="notContainsBlanks" dxfId="3359" priority="194" stopIfTrue="1">
      <formula>LEN(TRIM(E55))&gt;0</formula>
    </cfRule>
  </conditionalFormatting>
  <conditionalFormatting sqref="E56:AL56">
    <cfRule type="containsBlanks" dxfId="3358" priority="195" stopIfTrue="1">
      <formula>LEN(TRIM(E56))=0</formula>
    </cfRule>
    <cfRule type="notContainsBlanks" dxfId="3357" priority="196" stopIfTrue="1">
      <formula>LEN(TRIM(E56))&gt;0</formula>
    </cfRule>
  </conditionalFormatting>
  <conditionalFormatting sqref="E41:E47">
    <cfRule type="containsBlanks" dxfId="3356" priority="211" stopIfTrue="1">
      <formula>LEN(TRIM(E41))=0</formula>
    </cfRule>
    <cfRule type="expression" dxfId="3355" priority="212" stopIfTrue="1">
      <formula>SUM($E$41:$E$47)&lt;&gt;1</formula>
    </cfRule>
    <cfRule type="notContainsBlanks" dxfId="3354" priority="213" stopIfTrue="1">
      <formula>LEN(TRIM(E41))&gt;0</formula>
    </cfRule>
  </conditionalFormatting>
  <conditionalFormatting sqref="F41:F47">
    <cfRule type="containsBlanks" dxfId="3353" priority="214" stopIfTrue="1">
      <formula>LEN(TRIM(F41))=0</formula>
    </cfRule>
    <cfRule type="expression" dxfId="3352" priority="215" stopIfTrue="1">
      <formula>SUM($F$41:$F$47)&lt;&gt;1</formula>
    </cfRule>
    <cfRule type="notContainsBlanks" dxfId="3351" priority="216" stopIfTrue="1">
      <formula>LEN(TRIM(F41))&gt;0</formula>
    </cfRule>
  </conditionalFormatting>
  <conditionalFormatting sqref="G41:G47">
    <cfRule type="containsBlanks" dxfId="3350" priority="217" stopIfTrue="1">
      <formula>LEN(TRIM(G41))=0</formula>
    </cfRule>
    <cfRule type="expression" dxfId="3349" priority="218" stopIfTrue="1">
      <formula>SUM($G$41:$G$47)&lt;&gt;1</formula>
    </cfRule>
    <cfRule type="notContainsBlanks" dxfId="3348" priority="219" stopIfTrue="1">
      <formula>LEN(TRIM(G41))&gt;0</formula>
    </cfRule>
  </conditionalFormatting>
  <conditionalFormatting sqref="H41:H47">
    <cfRule type="containsBlanks" dxfId="3347" priority="220" stopIfTrue="1">
      <formula>LEN(TRIM(H41))=0</formula>
    </cfRule>
    <cfRule type="expression" dxfId="3346" priority="221" stopIfTrue="1">
      <formula>SUM($H$41:$H$47)&lt;&gt;1</formula>
    </cfRule>
    <cfRule type="notContainsBlanks" dxfId="3345" priority="222" stopIfTrue="1">
      <formula>LEN(TRIM(H41))&gt;0</formula>
    </cfRule>
  </conditionalFormatting>
  <conditionalFormatting sqref="I41:I47">
    <cfRule type="containsBlanks" dxfId="3344" priority="223" stopIfTrue="1">
      <formula>LEN(TRIM(I41))=0</formula>
    </cfRule>
    <cfRule type="expression" dxfId="3343" priority="224" stopIfTrue="1">
      <formula>SUM($I$41:$I$47)&lt;&gt;1</formula>
    </cfRule>
    <cfRule type="notContainsBlanks" dxfId="3342" priority="225" stopIfTrue="1">
      <formula>LEN(TRIM(I41))&gt;0</formula>
    </cfRule>
  </conditionalFormatting>
  <conditionalFormatting sqref="J41:J47">
    <cfRule type="containsBlanks" dxfId="3341" priority="226" stopIfTrue="1">
      <formula>LEN(TRIM(J41))=0</formula>
    </cfRule>
    <cfRule type="expression" dxfId="3340" priority="227" stopIfTrue="1">
      <formula>SUM($J$41:$J$47)&lt;&gt;1</formula>
    </cfRule>
    <cfRule type="notContainsBlanks" dxfId="3339" priority="228" stopIfTrue="1">
      <formula>LEN(TRIM(J41))&gt;0</formula>
    </cfRule>
  </conditionalFormatting>
  <conditionalFormatting sqref="K41:K47">
    <cfRule type="containsBlanks" dxfId="3338" priority="229" stopIfTrue="1">
      <formula>LEN(TRIM(K41))=0</formula>
    </cfRule>
    <cfRule type="expression" dxfId="3337" priority="230" stopIfTrue="1">
      <formula>SUM($K$41:$K$47)&lt;&gt;1</formula>
    </cfRule>
    <cfRule type="notContainsBlanks" dxfId="3336" priority="231" stopIfTrue="1">
      <formula>LEN(TRIM(K41))&gt;0</formula>
    </cfRule>
  </conditionalFormatting>
  <conditionalFormatting sqref="L41:L47">
    <cfRule type="containsBlanks" dxfId="3335" priority="232" stopIfTrue="1">
      <formula>LEN(TRIM(L41))=0</formula>
    </cfRule>
    <cfRule type="expression" dxfId="3334" priority="233" stopIfTrue="1">
      <formula>SUM($L$41:$L$47)&lt;&gt;1</formula>
    </cfRule>
    <cfRule type="notContainsBlanks" dxfId="3333" priority="234" stopIfTrue="1">
      <formula>LEN(TRIM(L41))&gt;0</formula>
    </cfRule>
  </conditionalFormatting>
  <conditionalFormatting sqref="M41:M47">
    <cfRule type="containsBlanks" dxfId="3332" priority="235" stopIfTrue="1">
      <formula>LEN(TRIM(M41))=0</formula>
    </cfRule>
    <cfRule type="expression" dxfId="3331" priority="236" stopIfTrue="1">
      <formula>SUM($M$41:$M$47)&lt;&gt;1</formula>
    </cfRule>
    <cfRule type="notContainsBlanks" dxfId="3330" priority="237" stopIfTrue="1">
      <formula>LEN(TRIM(M41))&gt;0</formula>
    </cfRule>
  </conditionalFormatting>
  <conditionalFormatting sqref="N41:N47">
    <cfRule type="containsBlanks" dxfId="3329" priority="238" stopIfTrue="1">
      <formula>LEN(TRIM(N41))=0</formula>
    </cfRule>
    <cfRule type="expression" dxfId="3328" priority="239" stopIfTrue="1">
      <formula>SUM($N$41:$N$47)&lt;&gt;1</formula>
    </cfRule>
    <cfRule type="notContainsBlanks" dxfId="3327" priority="240" stopIfTrue="1">
      <formula>LEN(TRIM(N41))&gt;0</formula>
    </cfRule>
  </conditionalFormatting>
  <conditionalFormatting sqref="O41:O47">
    <cfRule type="containsBlanks" dxfId="3326" priority="241" stopIfTrue="1">
      <formula>LEN(TRIM(O41))=0</formula>
    </cfRule>
    <cfRule type="expression" dxfId="3325" priority="242" stopIfTrue="1">
      <formula>SUM($O$41:$O$47)&lt;&gt;1</formula>
    </cfRule>
    <cfRule type="notContainsBlanks" dxfId="3324" priority="243" stopIfTrue="1">
      <formula>LEN(TRIM(O41))&gt;0</formula>
    </cfRule>
  </conditionalFormatting>
  <conditionalFormatting sqref="P41:P47">
    <cfRule type="containsBlanks" dxfId="3323" priority="244" stopIfTrue="1">
      <formula>LEN(TRIM(P41))=0</formula>
    </cfRule>
    <cfRule type="expression" dxfId="3322" priority="245" stopIfTrue="1">
      <formula>SUM($P$41:$P$47)&lt;&gt;1</formula>
    </cfRule>
    <cfRule type="notContainsBlanks" dxfId="3321" priority="246" stopIfTrue="1">
      <formula>LEN(TRIM(P41))&gt;0</formula>
    </cfRule>
  </conditionalFormatting>
  <conditionalFormatting sqref="Q41:Q47">
    <cfRule type="containsBlanks" dxfId="3320" priority="247" stopIfTrue="1">
      <formula>LEN(TRIM(Q41))=0</formula>
    </cfRule>
    <cfRule type="expression" dxfId="3319" priority="248" stopIfTrue="1">
      <formula>SUM($Q$41:$Q$47)&lt;&gt;1</formula>
    </cfRule>
    <cfRule type="notContainsBlanks" dxfId="3318" priority="249" stopIfTrue="1">
      <formula>LEN(TRIM(Q41))&gt;0</formula>
    </cfRule>
  </conditionalFormatting>
  <conditionalFormatting sqref="R41:R47">
    <cfRule type="containsBlanks" dxfId="3317" priority="250" stopIfTrue="1">
      <formula>LEN(TRIM(R41))=0</formula>
    </cfRule>
  </conditionalFormatting>
  <conditionalFormatting sqref="R41:R47">
    <cfRule type="expression" dxfId="3316" priority="251" stopIfTrue="1">
      <formula>SUM($R$41:$R$47)&lt;&gt;1</formula>
    </cfRule>
  </conditionalFormatting>
  <conditionalFormatting sqref="R41:R47">
    <cfRule type="notContainsBlanks" dxfId="3315" priority="252" stopIfTrue="1">
      <formula>LEN(TRIM(R41))&gt;0</formula>
    </cfRule>
  </conditionalFormatting>
  <conditionalFormatting sqref="S41:S47">
    <cfRule type="containsBlanks" dxfId="3314" priority="253" stopIfTrue="1">
      <formula>LEN(TRIM(S41))=0</formula>
    </cfRule>
  </conditionalFormatting>
  <conditionalFormatting sqref="S41:S47">
    <cfRule type="expression" dxfId="3313" priority="254" stopIfTrue="1">
      <formula>SUM($S$41:$S$47)&lt;&gt;1</formula>
    </cfRule>
  </conditionalFormatting>
  <conditionalFormatting sqref="S41:S47">
    <cfRule type="notContainsBlanks" dxfId="3312" priority="255" stopIfTrue="1">
      <formula>LEN(TRIM(S41))&gt;0</formula>
    </cfRule>
  </conditionalFormatting>
  <conditionalFormatting sqref="T41:T47">
    <cfRule type="containsBlanks" dxfId="3311" priority="256" stopIfTrue="1">
      <formula>LEN(TRIM(T41))=0</formula>
    </cfRule>
  </conditionalFormatting>
  <conditionalFormatting sqref="T41:T47">
    <cfRule type="expression" dxfId="3310" priority="257" stopIfTrue="1">
      <formula>SUM($T$41:$T$47)&lt;&gt;1</formula>
    </cfRule>
  </conditionalFormatting>
  <conditionalFormatting sqref="T41:T47">
    <cfRule type="notContainsBlanks" dxfId="3309" priority="258" stopIfTrue="1">
      <formula>LEN(TRIM(T41))&gt;0</formula>
    </cfRule>
  </conditionalFormatting>
  <conditionalFormatting sqref="U41:U47">
    <cfRule type="containsBlanks" dxfId="3308" priority="259" stopIfTrue="1">
      <formula>LEN(TRIM(U41))=0</formula>
    </cfRule>
  </conditionalFormatting>
  <conditionalFormatting sqref="U41:U47">
    <cfRule type="expression" dxfId="3307" priority="260" stopIfTrue="1">
      <formula>SUM($U$41:$U$47)&lt;&gt;1</formula>
    </cfRule>
  </conditionalFormatting>
  <conditionalFormatting sqref="U41:U47">
    <cfRule type="notContainsBlanks" dxfId="3306" priority="261" stopIfTrue="1">
      <formula>LEN(TRIM(U41))&gt;0</formula>
    </cfRule>
  </conditionalFormatting>
  <conditionalFormatting sqref="V41:V47">
    <cfRule type="containsBlanks" dxfId="3305" priority="262" stopIfTrue="1">
      <formula>LEN(TRIM(V41))=0</formula>
    </cfRule>
  </conditionalFormatting>
  <conditionalFormatting sqref="V41:V47">
    <cfRule type="expression" dxfId="3304" priority="263" stopIfTrue="1">
      <formula>SUM($V$41:$V$47)&lt;&gt;1</formula>
    </cfRule>
  </conditionalFormatting>
  <conditionalFormatting sqref="V41:V47">
    <cfRule type="notContainsBlanks" dxfId="3303" priority="264" stopIfTrue="1">
      <formula>LEN(TRIM(V41))&gt;0</formula>
    </cfRule>
  </conditionalFormatting>
  <conditionalFormatting sqref="W41:W47">
    <cfRule type="containsBlanks" dxfId="3302" priority="265" stopIfTrue="1">
      <formula>LEN(TRIM(W41))=0</formula>
    </cfRule>
  </conditionalFormatting>
  <conditionalFormatting sqref="W41:W47">
    <cfRule type="expression" dxfId="3301" priority="266" stopIfTrue="1">
      <formula>SUM($W$41:$W$47)&lt;&gt;1</formula>
    </cfRule>
  </conditionalFormatting>
  <conditionalFormatting sqref="W41:W47">
    <cfRule type="notContainsBlanks" dxfId="3300" priority="267" stopIfTrue="1">
      <formula>LEN(TRIM(W41))&gt;0</formula>
    </cfRule>
  </conditionalFormatting>
  <conditionalFormatting sqref="X41:X47">
    <cfRule type="containsBlanks" dxfId="3299" priority="268" stopIfTrue="1">
      <formula>LEN(TRIM(X41))=0</formula>
    </cfRule>
  </conditionalFormatting>
  <conditionalFormatting sqref="X41:X47">
    <cfRule type="expression" dxfId="3298" priority="269" stopIfTrue="1">
      <formula>SUM($X$41:$X$47)&lt;&gt;1</formula>
    </cfRule>
  </conditionalFormatting>
  <conditionalFormatting sqref="X41:X47">
    <cfRule type="notContainsBlanks" dxfId="3297" priority="270" stopIfTrue="1">
      <formula>LEN(TRIM(X41))&gt;0</formula>
    </cfRule>
  </conditionalFormatting>
  <conditionalFormatting sqref="Y41:Y47">
    <cfRule type="containsBlanks" dxfId="3296" priority="271" stopIfTrue="1">
      <formula>LEN(TRIM(Y41))=0</formula>
    </cfRule>
  </conditionalFormatting>
  <conditionalFormatting sqref="Y41:Y47">
    <cfRule type="expression" dxfId="3295" priority="272" stopIfTrue="1">
      <formula>SUM($Y$41:$Y$47)&lt;&gt;1</formula>
    </cfRule>
  </conditionalFormatting>
  <conditionalFormatting sqref="Y41:Y47">
    <cfRule type="notContainsBlanks" dxfId="3294" priority="273" stopIfTrue="1">
      <formula>LEN(TRIM(Y41))&gt;0</formula>
    </cfRule>
  </conditionalFormatting>
  <conditionalFormatting sqref="Z41:Z47">
    <cfRule type="containsBlanks" dxfId="3293" priority="274" stopIfTrue="1">
      <formula>LEN(TRIM(Z41))=0</formula>
    </cfRule>
  </conditionalFormatting>
  <conditionalFormatting sqref="Z41:Z47">
    <cfRule type="expression" dxfId="3292" priority="275" stopIfTrue="1">
      <formula>SUM($Z$41:$Z$47)&lt;&gt;1</formula>
    </cfRule>
  </conditionalFormatting>
  <conditionalFormatting sqref="Z41:Z47">
    <cfRule type="notContainsBlanks" dxfId="3291" priority="276" stopIfTrue="1">
      <formula>LEN(TRIM(Z41))&gt;0</formula>
    </cfRule>
  </conditionalFormatting>
  <conditionalFormatting sqref="AA41:AA47">
    <cfRule type="containsBlanks" dxfId="3290" priority="277" stopIfTrue="1">
      <formula>LEN(TRIM(AA41))=0</formula>
    </cfRule>
  </conditionalFormatting>
  <conditionalFormatting sqref="AA41:AA47">
    <cfRule type="expression" dxfId="3289" priority="278" stopIfTrue="1">
      <formula>SUM($AA$41:$AA$47)&lt;&gt;1</formula>
    </cfRule>
  </conditionalFormatting>
  <conditionalFormatting sqref="AA41:AA47">
    <cfRule type="notContainsBlanks" dxfId="3288" priority="279" stopIfTrue="1">
      <formula>LEN(TRIM(AA41))&gt;0</formula>
    </cfRule>
  </conditionalFormatting>
  <conditionalFormatting sqref="AB41:AB47">
    <cfRule type="containsBlanks" dxfId="3287" priority="280" stopIfTrue="1">
      <formula>LEN(TRIM(AB41))=0</formula>
    </cfRule>
  </conditionalFormatting>
  <conditionalFormatting sqref="AB41:AB47">
    <cfRule type="expression" dxfId="3286" priority="281" stopIfTrue="1">
      <formula>SUM($AB$41:$AB$47)&lt;&gt;1</formula>
    </cfRule>
  </conditionalFormatting>
  <conditionalFormatting sqref="AB41:AB47">
    <cfRule type="notContainsBlanks" dxfId="3285" priority="282" stopIfTrue="1">
      <formula>LEN(TRIM(AB41))&gt;0</formula>
    </cfRule>
  </conditionalFormatting>
  <conditionalFormatting sqref="AC41:AC47">
    <cfRule type="containsBlanks" dxfId="3284" priority="283" stopIfTrue="1">
      <formula>LEN(TRIM(AC41))=0</formula>
    </cfRule>
  </conditionalFormatting>
  <conditionalFormatting sqref="AC41:AC47">
    <cfRule type="expression" dxfId="3283" priority="284" stopIfTrue="1">
      <formula>SUM($AC$41:$AC$47)&lt;&gt;1</formula>
    </cfRule>
  </conditionalFormatting>
  <conditionalFormatting sqref="AC41:AC47">
    <cfRule type="notContainsBlanks" dxfId="3282" priority="285" stopIfTrue="1">
      <formula>LEN(TRIM(AC41))&gt;0</formula>
    </cfRule>
  </conditionalFormatting>
  <conditionalFormatting sqref="AD41:AD47">
    <cfRule type="containsBlanks" dxfId="3281" priority="286" stopIfTrue="1">
      <formula>LEN(TRIM(AD41))=0</formula>
    </cfRule>
  </conditionalFormatting>
  <conditionalFormatting sqref="AD41:AD47">
    <cfRule type="expression" dxfId="3280" priority="287" stopIfTrue="1">
      <formula>SUM($AD$41:$AD$47)&lt;&gt;1</formula>
    </cfRule>
  </conditionalFormatting>
  <conditionalFormatting sqref="AD41:AD47">
    <cfRule type="notContainsBlanks" dxfId="3279" priority="288" stopIfTrue="1">
      <formula>LEN(TRIM(AD41))&gt;0</formula>
    </cfRule>
  </conditionalFormatting>
  <conditionalFormatting sqref="AE41:AE47">
    <cfRule type="containsBlanks" dxfId="3278" priority="289" stopIfTrue="1">
      <formula>LEN(TRIM(AE41))=0</formula>
    </cfRule>
  </conditionalFormatting>
  <conditionalFormatting sqref="AE41:AE47">
    <cfRule type="expression" dxfId="3277" priority="290" stopIfTrue="1">
      <formula>SUM($AE$41:$AE$47)&lt;&gt;1</formula>
    </cfRule>
  </conditionalFormatting>
  <conditionalFormatting sqref="AE41:AE47">
    <cfRule type="notContainsBlanks" dxfId="3276" priority="291" stopIfTrue="1">
      <formula>LEN(TRIM(AE41))&gt;0</formula>
    </cfRule>
  </conditionalFormatting>
  <conditionalFormatting sqref="AF41:AF47">
    <cfRule type="containsBlanks" dxfId="3275" priority="292" stopIfTrue="1">
      <formula>LEN(TRIM(AF41))=0</formula>
    </cfRule>
  </conditionalFormatting>
  <conditionalFormatting sqref="AF41:AF47">
    <cfRule type="expression" dxfId="3274" priority="293" stopIfTrue="1">
      <formula>SUM($AF$41:$AF$47)&lt;&gt;1</formula>
    </cfRule>
  </conditionalFormatting>
  <conditionalFormatting sqref="AF41:AF47">
    <cfRule type="notContainsBlanks" dxfId="3273" priority="294" stopIfTrue="1">
      <formula>LEN(TRIM(AF41))&gt;0</formula>
    </cfRule>
  </conditionalFormatting>
  <conditionalFormatting sqref="AG41:AG47">
    <cfRule type="containsBlanks" dxfId="3272" priority="295" stopIfTrue="1">
      <formula>LEN(TRIM(AG41))=0</formula>
    </cfRule>
  </conditionalFormatting>
  <conditionalFormatting sqref="AG41:AG47">
    <cfRule type="expression" dxfId="3271" priority="296" stopIfTrue="1">
      <formula>SUM($AG$41:$AG$47)&lt;&gt;1</formula>
    </cfRule>
  </conditionalFormatting>
  <conditionalFormatting sqref="AG41:AG47">
    <cfRule type="notContainsBlanks" dxfId="3270" priority="297" stopIfTrue="1">
      <formula>LEN(TRIM(AG41))&gt;0</formula>
    </cfRule>
  </conditionalFormatting>
  <conditionalFormatting sqref="AH41:AH47">
    <cfRule type="containsBlanks" dxfId="3269" priority="298" stopIfTrue="1">
      <formula>LEN(TRIM(AH41))=0</formula>
    </cfRule>
  </conditionalFormatting>
  <conditionalFormatting sqref="AH41:AH47">
    <cfRule type="expression" dxfId="3268" priority="299" stopIfTrue="1">
      <formula>SUM($AH$41:$AH$47)&lt;&gt;1</formula>
    </cfRule>
  </conditionalFormatting>
  <conditionalFormatting sqref="AH41:AH47">
    <cfRule type="notContainsBlanks" dxfId="3267" priority="300" stopIfTrue="1">
      <formula>LEN(TRIM(AH41))&gt;0</formula>
    </cfRule>
  </conditionalFormatting>
  <conditionalFormatting sqref="AI41:AI47">
    <cfRule type="containsBlanks" dxfId="3266" priority="301" stopIfTrue="1">
      <formula>LEN(TRIM(AI41))=0</formula>
    </cfRule>
  </conditionalFormatting>
  <conditionalFormatting sqref="AI41:AI47">
    <cfRule type="expression" dxfId="3265" priority="302" stopIfTrue="1">
      <formula>SUM($AI$41:$AI$47)&lt;&gt;1</formula>
    </cfRule>
  </conditionalFormatting>
  <conditionalFormatting sqref="AI41:AI47">
    <cfRule type="notContainsBlanks" dxfId="3264" priority="303" stopIfTrue="1">
      <formula>LEN(TRIM(AI41))&gt;0</formula>
    </cfRule>
  </conditionalFormatting>
  <conditionalFormatting sqref="AJ41:AJ47">
    <cfRule type="containsBlanks" dxfId="3263" priority="304" stopIfTrue="1">
      <formula>LEN(TRIM(AJ41))=0</formula>
    </cfRule>
  </conditionalFormatting>
  <conditionalFormatting sqref="AJ41:AJ47">
    <cfRule type="expression" dxfId="3262" priority="305" stopIfTrue="1">
      <formula>SUM($AJ$41:$AJ$47)&lt;&gt;1</formula>
    </cfRule>
  </conditionalFormatting>
  <conditionalFormatting sqref="AJ41:AJ47">
    <cfRule type="notContainsBlanks" dxfId="3261" priority="306" stopIfTrue="1">
      <formula>LEN(TRIM(AJ41))&gt;0</formula>
    </cfRule>
  </conditionalFormatting>
  <conditionalFormatting sqref="AK41:AK47">
    <cfRule type="containsBlanks" dxfId="3260" priority="307" stopIfTrue="1">
      <formula>LEN(TRIM(AK41))=0</formula>
    </cfRule>
  </conditionalFormatting>
  <conditionalFormatting sqref="AK41:AK47">
    <cfRule type="expression" dxfId="3259" priority="308" stopIfTrue="1">
      <formula>SUM($AK$41:$AK$47)&lt;&gt;1</formula>
    </cfRule>
  </conditionalFormatting>
  <conditionalFormatting sqref="AK41:AK47">
    <cfRule type="notContainsBlanks" dxfId="3258" priority="309" stopIfTrue="1">
      <formula>LEN(TRIM(AK41))&gt;0</formula>
    </cfRule>
  </conditionalFormatting>
  <conditionalFormatting sqref="AL41:AL47">
    <cfRule type="containsBlanks" dxfId="3257" priority="310" stopIfTrue="1">
      <formula>LEN(TRIM(AL41))=0</formula>
    </cfRule>
  </conditionalFormatting>
  <conditionalFormatting sqref="AL41:AL47">
    <cfRule type="expression" dxfId="3256" priority="311" stopIfTrue="1">
      <formula>SUM($AL$41:$AL$47)&lt;&gt;1</formula>
    </cfRule>
  </conditionalFormatting>
  <conditionalFormatting sqref="AL41:AL47">
    <cfRule type="notContainsBlanks" dxfId="3255" priority="312" stopIfTrue="1">
      <formula>LEN(TRIM(AL41))&gt;0</formula>
    </cfRule>
  </conditionalFormatting>
  <conditionalFormatting sqref="E32:I38">
    <cfRule type="containsBlanks" dxfId="3254" priority="327" stopIfTrue="1">
      <formula>LEN(TRIM(E32))=0</formula>
    </cfRule>
    <cfRule type="expression" dxfId="3253" priority="328" stopIfTrue="1">
      <formula>SUM($E$32:$E$38)&lt;&gt;1</formula>
    </cfRule>
    <cfRule type="notContainsBlanks" dxfId="3252" priority="329" stopIfTrue="1">
      <formula>LEN(TRIM(E32))&gt;0</formula>
    </cfRule>
  </conditionalFormatting>
  <conditionalFormatting sqref="J32:J38">
    <cfRule type="containsBlanks" dxfId="3251" priority="342" stopIfTrue="1">
      <formula>LEN(TRIM(J32))=0</formula>
    </cfRule>
    <cfRule type="expression" dxfId="3250" priority="343" stopIfTrue="1">
      <formula>SUM($J$32:$J$38)&lt;&gt;1</formula>
    </cfRule>
    <cfRule type="notContainsBlanks" dxfId="3249" priority="344" stopIfTrue="1">
      <formula>LEN(TRIM(J32))&gt;0</formula>
    </cfRule>
  </conditionalFormatting>
  <conditionalFormatting sqref="K32:K38">
    <cfRule type="containsBlanks" dxfId="3248" priority="345" stopIfTrue="1">
      <formula>LEN(TRIM(K32))=0</formula>
    </cfRule>
  </conditionalFormatting>
  <conditionalFormatting sqref="K32:K38">
    <cfRule type="expression" dxfId="3247" priority="346" stopIfTrue="1">
      <formula>SUM($K$32:$K$38)&lt;&gt;1</formula>
    </cfRule>
  </conditionalFormatting>
  <conditionalFormatting sqref="K32:K38">
    <cfRule type="notContainsBlanks" dxfId="3246" priority="347" stopIfTrue="1">
      <formula>LEN(TRIM(K32))&gt;0</formula>
    </cfRule>
  </conditionalFormatting>
  <conditionalFormatting sqref="L32:L38">
    <cfRule type="containsBlanks" dxfId="3245" priority="348" stopIfTrue="1">
      <formula>LEN(TRIM(L32))=0</formula>
    </cfRule>
  </conditionalFormatting>
  <conditionalFormatting sqref="L32:L38">
    <cfRule type="expression" dxfId="3244" priority="349" stopIfTrue="1">
      <formula>SUM($L$32:$L$38)&lt;&gt;1</formula>
    </cfRule>
  </conditionalFormatting>
  <conditionalFormatting sqref="L32:L38">
    <cfRule type="notContainsBlanks" dxfId="3243" priority="350" stopIfTrue="1">
      <formula>LEN(TRIM(L32))&gt;0</formula>
    </cfRule>
  </conditionalFormatting>
  <conditionalFormatting sqref="M32:M38">
    <cfRule type="containsBlanks" dxfId="3242" priority="351" stopIfTrue="1">
      <formula>LEN(TRIM(M32))=0</formula>
    </cfRule>
  </conditionalFormatting>
  <conditionalFormatting sqref="M32:M38">
    <cfRule type="expression" dxfId="3241" priority="352" stopIfTrue="1">
      <formula>SUM($M$32:$M$38)&lt;&gt;1</formula>
    </cfRule>
  </conditionalFormatting>
  <conditionalFormatting sqref="M32:M38">
    <cfRule type="notContainsBlanks" dxfId="3240" priority="353" stopIfTrue="1">
      <formula>LEN(TRIM(M32))&gt;0</formula>
    </cfRule>
  </conditionalFormatting>
  <conditionalFormatting sqref="N32:N38">
    <cfRule type="containsBlanks" dxfId="3239" priority="354" stopIfTrue="1">
      <formula>LEN(TRIM(N32))=0</formula>
    </cfRule>
  </conditionalFormatting>
  <conditionalFormatting sqref="N32:N38">
    <cfRule type="expression" dxfId="3238" priority="355" stopIfTrue="1">
      <formula>SUM($N$32:$N$38)&lt;&gt;1</formula>
    </cfRule>
  </conditionalFormatting>
  <conditionalFormatting sqref="N32:N38">
    <cfRule type="notContainsBlanks" dxfId="3237" priority="356" stopIfTrue="1">
      <formula>LEN(TRIM(N32))&gt;0</formula>
    </cfRule>
  </conditionalFormatting>
  <conditionalFormatting sqref="O32:O38">
    <cfRule type="containsBlanks" dxfId="3236" priority="357" stopIfTrue="1">
      <formula>LEN(TRIM(O32))=0</formula>
    </cfRule>
  </conditionalFormatting>
  <conditionalFormatting sqref="O32:O38">
    <cfRule type="expression" dxfId="3235" priority="358" stopIfTrue="1">
      <formula>SUM($O$32:$O$38)&lt;&gt;1</formula>
    </cfRule>
  </conditionalFormatting>
  <conditionalFormatting sqref="O32:O38">
    <cfRule type="notContainsBlanks" dxfId="3234" priority="359" stopIfTrue="1">
      <formula>LEN(TRIM(O32))&gt;0</formula>
    </cfRule>
  </conditionalFormatting>
  <conditionalFormatting sqref="P32:P38">
    <cfRule type="containsBlanks" dxfId="3233" priority="360" stopIfTrue="1">
      <formula>LEN(TRIM(P32))=0</formula>
    </cfRule>
  </conditionalFormatting>
  <conditionalFormatting sqref="P32:P38">
    <cfRule type="expression" dxfId="3232" priority="361" stopIfTrue="1">
      <formula>SUM($P$32:$P$38)&lt;&gt;1</formula>
    </cfRule>
  </conditionalFormatting>
  <conditionalFormatting sqref="P32:P38">
    <cfRule type="notContainsBlanks" dxfId="3231" priority="362" stopIfTrue="1">
      <formula>LEN(TRIM(P32))&gt;0</formula>
    </cfRule>
  </conditionalFormatting>
  <conditionalFormatting sqref="Q32:Q38">
    <cfRule type="containsBlanks" dxfId="3230" priority="363" stopIfTrue="1">
      <formula>LEN(TRIM(Q32))=0</formula>
    </cfRule>
  </conditionalFormatting>
  <conditionalFormatting sqref="Q32:Q38">
    <cfRule type="expression" dxfId="3229" priority="364" stopIfTrue="1">
      <formula>SUM($Q$32:$Q$38)&lt;&gt;1</formula>
    </cfRule>
  </conditionalFormatting>
  <conditionalFormatting sqref="Q32:Q38">
    <cfRule type="notContainsBlanks" dxfId="3228" priority="365" stopIfTrue="1">
      <formula>LEN(TRIM(Q32))&gt;0</formula>
    </cfRule>
  </conditionalFormatting>
  <conditionalFormatting sqref="R32:R38">
    <cfRule type="containsBlanks" dxfId="3227" priority="366" stopIfTrue="1">
      <formula>LEN(TRIM(R32))=0</formula>
    </cfRule>
  </conditionalFormatting>
  <conditionalFormatting sqref="R32:R38">
    <cfRule type="expression" dxfId="3226" priority="367" stopIfTrue="1">
      <formula>SUM($R$32:$R$38)&lt;&gt;1</formula>
    </cfRule>
  </conditionalFormatting>
  <conditionalFormatting sqref="R32:R38">
    <cfRule type="notContainsBlanks" dxfId="3225" priority="368" stopIfTrue="1">
      <formula>LEN(TRIM(R32))&gt;0</formula>
    </cfRule>
  </conditionalFormatting>
  <conditionalFormatting sqref="S32:S38">
    <cfRule type="containsBlanks" dxfId="3224" priority="369" stopIfTrue="1">
      <formula>LEN(TRIM(S32))=0</formula>
    </cfRule>
  </conditionalFormatting>
  <conditionalFormatting sqref="S32:S38">
    <cfRule type="expression" dxfId="3223" priority="370" stopIfTrue="1">
      <formula>SUM($S$32:$S$38)&lt;&gt;1</formula>
    </cfRule>
  </conditionalFormatting>
  <conditionalFormatting sqref="S32:S38">
    <cfRule type="notContainsBlanks" dxfId="3222" priority="371" stopIfTrue="1">
      <formula>LEN(TRIM(S32))&gt;0</formula>
    </cfRule>
  </conditionalFormatting>
  <conditionalFormatting sqref="T32:T38">
    <cfRule type="containsBlanks" dxfId="3221" priority="372" stopIfTrue="1">
      <formula>LEN(TRIM(T32))=0</formula>
    </cfRule>
  </conditionalFormatting>
  <conditionalFormatting sqref="T32:T38">
    <cfRule type="expression" dxfId="3220" priority="373" stopIfTrue="1">
      <formula>SUM($T$32:$T$38)&lt;&gt;1</formula>
    </cfRule>
  </conditionalFormatting>
  <conditionalFormatting sqref="T32:T38">
    <cfRule type="notContainsBlanks" dxfId="3219" priority="374" stopIfTrue="1">
      <formula>LEN(TRIM(T32))&gt;0</formula>
    </cfRule>
  </conditionalFormatting>
  <conditionalFormatting sqref="U32:U38">
    <cfRule type="containsBlanks" dxfId="3218" priority="375" stopIfTrue="1">
      <formula>LEN(TRIM(U32))=0</formula>
    </cfRule>
  </conditionalFormatting>
  <conditionalFormatting sqref="U32:U38">
    <cfRule type="expression" dxfId="3217" priority="376" stopIfTrue="1">
      <formula>SUM($U$32:$U$38)&lt;&gt;1</formula>
    </cfRule>
  </conditionalFormatting>
  <conditionalFormatting sqref="U32:U38">
    <cfRule type="notContainsBlanks" dxfId="3216" priority="377" stopIfTrue="1">
      <formula>LEN(TRIM(U32))&gt;0</formula>
    </cfRule>
  </conditionalFormatting>
  <conditionalFormatting sqref="V32:V38">
    <cfRule type="containsBlanks" dxfId="3215" priority="378" stopIfTrue="1">
      <formula>LEN(TRIM(V32))=0</formula>
    </cfRule>
  </conditionalFormatting>
  <conditionalFormatting sqref="V32:V38">
    <cfRule type="expression" dxfId="3214" priority="379" stopIfTrue="1">
      <formula>SUM($V$32:$V$38)&lt;&gt;1</formula>
    </cfRule>
  </conditionalFormatting>
  <conditionalFormatting sqref="V32:V38">
    <cfRule type="notContainsBlanks" dxfId="3213" priority="380" stopIfTrue="1">
      <formula>LEN(TRIM(V32))&gt;0</formula>
    </cfRule>
  </conditionalFormatting>
  <conditionalFormatting sqref="W32:W38">
    <cfRule type="containsBlanks" dxfId="3212" priority="381" stopIfTrue="1">
      <formula>LEN(TRIM(W32))=0</formula>
    </cfRule>
  </conditionalFormatting>
  <conditionalFormatting sqref="W32:W38">
    <cfRule type="expression" dxfId="3211" priority="382" stopIfTrue="1">
      <formula>SUM($W$32:$W$38)&lt;&gt;1</formula>
    </cfRule>
  </conditionalFormatting>
  <conditionalFormatting sqref="W32:W38">
    <cfRule type="notContainsBlanks" dxfId="3210" priority="383" stopIfTrue="1">
      <formula>LEN(TRIM(W32))&gt;0</formula>
    </cfRule>
  </conditionalFormatting>
  <conditionalFormatting sqref="X32:X38">
    <cfRule type="containsBlanks" dxfId="3209" priority="384" stopIfTrue="1">
      <formula>LEN(TRIM(X32))=0</formula>
    </cfRule>
  </conditionalFormatting>
  <conditionalFormatting sqref="X32:X38">
    <cfRule type="expression" dxfId="3208" priority="385" stopIfTrue="1">
      <formula>SUM($X$32:$X$38)&lt;&gt;1</formula>
    </cfRule>
  </conditionalFormatting>
  <conditionalFormatting sqref="X32:X38">
    <cfRule type="notContainsBlanks" dxfId="3207" priority="386" stopIfTrue="1">
      <formula>LEN(TRIM(X32))&gt;0</formula>
    </cfRule>
  </conditionalFormatting>
  <conditionalFormatting sqref="Y32:Y38">
    <cfRule type="containsBlanks" dxfId="3206" priority="387" stopIfTrue="1">
      <formula>LEN(TRIM(Y32))=0</formula>
    </cfRule>
  </conditionalFormatting>
  <conditionalFormatting sqref="Y32:Y38">
    <cfRule type="expression" dxfId="3205" priority="388" stopIfTrue="1">
      <formula>SUM($Y$32:$Y$38)&lt;&gt;1</formula>
    </cfRule>
  </conditionalFormatting>
  <conditionalFormatting sqref="Y32:Y38">
    <cfRule type="notContainsBlanks" dxfId="3204" priority="389" stopIfTrue="1">
      <formula>LEN(TRIM(Y32))&gt;0</formula>
    </cfRule>
  </conditionalFormatting>
  <conditionalFormatting sqref="Z32:Z38">
    <cfRule type="containsBlanks" dxfId="3203" priority="390" stopIfTrue="1">
      <formula>LEN(TRIM(Z32))=0</formula>
    </cfRule>
  </conditionalFormatting>
  <conditionalFormatting sqref="Z32:Z38">
    <cfRule type="expression" dxfId="3202" priority="391" stopIfTrue="1">
      <formula>SUM($Z$32:$Z$38)&lt;&gt;1</formula>
    </cfRule>
  </conditionalFormatting>
  <conditionalFormatting sqref="Z32:Z38">
    <cfRule type="notContainsBlanks" dxfId="3201" priority="392" stopIfTrue="1">
      <formula>LEN(TRIM(Z32))&gt;0</formula>
    </cfRule>
  </conditionalFormatting>
  <conditionalFormatting sqref="AA32:AA38">
    <cfRule type="containsBlanks" dxfId="3200" priority="393" stopIfTrue="1">
      <formula>LEN(TRIM(AA32))=0</formula>
    </cfRule>
  </conditionalFormatting>
  <conditionalFormatting sqref="AA32:AA38">
    <cfRule type="expression" dxfId="3199" priority="394" stopIfTrue="1">
      <formula>SUM($AA$32:$AA$38)&lt;&gt;1</formula>
    </cfRule>
  </conditionalFormatting>
  <conditionalFormatting sqref="AA32:AA38">
    <cfRule type="notContainsBlanks" dxfId="3198" priority="395" stopIfTrue="1">
      <formula>LEN(TRIM(AA32))&gt;0</formula>
    </cfRule>
  </conditionalFormatting>
  <conditionalFormatting sqref="AB32:AB38">
    <cfRule type="containsBlanks" dxfId="3197" priority="396" stopIfTrue="1">
      <formula>LEN(TRIM(AB32))=0</formula>
    </cfRule>
  </conditionalFormatting>
  <conditionalFormatting sqref="AB32:AB38">
    <cfRule type="expression" dxfId="3196" priority="397" stopIfTrue="1">
      <formula>SUM($AB$32:$AB$38)&lt;&gt;1</formula>
    </cfRule>
  </conditionalFormatting>
  <conditionalFormatting sqref="AB32:AB38">
    <cfRule type="notContainsBlanks" dxfId="3195" priority="398" stopIfTrue="1">
      <formula>LEN(TRIM(AB32))&gt;0</formula>
    </cfRule>
  </conditionalFormatting>
  <conditionalFormatting sqref="AC32:AC38">
    <cfRule type="containsBlanks" dxfId="3194" priority="399" stopIfTrue="1">
      <formula>LEN(TRIM(AC32))=0</formula>
    </cfRule>
  </conditionalFormatting>
  <conditionalFormatting sqref="AC32:AC38">
    <cfRule type="expression" dxfId="3193" priority="400" stopIfTrue="1">
      <formula>SUM($AC$32:$AC$38)&lt;&gt;1</formula>
    </cfRule>
  </conditionalFormatting>
  <conditionalFormatting sqref="AC32:AC38">
    <cfRule type="notContainsBlanks" dxfId="3192" priority="401" stopIfTrue="1">
      <formula>LEN(TRIM(AC32))&gt;0</formula>
    </cfRule>
  </conditionalFormatting>
  <conditionalFormatting sqref="AD32:AD38">
    <cfRule type="containsBlanks" dxfId="3191" priority="402" stopIfTrue="1">
      <formula>LEN(TRIM(AD32))=0</formula>
    </cfRule>
  </conditionalFormatting>
  <conditionalFormatting sqref="AD32:AD38">
    <cfRule type="expression" dxfId="3190" priority="403" stopIfTrue="1">
      <formula>SUM($AD$32:$AD$38)&lt;&gt;1</formula>
    </cfRule>
  </conditionalFormatting>
  <conditionalFormatting sqref="AD32:AD38">
    <cfRule type="notContainsBlanks" dxfId="3189" priority="404" stopIfTrue="1">
      <formula>LEN(TRIM(AD32))&gt;0</formula>
    </cfRule>
  </conditionalFormatting>
  <conditionalFormatting sqref="AE32:AE38">
    <cfRule type="containsBlanks" dxfId="3188" priority="405" stopIfTrue="1">
      <formula>LEN(TRIM(AE32))=0</formula>
    </cfRule>
  </conditionalFormatting>
  <conditionalFormatting sqref="AE32:AE38">
    <cfRule type="expression" dxfId="3187" priority="406" stopIfTrue="1">
      <formula>SUM($AE$32:$AE$38)&lt;&gt;1</formula>
    </cfRule>
  </conditionalFormatting>
  <conditionalFormatting sqref="AE32:AE38">
    <cfRule type="notContainsBlanks" dxfId="3186" priority="407" stopIfTrue="1">
      <formula>LEN(TRIM(AE32))&gt;0</formula>
    </cfRule>
  </conditionalFormatting>
  <conditionalFormatting sqref="AF32:AF38">
    <cfRule type="containsBlanks" dxfId="3185" priority="408" stopIfTrue="1">
      <formula>LEN(TRIM(AF32))=0</formula>
    </cfRule>
  </conditionalFormatting>
  <conditionalFormatting sqref="AF32:AF38">
    <cfRule type="expression" dxfId="3184" priority="409" stopIfTrue="1">
      <formula>SUM($AF$32:$AF$38)&lt;&gt;1</formula>
    </cfRule>
  </conditionalFormatting>
  <conditionalFormatting sqref="AF32:AF38">
    <cfRule type="notContainsBlanks" dxfId="3183" priority="410" stopIfTrue="1">
      <formula>LEN(TRIM(AF32))&gt;0</formula>
    </cfRule>
  </conditionalFormatting>
  <conditionalFormatting sqref="AG32:AG38">
    <cfRule type="containsBlanks" dxfId="3182" priority="411" stopIfTrue="1">
      <formula>LEN(TRIM(AG32))=0</formula>
    </cfRule>
  </conditionalFormatting>
  <conditionalFormatting sqref="AG32:AG38">
    <cfRule type="expression" dxfId="3181" priority="412" stopIfTrue="1">
      <formula>SUM($AG$32:$AG$38)&lt;&gt;1</formula>
    </cfRule>
  </conditionalFormatting>
  <conditionalFormatting sqref="AG32:AG38">
    <cfRule type="notContainsBlanks" dxfId="3180" priority="413" stopIfTrue="1">
      <formula>LEN(TRIM(AG32))&gt;0</formula>
    </cfRule>
  </conditionalFormatting>
  <conditionalFormatting sqref="AH32:AH38">
    <cfRule type="containsBlanks" dxfId="3179" priority="414" stopIfTrue="1">
      <formula>LEN(TRIM(AH32))=0</formula>
    </cfRule>
  </conditionalFormatting>
  <conditionalFormatting sqref="AH32:AH38">
    <cfRule type="expression" dxfId="3178" priority="415" stopIfTrue="1">
      <formula>SUM($AH$32:$AH$38)&lt;&gt;1</formula>
    </cfRule>
  </conditionalFormatting>
  <conditionalFormatting sqref="AH32:AH38">
    <cfRule type="notContainsBlanks" dxfId="3177" priority="416" stopIfTrue="1">
      <formula>LEN(TRIM(AH32))&gt;0</formula>
    </cfRule>
  </conditionalFormatting>
  <conditionalFormatting sqref="AI32:AI38">
    <cfRule type="containsBlanks" dxfId="3176" priority="417" stopIfTrue="1">
      <formula>LEN(TRIM(AI32))=0</formula>
    </cfRule>
  </conditionalFormatting>
  <conditionalFormatting sqref="AI32:AI38">
    <cfRule type="expression" dxfId="3175" priority="418" stopIfTrue="1">
      <formula>SUM($AI$32:$AI$38)&lt;&gt;1</formula>
    </cfRule>
  </conditionalFormatting>
  <conditionalFormatting sqref="AI32:AI38">
    <cfRule type="notContainsBlanks" dxfId="3174" priority="419" stopIfTrue="1">
      <formula>LEN(TRIM(AI32))&gt;0</formula>
    </cfRule>
  </conditionalFormatting>
  <conditionalFormatting sqref="AJ32:AJ38">
    <cfRule type="containsBlanks" dxfId="3173" priority="420" stopIfTrue="1">
      <formula>LEN(TRIM(AJ32))=0</formula>
    </cfRule>
  </conditionalFormatting>
  <conditionalFormatting sqref="AJ32:AJ38">
    <cfRule type="expression" dxfId="3172" priority="421" stopIfTrue="1">
      <formula>SUM($AJ$32:$AJ$38)&lt;&gt;1</formula>
    </cfRule>
  </conditionalFormatting>
  <conditionalFormatting sqref="AJ32:AJ38">
    <cfRule type="notContainsBlanks" dxfId="3171" priority="422" stopIfTrue="1">
      <formula>LEN(TRIM(AJ32))&gt;0</formula>
    </cfRule>
  </conditionalFormatting>
  <conditionalFormatting sqref="AK32:AK38">
    <cfRule type="containsBlanks" dxfId="3170" priority="423" stopIfTrue="1">
      <formula>LEN(TRIM(AK32))=0</formula>
    </cfRule>
  </conditionalFormatting>
  <conditionalFormatting sqref="AK32:AK38">
    <cfRule type="expression" dxfId="3169" priority="424" stopIfTrue="1">
      <formula>SUM($AK$32:$AK$38)&lt;&gt;1</formula>
    </cfRule>
  </conditionalFormatting>
  <conditionalFormatting sqref="AK32:AK38">
    <cfRule type="notContainsBlanks" dxfId="3168" priority="425" stopIfTrue="1">
      <formula>LEN(TRIM(AK32))&gt;0</formula>
    </cfRule>
  </conditionalFormatting>
  <conditionalFormatting sqref="AL32:AL38">
    <cfRule type="containsBlanks" dxfId="3167" priority="426" stopIfTrue="1">
      <formula>LEN(TRIM(AL32))=0</formula>
    </cfRule>
  </conditionalFormatting>
  <conditionalFormatting sqref="AL32:AL38">
    <cfRule type="expression" dxfId="3166" priority="427" stopIfTrue="1">
      <formula>SUM($AL$32:$AL$38)&lt;&gt;1</formula>
    </cfRule>
  </conditionalFormatting>
  <conditionalFormatting sqref="AL32:AL38">
    <cfRule type="notContainsBlanks" dxfId="3165" priority="428" stopIfTrue="1">
      <formula>LEN(TRIM(AL32))&gt;0</formula>
    </cfRule>
  </conditionalFormatting>
  <conditionalFormatting sqref="E21:AL21">
    <cfRule type="containsBlanks" dxfId="3164" priority="429" stopIfTrue="1">
      <formula>LEN(TRIM(E21))=0</formula>
    </cfRule>
  </conditionalFormatting>
  <conditionalFormatting sqref="E21:AL21">
    <cfRule type="notContainsBlanks" dxfId="3163" priority="430" stopIfTrue="1">
      <formula>LEN(TRIM(E21))&gt;0</formula>
    </cfRule>
  </conditionalFormatting>
  <conditionalFormatting sqref="E22:AL22">
    <cfRule type="containsBlanks" dxfId="3162" priority="431" stopIfTrue="1">
      <formula>LEN(TRIM(E22))=0</formula>
    </cfRule>
  </conditionalFormatting>
  <conditionalFormatting sqref="E22:AL22">
    <cfRule type="notContainsBlanks" dxfId="3161" priority="432" stopIfTrue="1">
      <formula>LEN(TRIM(E22))&gt;0</formula>
    </cfRule>
  </conditionalFormatting>
  <conditionalFormatting sqref="E24:AL24">
    <cfRule type="containsBlanks" dxfId="3160" priority="433" stopIfTrue="1">
      <formula>LEN(TRIM(E24))=0</formula>
    </cfRule>
  </conditionalFormatting>
  <conditionalFormatting sqref="E24:AL24">
    <cfRule type="notContainsBlanks" dxfId="3159" priority="434" stopIfTrue="1">
      <formula>LEN(TRIM(E24))&gt;0</formula>
    </cfRule>
  </conditionalFormatting>
  <conditionalFormatting sqref="E26:AL26">
    <cfRule type="containsBlanks" dxfId="3158" priority="435" stopIfTrue="1">
      <formula>LEN(TRIM(E26))=0</formula>
    </cfRule>
  </conditionalFormatting>
  <conditionalFormatting sqref="E26:AL26">
    <cfRule type="notContainsBlanks" dxfId="3157" priority="436" stopIfTrue="1">
      <formula>LEN(TRIM(E26))&gt;0</formula>
    </cfRule>
  </conditionalFormatting>
  <conditionalFormatting sqref="E27:AL27">
    <cfRule type="containsBlanks" dxfId="3156" priority="437" stopIfTrue="1">
      <formula>LEN(TRIM(E27))=0</formula>
    </cfRule>
  </conditionalFormatting>
  <conditionalFormatting sqref="E27:AL27">
    <cfRule type="notContainsBlanks" dxfId="3155" priority="438" stopIfTrue="1">
      <formula>LEN(TRIM(E27))&gt;0</formula>
    </cfRule>
  </conditionalFormatting>
  <conditionalFormatting sqref="E29:AL29">
    <cfRule type="containsBlanks" dxfId="3154" priority="439" stopIfTrue="1">
      <formula>LEN(TRIM(E29))=0</formula>
    </cfRule>
  </conditionalFormatting>
  <conditionalFormatting sqref="E29:AL29">
    <cfRule type="notContainsBlanks" dxfId="3153" priority="440" stopIfTrue="1">
      <formula>LEN(TRIM(E29))&gt;0</formula>
    </cfRule>
  </conditionalFormatting>
  <conditionalFormatting sqref="E13:AL13">
    <cfRule type="containsBlanks" dxfId="3152" priority="441" stopIfTrue="1">
      <formula>LEN(TRIM(E13))=0</formula>
    </cfRule>
  </conditionalFormatting>
  <conditionalFormatting sqref="E13:AL13">
    <cfRule type="notContainsBlanks" dxfId="3151" priority="442" stopIfTrue="1">
      <formula>LEN(TRIM(E13))&gt;0</formula>
    </cfRule>
  </conditionalFormatting>
  <conditionalFormatting sqref="E14:AL14">
    <cfRule type="containsBlanks" dxfId="3150" priority="443" stopIfTrue="1">
      <formula>LEN(TRIM(E14))=0</formula>
    </cfRule>
  </conditionalFormatting>
  <conditionalFormatting sqref="E14:AL14">
    <cfRule type="notContainsBlanks" dxfId="3149" priority="444" stopIfTrue="1">
      <formula>LEN(TRIM(E14))&gt;0</formula>
    </cfRule>
  </conditionalFormatting>
  <conditionalFormatting sqref="E15:AL15">
    <cfRule type="containsBlanks" dxfId="3148" priority="445" stopIfTrue="1">
      <formula>LEN(TRIM(E15))=0</formula>
    </cfRule>
  </conditionalFormatting>
  <conditionalFormatting sqref="E15:AL15">
    <cfRule type="notContainsBlanks" dxfId="3147" priority="446" stopIfTrue="1">
      <formula>LEN(TRIM(E15))&gt;0</formula>
    </cfRule>
  </conditionalFormatting>
  <conditionalFormatting sqref="E17:AL17">
    <cfRule type="containsBlanks" dxfId="3146" priority="447" stopIfTrue="1">
      <formula>LEN(TRIM(E17))=0</formula>
    </cfRule>
  </conditionalFormatting>
  <conditionalFormatting sqref="E17:AL17">
    <cfRule type="notContainsBlanks" dxfId="3145" priority="448" stopIfTrue="1">
      <formula>LEN(TRIM(E17))&gt;0</formula>
    </cfRule>
  </conditionalFormatting>
  <conditionalFormatting sqref="E5:AL5">
    <cfRule type="containsBlanks" dxfId="3144" priority="449" stopIfTrue="1">
      <formula>LEN(TRIM(E5))=0</formula>
    </cfRule>
  </conditionalFormatting>
  <conditionalFormatting sqref="E5:AL5">
    <cfRule type="notContainsBlanks" dxfId="3143" priority="450" stopIfTrue="1">
      <formula>LEN(TRIM(E5))&gt;0</formula>
    </cfRule>
  </conditionalFormatting>
  <conditionalFormatting sqref="E6:AL6">
    <cfRule type="containsBlanks" dxfId="3142" priority="451" stopIfTrue="1">
      <formula>LEN(TRIM(E6))=0</formula>
    </cfRule>
  </conditionalFormatting>
  <conditionalFormatting sqref="E6:AL6">
    <cfRule type="notContainsBlanks" dxfId="3141" priority="452" stopIfTrue="1">
      <formula>LEN(TRIM(E6))&gt;0</formula>
    </cfRule>
  </conditionalFormatting>
  <conditionalFormatting sqref="E7:AL7">
    <cfRule type="containsBlanks" dxfId="3140" priority="453" stopIfTrue="1">
      <formula>LEN(TRIM(E7))=0</formula>
    </cfRule>
  </conditionalFormatting>
  <conditionalFormatting sqref="E7:AL7">
    <cfRule type="notContainsBlanks" dxfId="3139" priority="454" stopIfTrue="1">
      <formula>LEN(TRIM(E7))&gt;0</formula>
    </cfRule>
  </conditionalFormatting>
  <conditionalFormatting sqref="E9:AL9">
    <cfRule type="containsBlanks" dxfId="3138" priority="455" stopIfTrue="1">
      <formula>LEN(TRIM(E9))=0</formula>
    </cfRule>
  </conditionalFormatting>
  <conditionalFormatting sqref="E9:AL9">
    <cfRule type="notContainsBlanks" dxfId="3137" priority="456" stopIfTrue="1">
      <formula>LEN(TRIM(E9))&gt;0</formula>
    </cfRule>
  </conditionalFormatting>
  <pageMargins left="0.7" right="0.7" top="0.75" bottom="0.75" header="0.3" footer="0.3"/>
  <customProperties>
    <customPr name="IsPC"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dimension ref="B2:AM190"/>
  <sheetViews>
    <sheetView topLeftCell="A159" zoomScale="85" zoomScaleNormal="85" zoomScalePageLayoutView="85" workbookViewId="0">
      <selection activeCell="E183" sqref="E183"/>
    </sheetView>
  </sheetViews>
  <sheetFormatPr defaultColWidth="8.77734375" defaultRowHeight="14.4"/>
  <cols>
    <col min="1" max="1" width="8.77734375" style="9"/>
    <col min="2" max="2" width="3.6640625" style="9" customWidth="1"/>
    <col min="3" max="3" width="28.44140625" style="9" bestFit="1" customWidth="1"/>
    <col min="4" max="4" width="9.33203125" style="9" bestFit="1" customWidth="1"/>
    <col min="5" max="7" width="7.109375" style="9" bestFit="1" customWidth="1"/>
    <col min="8" max="38" width="8" style="9" bestFit="1" customWidth="1"/>
    <col min="39" max="39" width="3.6640625" style="9" customWidth="1"/>
    <col min="40" max="16384" width="8.77734375" style="9"/>
  </cols>
  <sheetData>
    <row r="2" spans="2:39" ht="15">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row>
    <row r="3" spans="2:39" ht="15">
      <c r="B3" s="10"/>
      <c r="C3" s="22" t="s">
        <v>97</v>
      </c>
      <c r="D3" s="23"/>
      <c r="E3" s="24">
        <f t="array" ref="E3:AL3">_yS</f>
        <v>2019</v>
      </c>
      <c r="F3" s="24">
        <v>2020</v>
      </c>
      <c r="G3" s="24">
        <v>2021</v>
      </c>
      <c r="H3" s="24">
        <v>2022</v>
      </c>
      <c r="I3" s="24">
        <v>2023</v>
      </c>
      <c r="J3" s="24">
        <v>2024</v>
      </c>
      <c r="K3" s="24">
        <v>2025</v>
      </c>
      <c r="L3" s="24">
        <v>2026</v>
      </c>
      <c r="M3" s="24">
        <v>2027</v>
      </c>
      <c r="N3" s="24">
        <v>2028</v>
      </c>
      <c r="O3" s="24">
        <v>2029</v>
      </c>
      <c r="P3" s="24">
        <v>2030</v>
      </c>
      <c r="Q3" s="24">
        <v>2031</v>
      </c>
      <c r="R3" s="24">
        <v>2032</v>
      </c>
      <c r="S3" s="24">
        <v>2033</v>
      </c>
      <c r="T3" s="24">
        <v>2034</v>
      </c>
      <c r="U3" s="24">
        <v>2035</v>
      </c>
      <c r="V3" s="24">
        <v>2036</v>
      </c>
      <c r="W3" s="24">
        <v>2037</v>
      </c>
      <c r="X3" s="24">
        <v>2038</v>
      </c>
      <c r="Y3" s="24">
        <v>2039</v>
      </c>
      <c r="Z3" s="24">
        <v>2040</v>
      </c>
      <c r="AA3" s="24">
        <v>2041</v>
      </c>
      <c r="AB3" s="24">
        <v>2042</v>
      </c>
      <c r="AC3" s="24">
        <v>2043</v>
      </c>
      <c r="AD3" s="24">
        <v>2044</v>
      </c>
      <c r="AE3" s="24">
        <v>2045</v>
      </c>
      <c r="AF3" s="24">
        <v>2046</v>
      </c>
      <c r="AG3" s="24">
        <v>2047</v>
      </c>
      <c r="AH3" s="24">
        <v>2048</v>
      </c>
      <c r="AI3" s="24">
        <v>2049</v>
      </c>
      <c r="AJ3" s="24">
        <v>2050</v>
      </c>
      <c r="AK3" s="24">
        <v>2051</v>
      </c>
      <c r="AL3" s="25">
        <v>2052</v>
      </c>
      <c r="AM3" s="10"/>
    </row>
    <row r="4" spans="2:39" ht="15">
      <c r="B4" s="10"/>
      <c r="C4" s="57" t="str">
        <f ca="1">"Stds Case (CSL " &amp; stdCSL &amp; "): " &amp; INDEX(_doName,2,stdCSL+1)</f>
        <v>Stds Case (CSL 5): EL 5</v>
      </c>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3"/>
      <c r="AM4" s="10"/>
    </row>
    <row r="5" spans="2:39" ht="15">
      <c r="B5" s="10"/>
      <c r="C5" s="16" t="s">
        <v>94</v>
      </c>
      <c r="D5" s="12" t="str">
        <f>"th " &amp; _yearDol &amp; "$"</f>
        <v>th 2015$</v>
      </c>
      <c r="E5" s="13">
        <f t="array" aca="1" ref="E5:AL5" ca="1">tecs-tiec</f>
        <v>0</v>
      </c>
      <c r="F5" s="13">
        <f ca="1"/>
        <v>0</v>
      </c>
      <c r="G5" s="13">
        <f ca="1"/>
        <v>0</v>
      </c>
      <c r="H5" s="13">
        <f ca="1"/>
        <v>450.15808930245112</v>
      </c>
      <c r="I5" s="13">
        <f ca="1"/>
        <v>458.25250368281559</v>
      </c>
      <c r="J5" s="13">
        <f ca="1"/>
        <v>449.17274568071298</v>
      </c>
      <c r="K5" s="13">
        <f ca="1"/>
        <v>456.97720476788527</v>
      </c>
      <c r="L5" s="13">
        <f ca="1"/>
        <v>464.55937420474947</v>
      </c>
      <c r="M5" s="13">
        <f ca="1"/>
        <v>472.03295388973493</v>
      </c>
      <c r="N5" s="13">
        <f ca="1"/>
        <v>479.09069229383022</v>
      </c>
      <c r="O5" s="13">
        <f ca="1"/>
        <v>486.16976011046791</v>
      </c>
      <c r="P5" s="13">
        <f ca="1"/>
        <v>493.6530242231529</v>
      </c>
      <c r="Q5" s="13">
        <f ca="1"/>
        <v>501.14161724425503</v>
      </c>
      <c r="R5" s="13">
        <f ca="1"/>
        <v>527.69454385060817</v>
      </c>
      <c r="S5" s="13">
        <f ca="1"/>
        <v>555.41359628710779</v>
      </c>
      <c r="T5" s="13">
        <f ca="1"/>
        <v>563.79596484261856</v>
      </c>
      <c r="U5" s="13">
        <f ca="1"/>
        <v>592.79243997503363</v>
      </c>
      <c r="V5" s="13">
        <f ca="1"/>
        <v>622.58995285032142</v>
      </c>
      <c r="W5" s="13">
        <f ca="1"/>
        <v>631.85820103767037</v>
      </c>
      <c r="X5" s="13">
        <f ca="1"/>
        <v>641.1420599520643</v>
      </c>
      <c r="Y5" s="13">
        <f ca="1"/>
        <v>650.45413430426561</v>
      </c>
      <c r="Z5" s="13">
        <f ca="1"/>
        <v>659.97674876365636</v>
      </c>
      <c r="AA5" s="13">
        <f ca="1"/>
        <v>671.43211322757998</v>
      </c>
      <c r="AB5" s="13">
        <f ca="1"/>
        <v>684.33246196049731</v>
      </c>
      <c r="AC5" s="13">
        <f ca="1"/>
        <v>697.39948882523458</v>
      </c>
      <c r="AD5" s="13">
        <f ca="1"/>
        <v>710.61121720791562</v>
      </c>
      <c r="AE5" s="13">
        <f ca="1"/>
        <v>723.98463361975155</v>
      </c>
      <c r="AF5" s="13">
        <f ca="1"/>
        <v>737.51653790212004</v>
      </c>
      <c r="AG5" s="13">
        <f ca="1"/>
        <v>751.2173001129413</v>
      </c>
      <c r="AH5" s="13">
        <f ca="1"/>
        <v>765.09509287308902</v>
      </c>
      <c r="AI5" s="13">
        <f ca="1"/>
        <v>779.17543877554999</v>
      </c>
      <c r="AJ5" s="13">
        <f ca="1"/>
        <v>793.4586680051143</v>
      </c>
      <c r="AK5" s="13">
        <f ca="1"/>
        <v>807.926595477722</v>
      </c>
      <c r="AL5" s="56">
        <f ca="1"/>
        <v>822.57855039503193</v>
      </c>
      <c r="AM5" s="10"/>
    </row>
    <row r="6" spans="2:39" ht="15">
      <c r="B6" s="10"/>
      <c r="C6" s="16" t="s">
        <v>95</v>
      </c>
      <c r="D6" s="12" t="str">
        <f>"th " &amp; _yearDol &amp; "$"</f>
        <v>th 2015$</v>
      </c>
      <c r="E6" s="13">
        <f t="array" aca="1" ref="E6:AL6" ca="1">tlccQmPol*tShpPanStd-tlccQmBC*IF(bStdShipm,tShpPanStd,tShpPanBC)</f>
        <v>0</v>
      </c>
      <c r="F6" s="13">
        <f ca="1"/>
        <v>0</v>
      </c>
      <c r="G6" s="13">
        <f ca="1"/>
        <v>0</v>
      </c>
      <c r="H6" s="13">
        <f ca="1"/>
        <v>826.98215351090766</v>
      </c>
      <c r="I6" s="13">
        <f ca="1"/>
        <v>827.07445531438862</v>
      </c>
      <c r="J6" s="13">
        <f ca="1"/>
        <v>796.61320205189986</v>
      </c>
      <c r="K6" s="13">
        <f ca="1"/>
        <v>796.53748141073447</v>
      </c>
      <c r="L6" s="13">
        <f ca="1"/>
        <v>795.99693551973905</v>
      </c>
      <c r="M6" s="13">
        <f ca="1"/>
        <v>795.20601407799404</v>
      </c>
      <c r="N6" s="13">
        <f ca="1"/>
        <v>793.66783492191462</v>
      </c>
      <c r="O6" s="13">
        <f ca="1"/>
        <v>792.13131388205511</v>
      </c>
      <c r="P6" s="13">
        <f ca="1"/>
        <v>791.20995396353828</v>
      </c>
      <c r="Q6" s="13">
        <f ca="1"/>
        <v>790.24493031765451</v>
      </c>
      <c r="R6" s="13">
        <f ca="1"/>
        <v>818.81150943457033</v>
      </c>
      <c r="S6" s="13">
        <f ca="1"/>
        <v>848.17398434190545</v>
      </c>
      <c r="T6" s="13">
        <f ca="1"/>
        <v>847.46707412249816</v>
      </c>
      <c r="U6" s="13">
        <f ca="1"/>
        <v>877.20207247619692</v>
      </c>
      <c r="V6" s="13">
        <f ca="1"/>
        <v>907.10454056914023</v>
      </c>
      <c r="W6" s="13">
        <f ca="1"/>
        <v>906.55404598075256</v>
      </c>
      <c r="X6" s="13">
        <f ca="1"/>
        <v>905.95436061087821</v>
      </c>
      <c r="Y6" s="13">
        <f ca="1"/>
        <v>905.32482914887078</v>
      </c>
      <c r="Z6" s="13">
        <f ca="1"/>
        <v>904.91637985086709</v>
      </c>
      <c r="AA6" s="13">
        <f ca="1"/>
        <v>907.04540109026129</v>
      </c>
      <c r="AB6" s="13">
        <f ca="1"/>
        <v>910.95081751747057</v>
      </c>
      <c r="AC6" s="13">
        <f ca="1"/>
        <v>914.87723675023881</v>
      </c>
      <c r="AD6" s="13">
        <f ca="1"/>
        <v>918.79370728565846</v>
      </c>
      <c r="AE6" s="13">
        <f ca="1"/>
        <v>922.72067922385759</v>
      </c>
      <c r="AF6" s="13">
        <f ca="1"/>
        <v>926.65207280532923</v>
      </c>
      <c r="AG6" s="13">
        <f ca="1"/>
        <v>930.59894213828375</v>
      </c>
      <c r="AH6" s="13">
        <f ca="1"/>
        <v>934.56902509846259</v>
      </c>
      <c r="AI6" s="13">
        <f ca="1"/>
        <v>938.59050966177892</v>
      </c>
      <c r="AJ6" s="13">
        <f ca="1"/>
        <v>942.66007959576382</v>
      </c>
      <c r="AK6" s="13">
        <f ca="1"/>
        <v>946.75286315697304</v>
      </c>
      <c r="AL6" s="56">
        <f ca="1"/>
        <v>950.86554411292309</v>
      </c>
      <c r="AM6" s="10"/>
    </row>
    <row r="7" spans="2:39" ht="15">
      <c r="B7" s="10"/>
      <c r="C7" s="16" t="str">
        <f>zEO&amp;" Costs Savings"</f>
        <v>Operating Costs Savings</v>
      </c>
      <c r="D7" s="12" t="str">
        <f>"th " &amp; _yearDol &amp; "$"</f>
        <v>th 2015$</v>
      </c>
      <c r="E7" s="13">
        <f t="array" aca="1" ref="E7:AL7" ca="1">tlccEmBC*IF(bStdShipm,tShpPanStd,tShpPanBC)-tlccEmPol*tShpPanStd</f>
        <v>0</v>
      </c>
      <c r="F7" s="13">
        <f ca="1"/>
        <v>0</v>
      </c>
      <c r="G7" s="13">
        <f ca="1"/>
        <v>0</v>
      </c>
      <c r="H7" s="13">
        <f ca="1"/>
        <v>1277.1402428133588</v>
      </c>
      <c r="I7" s="13">
        <f ca="1"/>
        <v>1285.3269589972042</v>
      </c>
      <c r="J7" s="13">
        <f ca="1"/>
        <v>1245.7859477326128</v>
      </c>
      <c r="K7" s="13">
        <f ca="1"/>
        <v>1253.5146861786197</v>
      </c>
      <c r="L7" s="13">
        <f ca="1"/>
        <v>1260.5563097244885</v>
      </c>
      <c r="M7" s="13">
        <f ca="1"/>
        <v>1267.238967967729</v>
      </c>
      <c r="N7" s="13">
        <f ca="1"/>
        <v>1272.7585272157448</v>
      </c>
      <c r="O7" s="13">
        <f ca="1"/>
        <v>1278.301073992523</v>
      </c>
      <c r="P7" s="13">
        <f ca="1"/>
        <v>1284.8629781866912</v>
      </c>
      <c r="Q7" s="13">
        <f ca="1"/>
        <v>1291.3865475619095</v>
      </c>
      <c r="R7" s="13">
        <f ca="1"/>
        <v>1346.5060532851785</v>
      </c>
      <c r="S7" s="13">
        <f ca="1"/>
        <v>1403.5875806290132</v>
      </c>
      <c r="T7" s="13">
        <f ca="1"/>
        <v>1411.2630389651167</v>
      </c>
      <c r="U7" s="13">
        <f ca="1"/>
        <v>1469.9945124512305</v>
      </c>
      <c r="V7" s="13">
        <f ca="1"/>
        <v>1529.6944934194617</v>
      </c>
      <c r="W7" s="13">
        <f ca="1"/>
        <v>1538.4122470184229</v>
      </c>
      <c r="X7" s="13">
        <f ca="1"/>
        <v>1547.0964205629425</v>
      </c>
      <c r="Y7" s="13">
        <f ca="1"/>
        <v>1555.7789634531364</v>
      </c>
      <c r="Z7" s="13">
        <f ca="1"/>
        <v>1564.8931286145234</v>
      </c>
      <c r="AA7" s="13">
        <f ca="1"/>
        <v>1578.4775143178413</v>
      </c>
      <c r="AB7" s="13">
        <f ca="1"/>
        <v>1595.2832794779679</v>
      </c>
      <c r="AC7" s="13">
        <f ca="1"/>
        <v>1612.2767255754734</v>
      </c>
      <c r="AD7" s="13">
        <f ca="1"/>
        <v>1629.4049244935741</v>
      </c>
      <c r="AE7" s="13">
        <f ca="1"/>
        <v>1646.7053128436091</v>
      </c>
      <c r="AF7" s="13">
        <f ca="1"/>
        <v>1664.1686107074493</v>
      </c>
      <c r="AG7" s="13">
        <f ca="1"/>
        <v>1681.816242251225</v>
      </c>
      <c r="AH7" s="13">
        <f ca="1"/>
        <v>1699.6641179715516</v>
      </c>
      <c r="AI7" s="13">
        <f ca="1"/>
        <v>1717.7659484373289</v>
      </c>
      <c r="AJ7" s="13">
        <f ca="1"/>
        <v>1736.1187476008781</v>
      </c>
      <c r="AK7" s="13">
        <f ca="1"/>
        <v>1754.679458634695</v>
      </c>
      <c r="AL7" s="56">
        <f ca="1"/>
        <v>1773.444094507955</v>
      </c>
      <c r="AM7" s="10"/>
    </row>
    <row r="8" spans="2:39" ht="15">
      <c r="B8" s="10"/>
      <c r="C8" s="16" t="s">
        <v>96</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5"/>
      <c r="AM8" s="10"/>
    </row>
    <row r="9" spans="2:39" ht="15">
      <c r="B9" s="10"/>
      <c r="C9" s="45" t="str">
        <f>INDEX(_fuel,1)</f>
        <v>Electricity</v>
      </c>
      <c r="D9" s="18" t="s">
        <v>98</v>
      </c>
      <c r="E9" s="49">
        <f t="array" aca="1" ref="E9:AL9" ca="1">tlccFmElecBC*IF(bStdShipm,tShpPanStd,tShpPanBC)-tlccFmElecPol*tShpPanStd</f>
        <v>0</v>
      </c>
      <c r="F9" s="49">
        <f ca="1"/>
        <v>0</v>
      </c>
      <c r="G9" s="49">
        <f ca="1"/>
        <v>0</v>
      </c>
      <c r="H9" s="49">
        <f ca="1"/>
        <v>227.23142639212892</v>
      </c>
      <c r="I9" s="49">
        <f ca="1"/>
        <v>225.8743099355197</v>
      </c>
      <c r="J9" s="49">
        <f ca="1"/>
        <v>216.51616916510466</v>
      </c>
      <c r="K9" s="49">
        <f ca="1"/>
        <v>215.62959663763831</v>
      </c>
      <c r="L9" s="49">
        <f ca="1"/>
        <v>214.61105440505344</v>
      </c>
      <c r="M9" s="49">
        <f ca="1"/>
        <v>213.69493474149567</v>
      </c>
      <c r="N9" s="49">
        <f ca="1"/>
        <v>212.79088381413385</v>
      </c>
      <c r="O9" s="49">
        <f ca="1"/>
        <v>212.01574050840645</v>
      </c>
      <c r="P9" s="49">
        <f ca="1"/>
        <v>211.4605702550507</v>
      </c>
      <c r="Q9" s="49">
        <f ca="1"/>
        <v>210.97200161358342</v>
      </c>
      <c r="R9" s="49">
        <f ca="1"/>
        <v>218.41337584912253</v>
      </c>
      <c r="S9" s="49">
        <f ca="1"/>
        <v>226.20911670554415</v>
      </c>
      <c r="T9" s="49">
        <f ca="1"/>
        <v>226.05321587183062</v>
      </c>
      <c r="U9" s="49">
        <f ca="1"/>
        <v>234.04175130737349</v>
      </c>
      <c r="V9" s="49">
        <f ca="1"/>
        <v>242.11021276056272</v>
      </c>
      <c r="W9" s="49">
        <f ca="1"/>
        <v>242.05028610348381</v>
      </c>
      <c r="X9" s="49">
        <f ca="1"/>
        <v>241.96238263001578</v>
      </c>
      <c r="Y9" s="49">
        <f ca="1"/>
        <v>241.84251542958737</v>
      </c>
      <c r="Z9" s="49">
        <f ca="1"/>
        <v>241.76656793660368</v>
      </c>
      <c r="AA9" s="49">
        <f ca="1"/>
        <v>242.33537867931591</v>
      </c>
      <c r="AB9" s="49">
        <f ca="1"/>
        <v>243.3787890396452</v>
      </c>
      <c r="AC9" s="49">
        <f ca="1"/>
        <v>244.42781072090656</v>
      </c>
      <c r="AD9" s="49">
        <f ca="1"/>
        <v>245.47417440804202</v>
      </c>
      <c r="AE9" s="49">
        <f ca="1"/>
        <v>246.52334375564169</v>
      </c>
      <c r="AF9" s="49">
        <f ca="1"/>
        <v>247.57369443396601</v>
      </c>
      <c r="AG9" s="49">
        <f ca="1"/>
        <v>248.62817976981387</v>
      </c>
      <c r="AH9" s="49">
        <f ca="1"/>
        <v>249.68886709195795</v>
      </c>
      <c r="AI9" s="49">
        <f ca="1"/>
        <v>250.76328738374286</v>
      </c>
      <c r="AJ9" s="49">
        <f ca="1"/>
        <v>251.8505546471315</v>
      </c>
      <c r="AK9" s="49">
        <f ca="1"/>
        <v>252.94402389680909</v>
      </c>
      <c r="AL9" s="50">
        <f ca="1"/>
        <v>254.04280913474213</v>
      </c>
      <c r="AM9" s="10"/>
    </row>
    <row r="10" spans="2:39" ht="15">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2:39" ht="15">
      <c r="B11" s="10"/>
      <c r="C11" s="22" t="s">
        <v>93</v>
      </c>
      <c r="D11" s="23"/>
      <c r="E11" s="24">
        <f t="array" ref="E11:AL11">_yS</f>
        <v>2019</v>
      </c>
      <c r="F11" s="24">
        <v>2020</v>
      </c>
      <c r="G11" s="24">
        <v>2021</v>
      </c>
      <c r="H11" s="24">
        <v>2022</v>
      </c>
      <c r="I11" s="24">
        <v>2023</v>
      </c>
      <c r="J11" s="24">
        <v>2024</v>
      </c>
      <c r="K11" s="24">
        <v>2025</v>
      </c>
      <c r="L11" s="24">
        <v>2026</v>
      </c>
      <c r="M11" s="24">
        <v>2027</v>
      </c>
      <c r="N11" s="24">
        <v>2028</v>
      </c>
      <c r="O11" s="24">
        <v>2029</v>
      </c>
      <c r="P11" s="24">
        <v>2030</v>
      </c>
      <c r="Q11" s="24">
        <v>2031</v>
      </c>
      <c r="R11" s="24">
        <v>2032</v>
      </c>
      <c r="S11" s="24">
        <v>2033</v>
      </c>
      <c r="T11" s="24">
        <v>2034</v>
      </c>
      <c r="U11" s="24">
        <v>2035</v>
      </c>
      <c r="V11" s="24">
        <v>2036</v>
      </c>
      <c r="W11" s="24">
        <v>2037</v>
      </c>
      <c r="X11" s="24">
        <v>2038</v>
      </c>
      <c r="Y11" s="24">
        <v>2039</v>
      </c>
      <c r="Z11" s="24">
        <v>2040</v>
      </c>
      <c r="AA11" s="24">
        <v>2041</v>
      </c>
      <c r="AB11" s="24">
        <v>2042</v>
      </c>
      <c r="AC11" s="24">
        <v>2043</v>
      </c>
      <c r="AD11" s="24">
        <v>2044</v>
      </c>
      <c r="AE11" s="24">
        <v>2045</v>
      </c>
      <c r="AF11" s="24">
        <v>2046</v>
      </c>
      <c r="AG11" s="24">
        <v>2047</v>
      </c>
      <c r="AH11" s="24">
        <v>2048</v>
      </c>
      <c r="AI11" s="24">
        <v>2049</v>
      </c>
      <c r="AJ11" s="24">
        <v>2050</v>
      </c>
      <c r="AK11" s="24">
        <v>2051</v>
      </c>
      <c r="AL11" s="25">
        <v>2052</v>
      </c>
      <c r="AM11" s="10"/>
    </row>
    <row r="12" spans="2:39" ht="15">
      <c r="B12" s="10"/>
      <c r="C12" s="57" t="str">
        <f ca="1">"Stds Case (CSL " &amp; stdCSL &amp; "): " &amp; INDEX(_doName,2,stdCSL+1)</f>
        <v>Stds Case (CSL 5): EL 5</v>
      </c>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3"/>
      <c r="AM12" s="10"/>
    </row>
    <row r="13" spans="2:39" ht="15">
      <c r="B13" s="10"/>
      <c r="C13" s="16" t="s">
        <v>94</v>
      </c>
      <c r="D13" s="12" t="str">
        <f>_yearDol &amp; "$"</f>
        <v>2015$</v>
      </c>
      <c r="E13" s="13">
        <f t="array" aca="1" ref="E13:AL13" ca="1">tecsU-tiecU</f>
        <v>0</v>
      </c>
      <c r="F13" s="13">
        <f ca="1"/>
        <v>0</v>
      </c>
      <c r="G13" s="13">
        <f ca="1"/>
        <v>0</v>
      </c>
      <c r="H13" s="13">
        <f ca="1"/>
        <v>11.446113374638344</v>
      </c>
      <c r="I13" s="13">
        <f ca="1"/>
        <v>11.650628676200768</v>
      </c>
      <c r="J13" s="13">
        <f ca="1"/>
        <v>11.856459420869442</v>
      </c>
      <c r="K13" s="13">
        <f ca="1"/>
        <v>12.063614269700565</v>
      </c>
      <c r="L13" s="13">
        <f ca="1"/>
        <v>12.27210194220811</v>
      </c>
      <c r="M13" s="13">
        <f ca="1"/>
        <v>12.481931216763542</v>
      </c>
      <c r="N13" s="13">
        <f ca="1"/>
        <v>12.693110931004639</v>
      </c>
      <c r="O13" s="13">
        <f ca="1"/>
        <v>12.90564998224886</v>
      </c>
      <c r="P13" s="13">
        <f ca="1"/>
        <v>13.119557327903522</v>
      </c>
      <c r="Q13" s="13">
        <f ca="1"/>
        <v>13.33484198588053</v>
      </c>
      <c r="R13" s="13">
        <f ca="1"/>
        <v>13.551513035017933</v>
      </c>
      <c r="S13" s="13">
        <f ca="1"/>
        <v>13.769579615505563</v>
      </c>
      <c r="T13" s="13">
        <f ca="1"/>
        <v>13.98905092929931</v>
      </c>
      <c r="U13" s="13">
        <f ca="1"/>
        <v>14.209936240559045</v>
      </c>
      <c r="V13" s="13">
        <f ca="1"/>
        <v>14.432244876077448</v>
      </c>
      <c r="W13" s="13">
        <f ca="1"/>
        <v>14.655986225711104</v>
      </c>
      <c r="X13" s="13">
        <f ca="1"/>
        <v>14.881169742820703</v>
      </c>
      <c r="Y13" s="13">
        <f ca="1"/>
        <v>15.107804944708505</v>
      </c>
      <c r="Z13" s="13">
        <f ca="1"/>
        <v>15.335901413065812</v>
      </c>
      <c r="AA13" s="13">
        <f ca="1"/>
        <v>15.565468794416347</v>
      </c>
      <c r="AB13" s="13">
        <f ca="1"/>
        <v>15.796516800565541</v>
      </c>
      <c r="AC13" s="13">
        <f ca="1"/>
        <v>16.02905520905847</v>
      </c>
      <c r="AD13" s="13">
        <f ca="1"/>
        <v>16.263093863629138</v>
      </c>
      <c r="AE13" s="13">
        <f ca="1"/>
        <v>16.498642674664325</v>
      </c>
      <c r="AF13" s="13">
        <f ca="1"/>
        <v>16.735711619664698</v>
      </c>
      <c r="AG13" s="13">
        <f ca="1"/>
        <v>16.97431074371184</v>
      </c>
      <c r="AH13" s="13">
        <f ca="1"/>
        <v>17.214450159937996</v>
      </c>
      <c r="AI13" s="13">
        <f ca="1"/>
        <v>17.456140049995383</v>
      </c>
      <c r="AJ13" s="13">
        <f ca="1"/>
        <v>17.69939066453594</v>
      </c>
      <c r="AK13" s="13">
        <f ca="1"/>
        <v>17.944212323686997</v>
      </c>
      <c r="AL13" s="56">
        <f ca="1"/>
        <v>18.190615417540585</v>
      </c>
      <c r="AM13" s="10"/>
    </row>
    <row r="14" spans="2:39" ht="15">
      <c r="B14" s="10"/>
      <c r="C14" s="16" t="s">
        <v>95</v>
      </c>
      <c r="D14" s="12" t="str">
        <f>_yearDol &amp; "$"</f>
        <v>2015$</v>
      </c>
      <c r="E14" s="13">
        <f t="array" ref="E14:AL14">tlccQmPol-tlccQmBC</f>
        <v>0</v>
      </c>
      <c r="F14" s="13">
        <v>0</v>
      </c>
      <c r="G14" s="13">
        <v>0</v>
      </c>
      <c r="H14" s="13">
        <f ca="1"/>
        <v>21.02757167499999</v>
      </c>
      <c r="I14" s="13">
        <f ca="1"/>
        <v>21.02757167499999</v>
      </c>
      <c r="J14" s="13">
        <f ca="1"/>
        <v>21.02757167499999</v>
      </c>
      <c r="K14" s="13">
        <f ca="1"/>
        <v>21.02757167499999</v>
      </c>
      <c r="L14" s="13">
        <f ca="1"/>
        <v>21.02757167499999</v>
      </c>
      <c r="M14" s="13">
        <f ca="1"/>
        <v>21.02757167499999</v>
      </c>
      <c r="N14" s="13">
        <f ca="1"/>
        <v>21.02757167499999</v>
      </c>
      <c r="O14" s="13">
        <f ca="1"/>
        <v>21.02757167499999</v>
      </c>
      <c r="P14" s="13">
        <f ca="1"/>
        <v>21.02757167499999</v>
      </c>
      <c r="Q14" s="13">
        <f ca="1"/>
        <v>21.02757167499999</v>
      </c>
      <c r="R14" s="13">
        <f ca="1"/>
        <v>21.02757167499999</v>
      </c>
      <c r="S14" s="13">
        <f ca="1"/>
        <v>21.02757167499999</v>
      </c>
      <c r="T14" s="13">
        <f ca="1"/>
        <v>21.02757167499999</v>
      </c>
      <c r="U14" s="13">
        <f ca="1"/>
        <v>21.02757167499999</v>
      </c>
      <c r="V14" s="13">
        <f ca="1"/>
        <v>21.02757167499999</v>
      </c>
      <c r="W14" s="13">
        <f ca="1"/>
        <v>21.02757167499999</v>
      </c>
      <c r="X14" s="13">
        <f ca="1"/>
        <v>21.02757167499999</v>
      </c>
      <c r="Y14" s="13">
        <f ca="1"/>
        <v>21.02757167499999</v>
      </c>
      <c r="Z14" s="13">
        <f ca="1"/>
        <v>21.02757167499999</v>
      </c>
      <c r="AA14" s="13">
        <f ca="1"/>
        <v>21.02757167499999</v>
      </c>
      <c r="AB14" s="13">
        <f ca="1"/>
        <v>21.02757167499999</v>
      </c>
      <c r="AC14" s="13">
        <f ca="1"/>
        <v>21.02757167499999</v>
      </c>
      <c r="AD14" s="13">
        <f ca="1"/>
        <v>21.02757167499999</v>
      </c>
      <c r="AE14" s="13">
        <f ca="1"/>
        <v>21.02757167499999</v>
      </c>
      <c r="AF14" s="13">
        <f ca="1"/>
        <v>21.02757167499999</v>
      </c>
      <c r="AG14" s="13">
        <f ca="1"/>
        <v>21.02757167499999</v>
      </c>
      <c r="AH14" s="13">
        <f ca="1"/>
        <v>21.02757167499999</v>
      </c>
      <c r="AI14" s="13">
        <f ca="1"/>
        <v>21.02757167499999</v>
      </c>
      <c r="AJ14" s="13">
        <f ca="1"/>
        <v>21.02757167499999</v>
      </c>
      <c r="AK14" s="13">
        <f ca="1"/>
        <v>21.02757167499999</v>
      </c>
      <c r="AL14" s="56">
        <f ca="1"/>
        <v>21.02757167499999</v>
      </c>
      <c r="AM14" s="10"/>
    </row>
    <row r="15" spans="2:39" ht="15">
      <c r="B15" s="10"/>
      <c r="C15" s="16" t="str">
        <f>zEO&amp;" Costs Savings"</f>
        <v>Operating Costs Savings</v>
      </c>
      <c r="D15" s="12" t="str">
        <f>_yearDol &amp; "$"</f>
        <v>2015$</v>
      </c>
      <c r="E15" s="13">
        <f t="array" aca="1" ref="E15:AL15" ca="1">tlccEmBC-tlccEmPol</f>
        <v>0</v>
      </c>
      <c r="F15" s="13">
        <f ca="1"/>
        <v>0</v>
      </c>
      <c r="G15" s="13">
        <f ca="1"/>
        <v>0</v>
      </c>
      <c r="H15" s="13">
        <f ca="1"/>
        <v>32.473685049638334</v>
      </c>
      <c r="I15" s="13">
        <f ca="1"/>
        <v>32.678200351200758</v>
      </c>
      <c r="J15" s="13">
        <f ca="1"/>
        <v>32.884031095869432</v>
      </c>
      <c r="K15" s="13">
        <f ca="1"/>
        <v>33.091185944700555</v>
      </c>
      <c r="L15" s="13">
        <f ca="1"/>
        <v>33.2996736172081</v>
      </c>
      <c r="M15" s="13">
        <f ca="1"/>
        <v>33.509502891763532</v>
      </c>
      <c r="N15" s="13">
        <f ca="1"/>
        <v>33.72068260600463</v>
      </c>
      <c r="O15" s="13">
        <f ca="1"/>
        <v>33.933221657248851</v>
      </c>
      <c r="P15" s="13">
        <f ca="1"/>
        <v>34.147129002903512</v>
      </c>
      <c r="Q15" s="13">
        <f ca="1"/>
        <v>34.36241366088052</v>
      </c>
      <c r="R15" s="13">
        <f ca="1"/>
        <v>34.579084710017923</v>
      </c>
      <c r="S15" s="13">
        <f ca="1"/>
        <v>34.797151290505553</v>
      </c>
      <c r="T15" s="13">
        <f ca="1"/>
        <v>35.0166226042993</v>
      </c>
      <c r="U15" s="13">
        <f ca="1"/>
        <v>35.237507915559036</v>
      </c>
      <c r="V15" s="13">
        <f ca="1"/>
        <v>35.459816551077438</v>
      </c>
      <c r="W15" s="13">
        <f ca="1"/>
        <v>35.683557900711094</v>
      </c>
      <c r="X15" s="13">
        <f ca="1"/>
        <v>35.908741417820693</v>
      </c>
      <c r="Y15" s="13">
        <f ca="1"/>
        <v>36.135376619708495</v>
      </c>
      <c r="Z15" s="13">
        <f ca="1"/>
        <v>36.363473088065803</v>
      </c>
      <c r="AA15" s="13">
        <f ca="1"/>
        <v>36.593040469416337</v>
      </c>
      <c r="AB15" s="13">
        <f ca="1"/>
        <v>36.824088475565532</v>
      </c>
      <c r="AC15" s="13">
        <f ca="1"/>
        <v>37.05662688405846</v>
      </c>
      <c r="AD15" s="13">
        <f ca="1"/>
        <v>37.290665538629128</v>
      </c>
      <c r="AE15" s="13">
        <f ca="1"/>
        <v>37.526214349664315</v>
      </c>
      <c r="AF15" s="13">
        <f ca="1"/>
        <v>37.763283294664689</v>
      </c>
      <c r="AG15" s="13">
        <f ca="1"/>
        <v>38.00188241871183</v>
      </c>
      <c r="AH15" s="13">
        <f ca="1"/>
        <v>38.242021834937987</v>
      </c>
      <c r="AI15" s="13">
        <f ca="1"/>
        <v>38.483711724995374</v>
      </c>
      <c r="AJ15" s="13">
        <f ca="1"/>
        <v>38.72696233953593</v>
      </c>
      <c r="AK15" s="13">
        <f ca="1"/>
        <v>38.971783998686988</v>
      </c>
      <c r="AL15" s="56">
        <f ca="1"/>
        <v>39.218187092540575</v>
      </c>
      <c r="AM15" s="10"/>
    </row>
    <row r="16" spans="2:39" ht="15">
      <c r="B16" s="10"/>
      <c r="C16" s="16" t="s">
        <v>96</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5"/>
      <c r="AM16" s="10"/>
    </row>
    <row r="17" spans="2:39" ht="15">
      <c r="B17" s="10"/>
      <c r="C17" s="45" t="str">
        <f>INDEX(_fuel,1)</f>
        <v>Electricity</v>
      </c>
      <c r="D17" s="18" t="s">
        <v>83</v>
      </c>
      <c r="E17" s="49">
        <f t="array" aca="1" ref="E17:AL17" ca="1">tlccFmElecBC-tlccFmElecPol</f>
        <v>0</v>
      </c>
      <c r="F17" s="49">
        <f ca="1"/>
        <v>0</v>
      </c>
      <c r="G17" s="49">
        <f ca="1"/>
        <v>0</v>
      </c>
      <c r="H17" s="49">
        <f ca="1"/>
        <v>5.7777850283561065</v>
      </c>
      <c r="I17" s="49">
        <f ca="1"/>
        <v>5.7426368462861319</v>
      </c>
      <c r="J17" s="49">
        <f ca="1"/>
        <v>5.7152068961305531</v>
      </c>
      <c r="K17" s="49">
        <f ca="1"/>
        <v>5.692345814686405</v>
      </c>
      <c r="L17" s="49">
        <f ca="1"/>
        <v>5.6693049022895821</v>
      </c>
      <c r="M17" s="49">
        <f ca="1"/>
        <v>5.650718778920691</v>
      </c>
      <c r="N17" s="49">
        <f ca="1"/>
        <v>5.6377181540040056</v>
      </c>
      <c r="O17" s="49">
        <f ca="1"/>
        <v>5.6280771907883036</v>
      </c>
      <c r="P17" s="49">
        <f ca="1"/>
        <v>5.6198765892665392</v>
      </c>
      <c r="Q17" s="49">
        <f ca="1"/>
        <v>5.6137391271395245</v>
      </c>
      <c r="R17" s="49">
        <f ca="1"/>
        <v>5.6089867601124297</v>
      </c>
      <c r="S17" s="49">
        <f ca="1"/>
        <v>5.6080810103541125</v>
      </c>
      <c r="T17" s="49">
        <f ca="1"/>
        <v>5.6088907100383949</v>
      </c>
      <c r="U17" s="49">
        <f ca="1"/>
        <v>5.6102577216515783</v>
      </c>
      <c r="V17" s="49">
        <f ca="1"/>
        <v>5.612351856245823</v>
      </c>
      <c r="W17" s="49">
        <f ca="1"/>
        <v>5.6143698906433883</v>
      </c>
      <c r="X17" s="49">
        <f ca="1"/>
        <v>5.616045978271643</v>
      </c>
      <c r="Y17" s="49">
        <f ca="1"/>
        <v>5.6171670802831386</v>
      </c>
      <c r="Z17" s="49">
        <f ca="1"/>
        <v>5.6179376891636821</v>
      </c>
      <c r="AA17" s="49">
        <f ca="1"/>
        <v>5.6179376891636821</v>
      </c>
      <c r="AB17" s="49">
        <f ca="1"/>
        <v>5.6179376891636821</v>
      </c>
      <c r="AC17" s="49">
        <f ca="1"/>
        <v>5.6179376891636821</v>
      </c>
      <c r="AD17" s="49">
        <f ca="1"/>
        <v>5.6179376891636821</v>
      </c>
      <c r="AE17" s="49">
        <f ca="1"/>
        <v>5.6179376891636821</v>
      </c>
      <c r="AF17" s="49">
        <f ca="1"/>
        <v>5.6179376891636821</v>
      </c>
      <c r="AG17" s="49">
        <f ca="1"/>
        <v>5.6179376891636821</v>
      </c>
      <c r="AH17" s="49">
        <f ca="1"/>
        <v>5.6179376891636821</v>
      </c>
      <c r="AI17" s="49">
        <f ca="1"/>
        <v>5.6179376891636821</v>
      </c>
      <c r="AJ17" s="49">
        <f ca="1"/>
        <v>5.6179376891636821</v>
      </c>
      <c r="AK17" s="49">
        <f ca="1"/>
        <v>5.6179376891636821</v>
      </c>
      <c r="AL17" s="50">
        <f ca="1"/>
        <v>5.6179376891636821</v>
      </c>
      <c r="AM17" s="10"/>
    </row>
    <row r="18" spans="2:39" ht="15">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2:39" ht="15">
      <c r="B19" s="10"/>
      <c r="C19" s="22" t="s">
        <v>92</v>
      </c>
      <c r="D19" s="23"/>
      <c r="E19" s="24">
        <f t="array" ref="E19:AL19">_yS</f>
        <v>2019</v>
      </c>
      <c r="F19" s="24">
        <v>2020</v>
      </c>
      <c r="G19" s="24">
        <v>2021</v>
      </c>
      <c r="H19" s="24">
        <v>2022</v>
      </c>
      <c r="I19" s="24">
        <v>2023</v>
      </c>
      <c r="J19" s="24">
        <v>2024</v>
      </c>
      <c r="K19" s="24">
        <v>2025</v>
      </c>
      <c r="L19" s="24">
        <v>2026</v>
      </c>
      <c r="M19" s="24">
        <v>2027</v>
      </c>
      <c r="N19" s="24">
        <v>2028</v>
      </c>
      <c r="O19" s="24">
        <v>2029</v>
      </c>
      <c r="P19" s="24">
        <v>2030</v>
      </c>
      <c r="Q19" s="24">
        <v>2031</v>
      </c>
      <c r="R19" s="24">
        <v>2032</v>
      </c>
      <c r="S19" s="24">
        <v>2033</v>
      </c>
      <c r="T19" s="24">
        <v>2034</v>
      </c>
      <c r="U19" s="24">
        <v>2035</v>
      </c>
      <c r="V19" s="24">
        <v>2036</v>
      </c>
      <c r="W19" s="24">
        <v>2037</v>
      </c>
      <c r="X19" s="24">
        <v>2038</v>
      </c>
      <c r="Y19" s="24">
        <v>2039</v>
      </c>
      <c r="Z19" s="24">
        <v>2040</v>
      </c>
      <c r="AA19" s="24">
        <v>2041</v>
      </c>
      <c r="AB19" s="24">
        <v>2042</v>
      </c>
      <c r="AC19" s="24">
        <v>2043</v>
      </c>
      <c r="AD19" s="24">
        <v>2044</v>
      </c>
      <c r="AE19" s="24">
        <v>2045</v>
      </c>
      <c r="AF19" s="24">
        <v>2046</v>
      </c>
      <c r="AG19" s="24">
        <v>2047</v>
      </c>
      <c r="AH19" s="24">
        <v>2048</v>
      </c>
      <c r="AI19" s="24">
        <v>2049</v>
      </c>
      <c r="AJ19" s="24">
        <v>2050</v>
      </c>
      <c r="AK19" s="24">
        <v>2051</v>
      </c>
      <c r="AL19" s="25">
        <v>2052</v>
      </c>
      <c r="AM19" s="10"/>
    </row>
    <row r="20" spans="2:39" ht="15">
      <c r="B20" s="10"/>
      <c r="C20" s="27" t="str">
        <f>"No-Stds Case (CSL 0): " &amp; INDEX(_doName,2,1)</f>
        <v>No-Stds Case (CSL 0): EL 1</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5"/>
      <c r="AM20" s="10"/>
    </row>
    <row r="21" spans="2:39" ht="15">
      <c r="B21" s="10"/>
      <c r="C21" s="16" t="s">
        <v>69</v>
      </c>
      <c r="D21" s="12" t="str">
        <f>_yearDol &amp; "$"</f>
        <v>2015$</v>
      </c>
      <c r="E21" s="13">
        <f>SUMPRODUCT(INDEX(bcEff,,1),INDEX(tlccQubc,,1))</f>
        <v>1791.342784105</v>
      </c>
      <c r="F21" s="13">
        <f>SUMPRODUCT(INDEX(bcEff,,2),INDEX(tlccQubc,,2))</f>
        <v>1791.342784105</v>
      </c>
      <c r="G21" s="13">
        <f>SUMPRODUCT(INDEX(bcEff,,3),INDEX(tlccQubc,,3))</f>
        <v>1791.342784105</v>
      </c>
      <c r="H21" s="13">
        <f>SUMPRODUCT(INDEX(bcEff,,4),INDEX(tlccQubc,,4))</f>
        <v>1791.342784105</v>
      </c>
      <c r="I21" s="13">
        <f>SUMPRODUCT(INDEX(bcEff,,5),INDEX(tlccQubc,,5))</f>
        <v>1791.342784105</v>
      </c>
      <c r="J21" s="13">
        <f>SUMPRODUCT(INDEX(bcEff,,6),INDEX(tlccQubc,,6))</f>
        <v>1791.342784105</v>
      </c>
      <c r="K21" s="13">
        <f>SUMPRODUCT(INDEX(bcEff,,7),INDEX(tlccQubc,,7))</f>
        <v>1791.342784105</v>
      </c>
      <c r="L21" s="13">
        <f>SUMPRODUCT(INDEX(bcEff,,8),INDEX(tlccQubc,,8))</f>
        <v>1791.342784105</v>
      </c>
      <c r="M21" s="13">
        <f>SUMPRODUCT(INDEX(bcEff,,9),INDEX(tlccQubc,,9))</f>
        <v>1791.342784105</v>
      </c>
      <c r="N21" s="13">
        <f>SUMPRODUCT(INDEX(bcEff,,10),INDEX(tlccQubc,,10))</f>
        <v>1791.342784105</v>
      </c>
      <c r="O21" s="13">
        <f>SUMPRODUCT(INDEX(bcEff,,11),INDEX(tlccQubc,,11))</f>
        <v>1791.342784105</v>
      </c>
      <c r="P21" s="13">
        <f>SUMPRODUCT(INDEX(bcEff,,12),INDEX(tlccQubc,,12))</f>
        <v>1791.342784105</v>
      </c>
      <c r="Q21" s="13">
        <f>SUMPRODUCT(INDEX(bcEff,,13),INDEX(tlccQubc,,13))</f>
        <v>1791.342784105</v>
      </c>
      <c r="R21" s="13">
        <f>SUMPRODUCT(INDEX(bcEff,,14),INDEX(tlccQubc,,14))</f>
        <v>1791.342784105</v>
      </c>
      <c r="S21" s="13">
        <f>SUMPRODUCT(INDEX(bcEff,,15),INDEX(tlccQubc,,15))</f>
        <v>1791.342784105</v>
      </c>
      <c r="T21" s="13">
        <f>SUMPRODUCT(INDEX(bcEff,,16),INDEX(tlccQubc,,16))</f>
        <v>1791.342784105</v>
      </c>
      <c r="U21" s="13">
        <f>SUMPRODUCT(INDEX(bcEff,,17),INDEX(tlccQubc,,17))</f>
        <v>1791.342784105</v>
      </c>
      <c r="V21" s="13">
        <f>SUMPRODUCT(INDEX(bcEff,,18),INDEX(tlccQubc,,18))</f>
        <v>1791.342784105</v>
      </c>
      <c r="W21" s="13">
        <f>SUMPRODUCT(INDEX(bcEff,,19),INDEX(tlccQubc,,19))</f>
        <v>1791.342784105</v>
      </c>
      <c r="X21" s="13">
        <f>SUMPRODUCT(INDEX(bcEff,,20),INDEX(tlccQubc,,20))</f>
        <v>1791.342784105</v>
      </c>
      <c r="Y21" s="13">
        <f>SUMPRODUCT(INDEX(bcEff,,21),INDEX(tlccQubc,,21))</f>
        <v>1791.342784105</v>
      </c>
      <c r="Z21" s="13">
        <f>SUMPRODUCT(INDEX(bcEff,,22),INDEX(tlccQubc,,22))</f>
        <v>1791.342784105</v>
      </c>
      <c r="AA21" s="13">
        <f>SUMPRODUCT(INDEX(bcEff,,23),INDEX(tlccQubc,,23))</f>
        <v>1791.342784105</v>
      </c>
      <c r="AB21" s="13">
        <f>SUMPRODUCT(INDEX(bcEff,,24),INDEX(tlccQubc,,24))</f>
        <v>1791.342784105</v>
      </c>
      <c r="AC21" s="13">
        <f>SUMPRODUCT(INDEX(bcEff,,25),INDEX(tlccQubc,,25))</f>
        <v>1791.342784105</v>
      </c>
      <c r="AD21" s="13">
        <f>SUMPRODUCT(INDEX(bcEff,,26),INDEX(tlccQubc,,26))</f>
        <v>1791.342784105</v>
      </c>
      <c r="AE21" s="13">
        <f>SUMPRODUCT(INDEX(bcEff,,27),INDEX(tlccQubc,,27))</f>
        <v>1791.342784105</v>
      </c>
      <c r="AF21" s="13">
        <f>SUMPRODUCT(INDEX(bcEff,,28),INDEX(tlccQubc,,28))</f>
        <v>1791.342784105</v>
      </c>
      <c r="AG21" s="13">
        <f>SUMPRODUCT(INDEX(bcEff,,29),INDEX(tlccQubc,,29))</f>
        <v>1791.342784105</v>
      </c>
      <c r="AH21" s="13">
        <f>SUMPRODUCT(INDEX(bcEff,,30),INDEX(tlccQubc,,30))</f>
        <v>1791.342784105</v>
      </c>
      <c r="AI21" s="13">
        <f>SUMPRODUCT(INDEX(bcEff,,31),INDEX(tlccQubc,,31))</f>
        <v>1791.342784105</v>
      </c>
      <c r="AJ21" s="13">
        <f>SUMPRODUCT(INDEX(bcEff,,32),INDEX(tlccQubc,,32))</f>
        <v>1791.342784105</v>
      </c>
      <c r="AK21" s="13">
        <f>SUMPRODUCT(INDEX(bcEff,,33),INDEX(tlccQubc,,33))</f>
        <v>1791.342784105</v>
      </c>
      <c r="AL21" s="56">
        <f>SUMPRODUCT(INDEX(bcEff,,34),INDEX(tlccQubc,,34))</f>
        <v>1791.342784105</v>
      </c>
      <c r="AM21" s="10"/>
    </row>
    <row r="22" spans="2:39" ht="15">
      <c r="B22" s="10"/>
      <c r="C22" s="16" t="str">
        <f>zEO&amp;" Costs"</f>
        <v>Operating Costs</v>
      </c>
      <c r="D22" s="12" t="str">
        <f>_yearDol &amp; "$"</f>
        <v>2015$</v>
      </c>
      <c r="E22" s="13">
        <f ca="1">SUMPRODUCT(INDEX(bcEff,,1),INDEX(tlccEubc,,1))</f>
        <v>2922.0772090774503</v>
      </c>
      <c r="F22" s="13">
        <f ca="1">SUMPRODUCT(INDEX(bcEff,,2),INDEX(tlccEubc,,2))</f>
        <v>2946.165812423932</v>
      </c>
      <c r="G22" s="13">
        <f ca="1">SUMPRODUCT(INDEX(bcEff,,3),INDEX(tlccEubc,,3))</f>
        <v>2969.4846302761462</v>
      </c>
      <c r="H22" s="13">
        <f ca="1">SUMPRODUCT(INDEX(bcEff,,4),INDEX(tlccEubc,,4))</f>
        <v>2990.3861119206522</v>
      </c>
      <c r="I22" s="13">
        <f ca="1">SUMPRODUCT(INDEX(bcEff,,5),INDEX(tlccEubc,,5))</f>
        <v>3009.2191983576186</v>
      </c>
      <c r="J22" s="13">
        <f ca="1">SUMPRODUCT(INDEX(bcEff,,6),INDEX(tlccEubc,,6))</f>
        <v>3028.173419269765</v>
      </c>
      <c r="K22" s="13">
        <f ca="1">SUMPRODUCT(INDEX(bcEff,,7),INDEX(tlccEubc,,7))</f>
        <v>3047.2495722230315</v>
      </c>
      <c r="L22" s="13">
        <f ca="1">SUMPRODUCT(INDEX(bcEff,,8),INDEX(tlccEubc,,8))</f>
        <v>3066.4484601662853</v>
      </c>
      <c r="M22" s="13">
        <f ca="1">SUMPRODUCT(INDEX(bcEff,,9),INDEX(tlccEubc,,9))</f>
        <v>3085.7708914685636</v>
      </c>
      <c r="N22" s="13">
        <f ca="1">SUMPRODUCT(INDEX(bcEff,,10),INDEX(tlccEubc,,10))</f>
        <v>3105.2176799565987</v>
      </c>
      <c r="O22" s="13">
        <f ca="1">SUMPRODUCT(INDEX(bcEff,,11),INDEX(tlccEubc,,11))</f>
        <v>3124.7896449525883</v>
      </c>
      <c r="P22" s="13">
        <f ca="1">SUMPRODUCT(INDEX(bcEff,,12),INDEX(tlccEubc,,12))</f>
        <v>3144.4876113122396</v>
      </c>
      <c r="Q22" s="13">
        <f ca="1">SUMPRODUCT(INDEX(bcEff,,13),INDEX(tlccEubc,,13))</f>
        <v>3164.3124094631021</v>
      </c>
      <c r="R22" s="13">
        <f ca="1">SUMPRODUCT(INDEX(bcEff,,14),INDEX(tlccEubc,,14))</f>
        <v>3184.2648754431339</v>
      </c>
      <c r="S22" s="13">
        <f ca="1">SUMPRODUCT(INDEX(bcEff,,15),INDEX(tlccEubc,,15))</f>
        <v>3204.3458509395814</v>
      </c>
      <c r="T22" s="13">
        <f ca="1">SUMPRODUCT(INDEX(bcEff,,16),INDEX(tlccEubc,,16))</f>
        <v>3224.5561833281072</v>
      </c>
      <c r="U22" s="13">
        <f ca="1">SUMPRODUCT(INDEX(bcEff,,17),INDEX(tlccEubc,,17))</f>
        <v>3244.8967257122113</v>
      </c>
      <c r="V22" s="13">
        <f ca="1">SUMPRODUCT(INDEX(bcEff,,18),INDEX(tlccEubc,,18))</f>
        <v>3265.3683369629248</v>
      </c>
      <c r="W22" s="13">
        <f ca="1">SUMPRODUCT(INDEX(bcEff,,19),INDEX(tlccEubc,,19))</f>
        <v>3285.9718817587818</v>
      </c>
      <c r="X22" s="13">
        <f ca="1">SUMPRODUCT(INDEX(bcEff,,20),INDEX(tlccEubc,,20))</f>
        <v>3306.7082306260877</v>
      </c>
      <c r="Y22" s="13">
        <f ca="1">SUMPRODUCT(INDEX(bcEff,,21),INDEX(tlccEubc,,21))</f>
        <v>3327.5782599794625</v>
      </c>
      <c r="Z22" s="13">
        <f ca="1">SUMPRODUCT(INDEX(bcEff,,22),INDEX(tlccEubc,,22))</f>
        <v>3348.5828521626754</v>
      </c>
      <c r="AA22" s="13">
        <f ca="1">SUMPRODUCT(INDEX(bcEff,,23),INDEX(tlccEubc,,23))</f>
        <v>3369.7228954897673</v>
      </c>
      <c r="AB22" s="13">
        <f ca="1">SUMPRODUCT(INDEX(bcEff,,24),INDEX(tlccEubc,,24))</f>
        <v>3390.9992842864731</v>
      </c>
      <c r="AC22" s="13">
        <f ca="1">SUMPRODUCT(INDEX(bcEff,,25),INDEX(tlccEubc,,25))</f>
        <v>3412.4129189319247</v>
      </c>
      <c r="AD22" s="13">
        <f ca="1">SUMPRODUCT(INDEX(bcEff,,26),INDEX(tlccEubc,,26))</f>
        <v>3433.9647059006679</v>
      </c>
      <c r="AE22" s="13">
        <f ca="1">SUMPRODUCT(INDEX(bcEff,,27),INDEX(tlccEubc,,27))</f>
        <v>3455.6555578049583</v>
      </c>
      <c r="AF22" s="13">
        <f ca="1">SUMPRODUCT(INDEX(bcEff,,28),INDEX(tlccEubc,,28))</f>
        <v>3477.4863934373743</v>
      </c>
      <c r="AG22" s="13">
        <f ca="1">SUMPRODUCT(INDEX(bcEff,,29),INDEX(tlccEubc,,29))</f>
        <v>3499.458137813725</v>
      </c>
      <c r="AH22" s="13">
        <f ca="1">SUMPRODUCT(INDEX(bcEff,,30),INDEX(tlccEubc,,30))</f>
        <v>3521.5717222162625</v>
      </c>
      <c r="AI22" s="13">
        <f ca="1">SUMPRODUCT(INDEX(bcEff,,31),INDEX(tlccEubc,,31))</f>
        <v>3543.8280842372083</v>
      </c>
      <c r="AJ22" s="13">
        <f ca="1">SUMPRODUCT(INDEX(bcEff,,32),INDEX(tlccEubc,,32))</f>
        <v>3566.2281678225791</v>
      </c>
      <c r="AK22" s="13">
        <f ca="1">SUMPRODUCT(INDEX(bcEff,,33),INDEX(tlccEubc,,33))</f>
        <v>3588.7729233163327</v>
      </c>
      <c r="AL22" s="56">
        <f ca="1">SUMPRODUCT(INDEX(bcEff,,34),INDEX(tlccEubc,,34))</f>
        <v>3611.4633075048259</v>
      </c>
      <c r="AM22" s="10"/>
    </row>
    <row r="23" spans="2:39" ht="15">
      <c r="B23" s="10"/>
      <c r="C23" s="16" t="s">
        <v>79</v>
      </c>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5"/>
      <c r="AM23" s="10"/>
    </row>
    <row r="24" spans="2:39" ht="15">
      <c r="B24" s="10"/>
      <c r="C24" s="28" t="str">
        <f>INDEX(_fuel,1)</f>
        <v>Electricity</v>
      </c>
      <c r="D24" s="12" t="s">
        <v>83</v>
      </c>
      <c r="E24" s="39">
        <f ca="1">SUMPRODUCT(INDEX(bcEff,,1),INDEX(tlccFubcElec,,1))</f>
        <v>543.99667965385402</v>
      </c>
      <c r="F24" s="39">
        <f ca="1">SUMPRODUCT(INDEX(bcEff,,2),INDEX(tlccFubcElec,,2))</f>
        <v>539.61744033602258</v>
      </c>
      <c r="G24" s="39">
        <f ca="1">SUMPRODUCT(INDEX(bcEff,,3),INDEX(tlccFubcElec,,3))</f>
        <v>535.74504855895452</v>
      </c>
      <c r="H24" s="39">
        <f ca="1">SUMPRODUCT(INDEX(bcEff,,4),INDEX(tlccFubcElec,,4))</f>
        <v>532.05566538101994</v>
      </c>
      <c r="I24" s="39">
        <f ca="1">SUMPRODUCT(INDEX(bcEff,,5),INDEX(tlccFubcElec,,5))</f>
        <v>528.81899435459491</v>
      </c>
      <c r="J24" s="39">
        <f ca="1">SUMPRODUCT(INDEX(bcEff,,6),INDEX(tlccFubcElec,,6))</f>
        <v>526.29306784301673</v>
      </c>
      <c r="K24" s="39">
        <f ca="1">SUMPRODUCT(INDEX(bcEff,,7),INDEX(tlccFubcElec,,7))</f>
        <v>524.18787219459932</v>
      </c>
      <c r="L24" s="39">
        <f ca="1">SUMPRODUCT(INDEX(bcEff,,8),INDEX(tlccFubcElec,,8))</f>
        <v>522.06611655362713</v>
      </c>
      <c r="M24" s="39">
        <f ca="1">SUMPRODUCT(INDEX(bcEff,,9),INDEX(tlccFubcElec,,9))</f>
        <v>520.3545865836935</v>
      </c>
      <c r="N24" s="39">
        <f ca="1">SUMPRODUCT(INDEX(bcEff,,10),INDEX(tlccFubcElec,,10))</f>
        <v>519.1574052925198</v>
      </c>
      <c r="O24" s="39">
        <f ca="1">SUMPRODUCT(INDEX(bcEff,,11),INDEX(tlccFubcElec,,11))</f>
        <v>518.26960329340113</v>
      </c>
      <c r="P24" s="39">
        <f ca="1">SUMPRODUCT(INDEX(bcEff,,12),INDEX(tlccFubcElec,,12))</f>
        <v>517.51443907773591</v>
      </c>
      <c r="Q24" s="39">
        <f ca="1">SUMPRODUCT(INDEX(bcEff,,13),INDEX(tlccFubcElec,,13))</f>
        <v>516.94926202810893</v>
      </c>
      <c r="R24" s="39">
        <f ca="1">SUMPRODUCT(INDEX(bcEff,,14),INDEX(tlccFubcElec,,14))</f>
        <v>516.51163345791974</v>
      </c>
      <c r="S24" s="39">
        <f ca="1">SUMPRODUCT(INDEX(bcEff,,15),INDEX(tlccFubcElec,,15))</f>
        <v>516.42822618541709</v>
      </c>
      <c r="T24" s="39">
        <f ca="1">SUMPRODUCT(INDEX(bcEff,,16),INDEX(tlccFubcElec,,16))</f>
        <v>516.50278854836654</v>
      </c>
      <c r="U24" s="39">
        <f ca="1">SUMPRODUCT(INDEX(bcEff,,17),INDEX(tlccFubcElec,,17))</f>
        <v>516.62867178386932</v>
      </c>
      <c r="V24" s="39">
        <f ca="1">SUMPRODUCT(INDEX(bcEff,,18),INDEX(tlccFubcElec,,18))</f>
        <v>516.82151318753449</v>
      </c>
      <c r="W24" s="39">
        <f ca="1">SUMPRODUCT(INDEX(bcEff,,19),INDEX(tlccFubcElec,,19))</f>
        <v>517.00734679485186</v>
      </c>
      <c r="X24" s="39">
        <f ca="1">SUMPRODUCT(INDEX(bcEff,,20),INDEX(tlccFubcElec,,20))</f>
        <v>517.1616917408669</v>
      </c>
      <c r="Y24" s="39">
        <f ca="1">SUMPRODUCT(INDEX(bcEff,,21),INDEX(tlccFubcElec,,21))</f>
        <v>517.26493003612802</v>
      </c>
      <c r="Z24" s="39">
        <f ca="1">SUMPRODUCT(INDEX(bcEff,,22),INDEX(tlccFubcElec,,22))</f>
        <v>517.33589266604952</v>
      </c>
      <c r="AA24" s="39">
        <f ca="1">SUMPRODUCT(INDEX(bcEff,,23),INDEX(tlccFubcElec,,23))</f>
        <v>517.33589266604952</v>
      </c>
      <c r="AB24" s="39">
        <f ca="1">SUMPRODUCT(INDEX(bcEff,,24),INDEX(tlccFubcElec,,24))</f>
        <v>517.33589266604952</v>
      </c>
      <c r="AC24" s="39">
        <f ca="1">SUMPRODUCT(INDEX(bcEff,,25),INDEX(tlccFubcElec,,25))</f>
        <v>517.33589266604952</v>
      </c>
      <c r="AD24" s="39">
        <f ca="1">SUMPRODUCT(INDEX(bcEff,,26),INDEX(tlccFubcElec,,26))</f>
        <v>517.33589266604952</v>
      </c>
      <c r="AE24" s="39">
        <f ca="1">SUMPRODUCT(INDEX(bcEff,,27),INDEX(tlccFubcElec,,27))</f>
        <v>517.33589266604952</v>
      </c>
      <c r="AF24" s="39">
        <f ca="1">SUMPRODUCT(INDEX(bcEff,,28),INDEX(tlccFubcElec,,28))</f>
        <v>517.33589266604952</v>
      </c>
      <c r="AG24" s="39">
        <f ca="1">SUMPRODUCT(INDEX(bcEff,,29),INDEX(tlccFubcElec,,29))</f>
        <v>517.33589266604952</v>
      </c>
      <c r="AH24" s="39">
        <f ca="1">SUMPRODUCT(INDEX(bcEff,,30),INDEX(tlccFubcElec,,30))</f>
        <v>517.33589266604952</v>
      </c>
      <c r="AI24" s="39">
        <f ca="1">SUMPRODUCT(INDEX(bcEff,,31),INDEX(tlccFubcElec,,31))</f>
        <v>517.33589266604952</v>
      </c>
      <c r="AJ24" s="39">
        <f ca="1">SUMPRODUCT(INDEX(bcEff,,32),INDEX(tlccFubcElec,,32))</f>
        <v>517.33589266604952</v>
      </c>
      <c r="AK24" s="39">
        <f ca="1">SUMPRODUCT(INDEX(bcEff,,33),INDEX(tlccFubcElec,,33))</f>
        <v>517.33589266604952</v>
      </c>
      <c r="AL24" s="40">
        <f ca="1">SUMPRODUCT(INDEX(bcEff,,34),INDEX(tlccFubcElec,,34))</f>
        <v>517.33589266604952</v>
      </c>
      <c r="AM24" s="10"/>
    </row>
    <row r="25" spans="2:39" ht="15">
      <c r="B25" s="10"/>
      <c r="C25" s="41" t="str">
        <f ca="1">"Stds Case (CSL " &amp; stdCSL &amp; "): " &amp; INDEX(_doName,2,stdCSL+1)</f>
        <v>Stds Case (CSL 5): EL 5</v>
      </c>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3"/>
      <c r="AM25" s="10"/>
    </row>
    <row r="26" spans="2:39" ht="15">
      <c r="B26" s="10"/>
      <c r="C26" s="16" t="s">
        <v>69</v>
      </c>
      <c r="D26" s="12" t="str">
        <f>_yearDol &amp; "$"</f>
        <v>2015$</v>
      </c>
      <c r="E26" s="13">
        <f>SUMPRODUCT(INDEX(polEff,,1),INDEX(IF($E$19&lt;yearC,tlccQubc,tlccQupol),,1))</f>
        <v>1791.342784105</v>
      </c>
      <c r="F26" s="13">
        <f>SUMPRODUCT(INDEX(polEff,,2),INDEX(IF($F$19&lt;yearC,tlccQubc,tlccQupol),,2))</f>
        <v>1791.342784105</v>
      </c>
      <c r="G26" s="13">
        <f>SUMPRODUCT(INDEX(polEff,,3),INDEX(IF($G$19&lt;yearC,tlccQubc,tlccQupol),,3))</f>
        <v>1791.342784105</v>
      </c>
      <c r="H26" s="13">
        <f ca="1">SUMPRODUCT(INDEX(polEff,,4),INDEX(IF($H$19&lt;yearC,tlccQubc,tlccQupol),,4))</f>
        <v>1812.37035578</v>
      </c>
      <c r="I26" s="13">
        <f ca="1">SUMPRODUCT(INDEX(polEff,,5),INDEX(IF($I$19&lt;yearC,tlccQubc,tlccQupol),,5))</f>
        <v>1812.37035578</v>
      </c>
      <c r="J26" s="13">
        <f ca="1">SUMPRODUCT(INDEX(polEff,,6),INDEX(tlccQupol,,6))</f>
        <v>1812.37035578</v>
      </c>
      <c r="K26" s="13">
        <f ca="1">SUMPRODUCT(INDEX(polEff,,7),INDEX(tlccQupol,,7))</f>
        <v>1812.37035578</v>
      </c>
      <c r="L26" s="13">
        <f ca="1">SUMPRODUCT(INDEX(polEff,,8),INDEX(tlccQupol,,8))</f>
        <v>1812.37035578</v>
      </c>
      <c r="M26" s="13">
        <f ca="1">SUMPRODUCT(INDEX(polEff,,9),INDEX(tlccQupol,,9))</f>
        <v>1812.37035578</v>
      </c>
      <c r="N26" s="13">
        <f ca="1">SUMPRODUCT(INDEX(polEff,,10),INDEX(tlccQupol,,10))</f>
        <v>1812.37035578</v>
      </c>
      <c r="O26" s="13">
        <f ca="1">SUMPRODUCT(INDEX(polEff,,11),INDEX(tlccQupol,,11))</f>
        <v>1812.37035578</v>
      </c>
      <c r="P26" s="13">
        <f ca="1">SUMPRODUCT(INDEX(polEff,,12),INDEX(tlccQupol,,12))</f>
        <v>1812.37035578</v>
      </c>
      <c r="Q26" s="13">
        <f ca="1">SUMPRODUCT(INDEX(polEff,,13),INDEX(tlccQupol,,13))</f>
        <v>1812.37035578</v>
      </c>
      <c r="R26" s="13">
        <f ca="1">SUMPRODUCT(INDEX(polEff,,14),INDEX(tlccQupol,,14))</f>
        <v>1812.37035578</v>
      </c>
      <c r="S26" s="13">
        <f ca="1">SUMPRODUCT(INDEX(polEff,,15),INDEX(tlccQupol,,15))</f>
        <v>1812.37035578</v>
      </c>
      <c r="T26" s="13">
        <f ca="1">SUMPRODUCT(INDEX(polEff,,16),INDEX(tlccQupol,,16))</f>
        <v>1812.37035578</v>
      </c>
      <c r="U26" s="13">
        <f ca="1">SUMPRODUCT(INDEX(polEff,,17),INDEX(tlccQupol,,17))</f>
        <v>1812.37035578</v>
      </c>
      <c r="V26" s="13">
        <f ca="1">SUMPRODUCT(INDEX(polEff,,18),INDEX(tlccQupol,,18))</f>
        <v>1812.37035578</v>
      </c>
      <c r="W26" s="13">
        <f ca="1">SUMPRODUCT(INDEX(polEff,,19),INDEX(tlccQupol,,19))</f>
        <v>1812.37035578</v>
      </c>
      <c r="X26" s="13">
        <f ca="1">SUMPRODUCT(INDEX(polEff,,20),INDEX(tlccQupol,,20))</f>
        <v>1812.37035578</v>
      </c>
      <c r="Y26" s="13">
        <f ca="1">SUMPRODUCT(INDEX(polEff,,21),INDEX(tlccQupol,,21))</f>
        <v>1812.37035578</v>
      </c>
      <c r="Z26" s="13">
        <f ca="1">SUMPRODUCT(INDEX(polEff,,22),INDEX(tlccQupol,,22))</f>
        <v>1812.37035578</v>
      </c>
      <c r="AA26" s="13">
        <f ca="1">SUMPRODUCT(INDEX(polEff,,23),INDEX(tlccQupol,,23))</f>
        <v>1812.37035578</v>
      </c>
      <c r="AB26" s="13">
        <f ca="1">SUMPRODUCT(INDEX(polEff,,24),INDEX(tlccQupol,,24))</f>
        <v>1812.37035578</v>
      </c>
      <c r="AC26" s="13">
        <f ca="1">SUMPRODUCT(INDEX(polEff,,25),INDEX(tlccQupol,,25))</f>
        <v>1812.37035578</v>
      </c>
      <c r="AD26" s="13">
        <f ca="1">SUMPRODUCT(INDEX(polEff,,26),INDEX(tlccQupol,,26))</f>
        <v>1812.37035578</v>
      </c>
      <c r="AE26" s="13">
        <f ca="1">SUMPRODUCT(INDEX(polEff,,27),INDEX(tlccQupol,,27))</f>
        <v>1812.37035578</v>
      </c>
      <c r="AF26" s="13">
        <f ca="1">SUMPRODUCT(INDEX(polEff,,28),INDEX(tlccQupol,,28))</f>
        <v>1812.37035578</v>
      </c>
      <c r="AG26" s="13">
        <f ca="1">SUMPRODUCT(INDEX(polEff,,29),INDEX(tlccQupol,,29))</f>
        <v>1812.37035578</v>
      </c>
      <c r="AH26" s="13">
        <f ca="1">SUMPRODUCT(INDEX(polEff,,30),INDEX(tlccQupol,,30))</f>
        <v>1812.37035578</v>
      </c>
      <c r="AI26" s="13">
        <f ca="1">SUMPRODUCT(INDEX(polEff,,31),INDEX(tlccQupol,,31))</f>
        <v>1812.37035578</v>
      </c>
      <c r="AJ26" s="13">
        <f ca="1">SUMPRODUCT(INDEX(polEff,,32),INDEX(tlccQupol,,32))</f>
        <v>1812.37035578</v>
      </c>
      <c r="AK26" s="13">
        <f ca="1">SUMPRODUCT(INDEX(polEff,,33),INDEX(tlccQupol,,33))</f>
        <v>1812.37035578</v>
      </c>
      <c r="AL26" s="56">
        <f ca="1">SUMPRODUCT(INDEX(polEff,,34),INDEX(tlccQupol,,34))</f>
        <v>1812.37035578</v>
      </c>
      <c r="AM26" s="10"/>
    </row>
    <row r="27" spans="2:39" ht="15">
      <c r="B27" s="10"/>
      <c r="C27" s="16" t="str">
        <f>zEO&amp;" Costs"</f>
        <v>Operating Costs</v>
      </c>
      <c r="D27" s="12" t="str">
        <f>_yearDol &amp; "$"</f>
        <v>2015$</v>
      </c>
      <c r="E27" s="13">
        <f ca="1">SUMPRODUCT(INDEX(polEff,,1),INDEX(IF($E$19&lt;yearC,tlccEubc,tlccEupol),,1))</f>
        <v>2922.0772090774503</v>
      </c>
      <c r="F27" s="13">
        <f ca="1">SUMPRODUCT(INDEX(polEff,,2),INDEX(IF($F$19&lt;yearC,tlccEubc,tlccEupol),,2))</f>
        <v>2946.165812423932</v>
      </c>
      <c r="G27" s="13">
        <f ca="1">SUMPRODUCT(INDEX(polEff,,3),INDEX(IF($G$19&lt;yearC,tlccEubc,tlccEupol),,3))</f>
        <v>2969.4846302761462</v>
      </c>
      <c r="H27" s="13">
        <f ca="1">SUMPRODUCT(INDEX(polEff,,4),INDEX(IF($H$19&lt;yearC,tlccEubc,tlccEupol),,4))</f>
        <v>2957.9124268710138</v>
      </c>
      <c r="I27" s="13">
        <f ca="1">SUMPRODUCT(INDEX(polEff,,5),INDEX(IF($I$19&lt;yearC,tlccEubc,tlccEupol),,5))</f>
        <v>2976.5409980064178</v>
      </c>
      <c r="J27" s="13">
        <f ca="1">SUMPRODUCT(INDEX(polEff,,6),INDEX(tlccEupol,,6))</f>
        <v>2995.2893881738955</v>
      </c>
      <c r="K27" s="13">
        <f ca="1">SUMPRODUCT(INDEX(polEff,,7),INDEX(tlccEupol,,7))</f>
        <v>3014.1583862783309</v>
      </c>
      <c r="L27" s="13">
        <f ca="1">SUMPRODUCT(INDEX(polEff,,8),INDEX(tlccEupol,,8))</f>
        <v>3033.1487865490772</v>
      </c>
      <c r="M27" s="13">
        <f ca="1">SUMPRODUCT(INDEX(polEff,,9),INDEX(tlccEupol,,9))</f>
        <v>3052.2613885768001</v>
      </c>
      <c r="N27" s="13">
        <f ca="1">SUMPRODUCT(INDEX(polEff,,10),INDEX(tlccEupol,,10))</f>
        <v>3071.496997350594</v>
      </c>
      <c r="O27" s="13">
        <f ca="1">SUMPRODUCT(INDEX(polEff,,11),INDEX(tlccEupol,,11))</f>
        <v>3090.8564232953395</v>
      </c>
      <c r="P27" s="13">
        <f ca="1">SUMPRODUCT(INDEX(polEff,,12),INDEX(tlccEupol,,12))</f>
        <v>3110.340482309336</v>
      </c>
      <c r="Q27" s="13">
        <f ca="1">SUMPRODUCT(INDEX(polEff,,13),INDEX(tlccEupol,,13))</f>
        <v>3129.9499958022216</v>
      </c>
      <c r="R27" s="13">
        <f ca="1">SUMPRODUCT(INDEX(polEff,,14),INDEX(tlccEupol,,14))</f>
        <v>3149.6857907331159</v>
      </c>
      <c r="S27" s="13">
        <f ca="1">SUMPRODUCT(INDEX(polEff,,15),INDEX(tlccEupol,,15))</f>
        <v>3169.5486996490758</v>
      </c>
      <c r="T27" s="13">
        <f ca="1">SUMPRODUCT(INDEX(polEff,,16),INDEX(tlccEupol,,16))</f>
        <v>3189.5395607238079</v>
      </c>
      <c r="U27" s="13">
        <f ca="1">SUMPRODUCT(INDEX(polEff,,17),INDEX(tlccEupol,,17))</f>
        <v>3209.6592177966522</v>
      </c>
      <c r="V27" s="13">
        <f ca="1">SUMPRODUCT(INDEX(polEff,,18),INDEX(tlccEupol,,18))</f>
        <v>3229.9085204118473</v>
      </c>
      <c r="W27" s="13">
        <f ca="1">SUMPRODUCT(INDEX(polEff,,19),INDEX(tlccEupol,,19))</f>
        <v>3250.2883238580707</v>
      </c>
      <c r="X27" s="13">
        <f ca="1">SUMPRODUCT(INDEX(polEff,,20),INDEX(tlccEupol,,20))</f>
        <v>3270.799489208267</v>
      </c>
      <c r="Y27" s="13">
        <f ca="1">SUMPRODUCT(INDEX(polEff,,21),INDEX(tlccEupol,,21))</f>
        <v>3291.442883359754</v>
      </c>
      <c r="Z27" s="13">
        <f ca="1">SUMPRODUCT(INDEX(polEff,,22),INDEX(tlccEupol,,22))</f>
        <v>3312.2193790746096</v>
      </c>
      <c r="AA27" s="13">
        <f ca="1">SUMPRODUCT(INDEX(polEff,,23),INDEX(tlccEupol,,23))</f>
        <v>3333.129855020351</v>
      </c>
      <c r="AB27" s="13">
        <f ca="1">SUMPRODUCT(INDEX(polEff,,24),INDEX(tlccEupol,,24))</f>
        <v>3354.1751958109076</v>
      </c>
      <c r="AC27" s="13">
        <f ca="1">SUMPRODUCT(INDEX(polEff,,25),INDEX(tlccEupol,,25))</f>
        <v>3375.3562920478662</v>
      </c>
      <c r="AD27" s="13">
        <f ca="1">SUMPRODUCT(INDEX(polEff,,26),INDEX(tlccEupol,,26))</f>
        <v>3396.6740403620388</v>
      </c>
      <c r="AE27" s="13">
        <f ca="1">SUMPRODUCT(INDEX(polEff,,27),INDEX(tlccEupol,,27))</f>
        <v>3418.129343455294</v>
      </c>
      <c r="AF27" s="13">
        <f ca="1">SUMPRODUCT(INDEX(polEff,,28),INDEX(tlccEupol,,28))</f>
        <v>3439.7231101427096</v>
      </c>
      <c r="AG27" s="13">
        <f ca="1">SUMPRODUCT(INDEX(polEff,,29),INDEX(tlccEupol,,29))</f>
        <v>3461.4562553950132</v>
      </c>
      <c r="AH27" s="13">
        <f ca="1">SUMPRODUCT(INDEX(polEff,,30),INDEX(tlccEupol,,30))</f>
        <v>3483.3297003813245</v>
      </c>
      <c r="AI27" s="13">
        <f ca="1">SUMPRODUCT(INDEX(polEff,,31),INDEX(tlccEupol,,31))</f>
        <v>3505.3443725122129</v>
      </c>
      <c r="AJ27" s="13">
        <f ca="1">SUMPRODUCT(INDEX(polEff,,32),INDEX(tlccEupol,,32))</f>
        <v>3527.5012054830431</v>
      </c>
      <c r="AK27" s="13">
        <f ca="1">SUMPRODUCT(INDEX(polEff,,33),INDEX(tlccEupol,,33))</f>
        <v>3549.8011393176457</v>
      </c>
      <c r="AL27" s="56">
        <f ca="1">SUMPRODUCT(INDEX(polEff,,34),INDEX(tlccEupol,,34))</f>
        <v>3572.2451204122854</v>
      </c>
      <c r="AM27" s="10"/>
    </row>
    <row r="28" spans="2:39" ht="15">
      <c r="B28" s="10"/>
      <c r="C28" s="16" t="s">
        <v>79</v>
      </c>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5"/>
      <c r="AM28" s="10"/>
    </row>
    <row r="29" spans="2:39" ht="15">
      <c r="B29" s="10"/>
      <c r="C29" s="45" t="str">
        <f>INDEX(_fuel,1)</f>
        <v>Electricity</v>
      </c>
      <c r="D29" s="18" t="s">
        <v>83</v>
      </c>
      <c r="E29" s="49">
        <f ca="1">SUMPRODUCT(INDEX(polEff,,1),INDEX(IF($E$19&lt;yearC,tlccFubcElec,tlccFupolElec),,1))</f>
        <v>543.99667965385402</v>
      </c>
      <c r="F29" s="49">
        <f ca="1">SUMPRODUCT(INDEX(polEff,,2),INDEX(IF($F$19&lt;yearC,tlccFubcElec,tlccFupolElec),,2))</f>
        <v>539.61744033602258</v>
      </c>
      <c r="G29" s="49">
        <f ca="1">SUMPRODUCT(INDEX(polEff,,3),INDEX(IF($G$19&lt;yearC,tlccFubcElec,tlccFupolElec),,3))</f>
        <v>535.74504855895452</v>
      </c>
      <c r="H29" s="49">
        <f ca="1">SUMPRODUCT(INDEX(polEff,,4),INDEX(IF($H$19&lt;yearC,tlccFubcElec,tlccFupolElec),,4))</f>
        <v>526.27788035266383</v>
      </c>
      <c r="I29" s="49">
        <f ca="1">SUMPRODUCT(INDEX(polEff,,5),INDEX(IF($I$19&lt;yearC,tlccFubcElec,tlccFupolElec),,5))</f>
        <v>523.07635750830877</v>
      </c>
      <c r="J29" s="49">
        <f ca="1">SUMPRODUCT(INDEX(polEff,,6),INDEX(tlccFupolElec,,6))</f>
        <v>520.57786094688618</v>
      </c>
      <c r="K29" s="49">
        <f ca="1">SUMPRODUCT(INDEX(polEff,,7),INDEX(tlccFupolElec,,7))</f>
        <v>518.49552637991292</v>
      </c>
      <c r="L29" s="49">
        <f ca="1">SUMPRODUCT(INDEX(polEff,,8),INDEX(tlccFupolElec,,8))</f>
        <v>516.39681165133754</v>
      </c>
      <c r="M29" s="49">
        <f ca="1">SUMPRODUCT(INDEX(polEff,,9),INDEX(tlccFupolElec,,9))</f>
        <v>514.70386780477281</v>
      </c>
      <c r="N29" s="49">
        <f ca="1">SUMPRODUCT(INDEX(polEff,,10),INDEX(tlccFupolElec,,10))</f>
        <v>513.51968713851579</v>
      </c>
      <c r="O29" s="49">
        <f ca="1">SUMPRODUCT(INDEX(polEff,,11),INDEX(tlccFupolElec,,11))</f>
        <v>512.64152610261283</v>
      </c>
      <c r="P29" s="49">
        <f ca="1">SUMPRODUCT(INDEX(polEff,,12),INDEX(tlccFupolElec,,12))</f>
        <v>511.89456248846938</v>
      </c>
      <c r="Q29" s="49">
        <f ca="1">SUMPRODUCT(INDEX(polEff,,13),INDEX(tlccFupolElec,,13))</f>
        <v>511.33552290096941</v>
      </c>
      <c r="R29" s="49">
        <f ca="1">SUMPRODUCT(INDEX(polEff,,14),INDEX(tlccFupolElec,,14))</f>
        <v>510.90264669780731</v>
      </c>
      <c r="S29" s="49">
        <f ca="1">SUMPRODUCT(INDEX(polEff,,15),INDEX(tlccFupolElec,,15))</f>
        <v>510.82014517506298</v>
      </c>
      <c r="T29" s="49">
        <f ca="1">SUMPRODUCT(INDEX(polEff,,16),INDEX(tlccFupolElec,,16))</f>
        <v>510.89389783832814</v>
      </c>
      <c r="U29" s="49">
        <f ca="1">SUMPRODUCT(INDEX(polEff,,17),INDEX(tlccFupolElec,,17))</f>
        <v>511.01841406221774</v>
      </c>
      <c r="V29" s="49">
        <f ca="1">SUMPRODUCT(INDEX(polEff,,18),INDEX(tlccFupolElec,,18))</f>
        <v>511.20916133128867</v>
      </c>
      <c r="W29" s="49">
        <f ca="1">SUMPRODUCT(INDEX(polEff,,19),INDEX(tlccFupolElec,,19))</f>
        <v>511.39297690420847</v>
      </c>
      <c r="X29" s="49">
        <f ca="1">SUMPRODUCT(INDEX(polEff,,20),INDEX(tlccFupolElec,,20))</f>
        <v>511.54564576259526</v>
      </c>
      <c r="Y29" s="49">
        <f ca="1">SUMPRODUCT(INDEX(polEff,,21),INDEX(tlccFupolElec,,21))</f>
        <v>511.64776295584488</v>
      </c>
      <c r="Z29" s="49">
        <f ca="1">SUMPRODUCT(INDEX(polEff,,22),INDEX(tlccFupolElec,,22))</f>
        <v>511.71795497688584</v>
      </c>
      <c r="AA29" s="49">
        <f ca="1">SUMPRODUCT(INDEX(polEff,,23),INDEX(tlccFupolElec,,23))</f>
        <v>511.71795497688584</v>
      </c>
      <c r="AB29" s="49">
        <f ca="1">SUMPRODUCT(INDEX(polEff,,24),INDEX(tlccFupolElec,,24))</f>
        <v>511.71795497688584</v>
      </c>
      <c r="AC29" s="49">
        <f ca="1">SUMPRODUCT(INDEX(polEff,,25),INDEX(tlccFupolElec,,25))</f>
        <v>511.71795497688584</v>
      </c>
      <c r="AD29" s="49">
        <f ca="1">SUMPRODUCT(INDEX(polEff,,26),INDEX(tlccFupolElec,,26))</f>
        <v>511.71795497688584</v>
      </c>
      <c r="AE29" s="49">
        <f ca="1">SUMPRODUCT(INDEX(polEff,,27),INDEX(tlccFupolElec,,27))</f>
        <v>511.71795497688584</v>
      </c>
      <c r="AF29" s="49">
        <f ca="1">SUMPRODUCT(INDEX(polEff,,28),INDEX(tlccFupolElec,,28))</f>
        <v>511.71795497688584</v>
      </c>
      <c r="AG29" s="49">
        <f ca="1">SUMPRODUCT(INDEX(polEff,,29),INDEX(tlccFupolElec,,29))</f>
        <v>511.71795497688584</v>
      </c>
      <c r="AH29" s="49">
        <f ca="1">SUMPRODUCT(INDEX(polEff,,30),INDEX(tlccFupolElec,,30))</f>
        <v>511.71795497688584</v>
      </c>
      <c r="AI29" s="49">
        <f ca="1">SUMPRODUCT(INDEX(polEff,,31),INDEX(tlccFupolElec,,31))</f>
        <v>511.71795497688584</v>
      </c>
      <c r="AJ29" s="49">
        <f ca="1">SUMPRODUCT(INDEX(polEff,,32),INDEX(tlccFupolElec,,32))</f>
        <v>511.71795497688584</v>
      </c>
      <c r="AK29" s="49">
        <f ca="1">SUMPRODUCT(INDEX(polEff,,33),INDEX(tlccFupolElec,,33))</f>
        <v>511.71795497688584</v>
      </c>
      <c r="AL29" s="50">
        <f ca="1">SUMPRODUCT(INDEX(polEff,,34),INDEX(tlccFupolElec,,34))</f>
        <v>511.71795497688584</v>
      </c>
      <c r="AM29" s="10"/>
    </row>
    <row r="30" spans="2:39" ht="15">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row>
    <row r="31" spans="2:39" ht="15">
      <c r="B31" s="10"/>
      <c r="C31" s="22" t="s">
        <v>91</v>
      </c>
      <c r="D31" s="23"/>
      <c r="E31" s="24">
        <f t="array" ref="E31:AL31">_yS</f>
        <v>2019</v>
      </c>
      <c r="F31" s="24">
        <v>2020</v>
      </c>
      <c r="G31" s="24">
        <v>2021</v>
      </c>
      <c r="H31" s="24">
        <v>2022</v>
      </c>
      <c r="I31" s="24">
        <v>2023</v>
      </c>
      <c r="J31" s="24">
        <v>2024</v>
      </c>
      <c r="K31" s="24">
        <v>2025</v>
      </c>
      <c r="L31" s="24">
        <v>2026</v>
      </c>
      <c r="M31" s="24">
        <v>2027</v>
      </c>
      <c r="N31" s="24">
        <v>2028</v>
      </c>
      <c r="O31" s="24">
        <v>2029</v>
      </c>
      <c r="P31" s="24">
        <v>2030</v>
      </c>
      <c r="Q31" s="24">
        <v>2031</v>
      </c>
      <c r="R31" s="24">
        <v>2032</v>
      </c>
      <c r="S31" s="24">
        <v>2033</v>
      </c>
      <c r="T31" s="24">
        <v>2034</v>
      </c>
      <c r="U31" s="24">
        <v>2035</v>
      </c>
      <c r="V31" s="24">
        <v>2036</v>
      </c>
      <c r="W31" s="24">
        <v>2037</v>
      </c>
      <c r="X31" s="24">
        <v>2038</v>
      </c>
      <c r="Y31" s="24">
        <v>2039</v>
      </c>
      <c r="Z31" s="24">
        <v>2040</v>
      </c>
      <c r="AA31" s="24">
        <v>2041</v>
      </c>
      <c r="AB31" s="24">
        <v>2042</v>
      </c>
      <c r="AC31" s="24">
        <v>2043</v>
      </c>
      <c r="AD31" s="24">
        <v>2044</v>
      </c>
      <c r="AE31" s="24">
        <v>2045</v>
      </c>
      <c r="AF31" s="24">
        <v>2046</v>
      </c>
      <c r="AG31" s="24">
        <v>2047</v>
      </c>
      <c r="AH31" s="24">
        <v>2048</v>
      </c>
      <c r="AI31" s="24">
        <v>2049</v>
      </c>
      <c r="AJ31" s="24">
        <v>2050</v>
      </c>
      <c r="AK31" s="24">
        <v>2051</v>
      </c>
      <c r="AL31" s="25">
        <v>2052</v>
      </c>
      <c r="AM31" s="10"/>
    </row>
    <row r="32" spans="2:39" ht="15">
      <c r="B32" s="10"/>
      <c r="C32" s="11" t="str">
        <f>"EL 0: " &amp; INDEX(_doName,2,1)</f>
        <v>EL 0: EL 1</v>
      </c>
      <c r="D32" s="12" t="s">
        <v>47</v>
      </c>
      <c r="E32" s="29">
        <f t="array" ref="E32:E38">IF($E$31&lt;yearC,INDEX(refEff,,1),MMULT(mRoll,INDEX(refEff,,1))+INDEX(elastAdjust,,1))</f>
        <v>7.3999999999999996E-2</v>
      </c>
      <c r="F32" s="29">
        <f t="array" ref="F32:F38">IF($F$31&lt;yearC,INDEX(refEff,,2),MMULT(mRoll,INDEX(refEff,,2))+INDEX(elastAdjust,,2))</f>
        <v>7.3999999999999996E-2</v>
      </c>
      <c r="G32" s="29">
        <f t="array" ref="G32:G38">IF($G$31&lt;yearC,INDEX(refEff,,3),MMULT(mRoll,INDEX(refEff,,3))+INDEX(elastAdjust,,3))</f>
        <v>7.3999999999999996E-2</v>
      </c>
      <c r="H32" s="29">
        <f t="array" aca="1" ref="H32:H38" ca="1">IF($H$31&lt;yearC,INDEX(refEff,,4),MMULT(mRoll,INDEX(refEff,,4))+INDEX(elastAdjust,,4))</f>
        <v>0</v>
      </c>
      <c r="I32" s="29">
        <f t="array" aca="1" ref="I32:I38" ca="1">IF($I$31&lt;yearC,INDEX(refEff,,5),MMULT(mRoll,INDEX(refEff,,5))+INDEX(elastAdjust,,5))</f>
        <v>0</v>
      </c>
      <c r="J32" s="29">
        <f t="array" aca="1" ref="J32:J38" ca="1">MMULT(mRoll,INDEX(refEff,,6))+INDEX(elastAdjust,,6)</f>
        <v>0</v>
      </c>
      <c r="K32" s="29">
        <f t="array" aca="1" ref="K32:K38" ca="1">MMULT(mRoll,INDEX(refEff,,7))+INDEX(elastAdjust,,7)</f>
        <v>0</v>
      </c>
      <c r="L32" s="29">
        <f t="array" aca="1" ref="L32:L38" ca="1">MMULT(mRoll,INDEX(refEff,,8))+INDEX(elastAdjust,,8)</f>
        <v>0</v>
      </c>
      <c r="M32" s="29">
        <f t="array" aca="1" ref="M32:M38" ca="1">MMULT(mRoll,INDEX(refEff,,9))+INDEX(elastAdjust,,9)</f>
        <v>0</v>
      </c>
      <c r="N32" s="29">
        <f t="array" aca="1" ref="N32:N38" ca="1">MMULT(mRoll,INDEX(refEff,,10))+INDEX(elastAdjust,,10)</f>
        <v>0</v>
      </c>
      <c r="O32" s="29">
        <f t="array" aca="1" ref="O32:O38" ca="1">MMULT(mRoll,INDEX(refEff,,11))+INDEX(elastAdjust,,11)</f>
        <v>0</v>
      </c>
      <c r="P32" s="29">
        <f t="array" aca="1" ref="P32:P38" ca="1">MMULT(mRoll,INDEX(refEff,,12))+INDEX(elastAdjust,,12)</f>
        <v>0</v>
      </c>
      <c r="Q32" s="29">
        <f t="array" aca="1" ref="Q32:Q38" ca="1">MMULT(mRoll,INDEX(refEff,,13))+INDEX(elastAdjust,,13)</f>
        <v>0</v>
      </c>
      <c r="R32" s="29">
        <f t="array" aca="1" ref="R32:R38" ca="1">MMULT(mRoll,INDEX(refEff,,14))+INDEX(elastAdjust,,14)</f>
        <v>0</v>
      </c>
      <c r="S32" s="29">
        <f t="array" aca="1" ref="S32:S38" ca="1">MMULT(mRoll,INDEX(refEff,,15))+INDEX(elastAdjust,,15)</f>
        <v>0</v>
      </c>
      <c r="T32" s="29">
        <f t="array" aca="1" ref="T32:T38" ca="1">MMULT(mRoll,INDEX(refEff,,16))+INDEX(elastAdjust,,16)</f>
        <v>0</v>
      </c>
      <c r="U32" s="29">
        <f t="array" aca="1" ref="U32:U38" ca="1">MMULT(mRoll,INDEX(refEff,,17))+INDEX(elastAdjust,,17)</f>
        <v>0</v>
      </c>
      <c r="V32" s="29">
        <f t="array" aca="1" ref="V32:V38" ca="1">MMULT(mRoll,INDEX(refEff,,18))+INDEX(elastAdjust,,18)</f>
        <v>0</v>
      </c>
      <c r="W32" s="29">
        <f t="array" aca="1" ref="W32:W38" ca="1">MMULT(mRoll,INDEX(refEff,,19))+INDEX(elastAdjust,,19)</f>
        <v>0</v>
      </c>
      <c r="X32" s="29">
        <f t="array" aca="1" ref="X32:X38" ca="1">MMULT(mRoll,INDEX(refEff,,20))+INDEX(elastAdjust,,20)</f>
        <v>0</v>
      </c>
      <c r="Y32" s="29">
        <f t="array" aca="1" ref="Y32:Y38" ca="1">MMULT(mRoll,INDEX(refEff,,21))+INDEX(elastAdjust,,21)</f>
        <v>0</v>
      </c>
      <c r="Z32" s="29">
        <f t="array" aca="1" ref="Z32:Z38" ca="1">MMULT(mRoll,INDEX(refEff,,22))+INDEX(elastAdjust,,22)</f>
        <v>0</v>
      </c>
      <c r="AA32" s="29">
        <f t="array" aca="1" ref="AA32:AA38" ca="1">MMULT(mRoll,INDEX(refEff,,23))+INDEX(elastAdjust,,23)</f>
        <v>0</v>
      </c>
      <c r="AB32" s="29">
        <f t="array" aca="1" ref="AB32:AB38" ca="1">MMULT(mRoll,INDEX(refEff,,24))+INDEX(elastAdjust,,24)</f>
        <v>0</v>
      </c>
      <c r="AC32" s="29">
        <f t="array" aca="1" ref="AC32:AC38" ca="1">MMULT(mRoll,INDEX(refEff,,25))+INDEX(elastAdjust,,25)</f>
        <v>0</v>
      </c>
      <c r="AD32" s="29">
        <f t="array" aca="1" ref="AD32:AD38" ca="1">MMULT(mRoll,INDEX(refEff,,26))+INDEX(elastAdjust,,26)</f>
        <v>0</v>
      </c>
      <c r="AE32" s="29">
        <f t="array" aca="1" ref="AE32:AE38" ca="1">MMULT(mRoll,INDEX(refEff,,27))+INDEX(elastAdjust,,27)</f>
        <v>0</v>
      </c>
      <c r="AF32" s="29">
        <f t="array" aca="1" ref="AF32:AF38" ca="1">MMULT(mRoll,INDEX(refEff,,28))+INDEX(elastAdjust,,28)</f>
        <v>0</v>
      </c>
      <c r="AG32" s="29">
        <f t="array" aca="1" ref="AG32:AG38" ca="1">MMULT(mRoll,INDEX(refEff,,29))+INDEX(elastAdjust,,29)</f>
        <v>0</v>
      </c>
      <c r="AH32" s="29">
        <f t="array" aca="1" ref="AH32:AH38" ca="1">MMULT(mRoll,INDEX(refEff,,30))+INDEX(elastAdjust,,30)</f>
        <v>0</v>
      </c>
      <c r="AI32" s="29">
        <f t="array" aca="1" ref="AI32:AI38" ca="1">MMULT(mRoll,INDEX(refEff,,31))+INDEX(elastAdjust,,31)</f>
        <v>0</v>
      </c>
      <c r="AJ32" s="29">
        <f t="array" aca="1" ref="AJ32:AJ38" ca="1">MMULT(mRoll,INDEX(refEff,,32))+INDEX(elastAdjust,,32)</f>
        <v>0</v>
      </c>
      <c r="AK32" s="29">
        <f t="array" aca="1" ref="AK32:AK38" ca="1">MMULT(mRoll,INDEX(refEff,,33))+INDEX(elastAdjust,,33)</f>
        <v>0</v>
      </c>
      <c r="AL32" s="44">
        <f t="array" aca="1" ref="AL32:AL38" ca="1">MMULT(mRoll,INDEX(refEff,,34))+INDEX(elastAdjust,,34)</f>
        <v>0</v>
      </c>
      <c r="AM32" s="10"/>
    </row>
    <row r="33" spans="2:39" ht="15">
      <c r="B33" s="10"/>
      <c r="C33" s="11" t="str">
        <f>"EL 1: " &amp; INDEX(_doName,2,2)</f>
        <v>EL 1: EL 1</v>
      </c>
      <c r="D33" s="12" t="s">
        <v>47</v>
      </c>
      <c r="E33" s="29">
        <v>4.2999999999999997E-2</v>
      </c>
      <c r="F33" s="29">
        <v>4.2999999999999997E-2</v>
      </c>
      <c r="G33" s="29">
        <v>4.2999999999999997E-2</v>
      </c>
      <c r="H33" s="29">
        <f ca="1"/>
        <v>0</v>
      </c>
      <c r="I33" s="29">
        <f ca="1"/>
        <v>0</v>
      </c>
      <c r="J33" s="29">
        <f ca="1"/>
        <v>0</v>
      </c>
      <c r="K33" s="29">
        <f ca="1"/>
        <v>0</v>
      </c>
      <c r="L33" s="29">
        <f ca="1"/>
        <v>0</v>
      </c>
      <c r="M33" s="29">
        <f ca="1"/>
        <v>0</v>
      </c>
      <c r="N33" s="29">
        <f ca="1"/>
        <v>0</v>
      </c>
      <c r="O33" s="29">
        <f ca="1"/>
        <v>0</v>
      </c>
      <c r="P33" s="29">
        <f ca="1"/>
        <v>0</v>
      </c>
      <c r="Q33" s="29">
        <f ca="1"/>
        <v>0</v>
      </c>
      <c r="R33" s="29">
        <f ca="1"/>
        <v>0</v>
      </c>
      <c r="S33" s="29">
        <f ca="1"/>
        <v>0</v>
      </c>
      <c r="T33" s="29">
        <f ca="1"/>
        <v>0</v>
      </c>
      <c r="U33" s="29">
        <f ca="1"/>
        <v>0</v>
      </c>
      <c r="V33" s="29">
        <f ca="1"/>
        <v>0</v>
      </c>
      <c r="W33" s="29">
        <f ca="1"/>
        <v>0</v>
      </c>
      <c r="X33" s="29">
        <f ca="1"/>
        <v>0</v>
      </c>
      <c r="Y33" s="29">
        <f ca="1"/>
        <v>0</v>
      </c>
      <c r="Z33" s="29">
        <f ca="1"/>
        <v>0</v>
      </c>
      <c r="AA33" s="29">
        <f ca="1"/>
        <v>0</v>
      </c>
      <c r="AB33" s="29">
        <f ca="1"/>
        <v>0</v>
      </c>
      <c r="AC33" s="29">
        <f ca="1"/>
        <v>0</v>
      </c>
      <c r="AD33" s="29">
        <f ca="1"/>
        <v>0</v>
      </c>
      <c r="AE33" s="29">
        <f ca="1"/>
        <v>0</v>
      </c>
      <c r="AF33" s="29">
        <f ca="1"/>
        <v>0</v>
      </c>
      <c r="AG33" s="29">
        <f ca="1"/>
        <v>0</v>
      </c>
      <c r="AH33" s="29">
        <f ca="1"/>
        <v>0</v>
      </c>
      <c r="AI33" s="29">
        <f ca="1"/>
        <v>0</v>
      </c>
      <c r="AJ33" s="29">
        <f ca="1"/>
        <v>0</v>
      </c>
      <c r="AK33" s="29">
        <f ca="1"/>
        <v>0</v>
      </c>
      <c r="AL33" s="44">
        <f ca="1"/>
        <v>0</v>
      </c>
      <c r="AM33" s="10"/>
    </row>
    <row r="34" spans="2:39" ht="15">
      <c r="B34" s="10"/>
      <c r="C34" s="11" t="str">
        <f>"EL 2: " &amp; INDEX(_doName,2,3)</f>
        <v>EL 2: EL 2</v>
      </c>
      <c r="D34" s="12" t="s">
        <v>47</v>
      </c>
      <c r="E34" s="29">
        <v>5.6000000000000001E-2</v>
      </c>
      <c r="F34" s="29">
        <v>5.6000000000000001E-2</v>
      </c>
      <c r="G34" s="29">
        <v>5.6000000000000001E-2</v>
      </c>
      <c r="H34" s="29">
        <f ca="1"/>
        <v>0</v>
      </c>
      <c r="I34" s="29">
        <f ca="1"/>
        <v>0</v>
      </c>
      <c r="J34" s="29">
        <f ca="1"/>
        <v>0</v>
      </c>
      <c r="K34" s="29">
        <f ca="1"/>
        <v>0</v>
      </c>
      <c r="L34" s="29">
        <f ca="1"/>
        <v>0</v>
      </c>
      <c r="M34" s="29">
        <f ca="1"/>
        <v>0</v>
      </c>
      <c r="N34" s="29">
        <f ca="1"/>
        <v>0</v>
      </c>
      <c r="O34" s="29">
        <f ca="1"/>
        <v>0</v>
      </c>
      <c r="P34" s="29">
        <f ca="1"/>
        <v>0</v>
      </c>
      <c r="Q34" s="29">
        <f ca="1"/>
        <v>0</v>
      </c>
      <c r="R34" s="29">
        <f ca="1"/>
        <v>0</v>
      </c>
      <c r="S34" s="29">
        <f ca="1"/>
        <v>0</v>
      </c>
      <c r="T34" s="29">
        <f ca="1"/>
        <v>0</v>
      </c>
      <c r="U34" s="29">
        <f ca="1"/>
        <v>0</v>
      </c>
      <c r="V34" s="29">
        <f ca="1"/>
        <v>0</v>
      </c>
      <c r="W34" s="29">
        <f ca="1"/>
        <v>0</v>
      </c>
      <c r="X34" s="29">
        <f ca="1"/>
        <v>0</v>
      </c>
      <c r="Y34" s="29">
        <f ca="1"/>
        <v>0</v>
      </c>
      <c r="Z34" s="29">
        <f ca="1"/>
        <v>0</v>
      </c>
      <c r="AA34" s="29">
        <f ca="1"/>
        <v>0</v>
      </c>
      <c r="AB34" s="29">
        <f ca="1"/>
        <v>0</v>
      </c>
      <c r="AC34" s="29">
        <f ca="1"/>
        <v>0</v>
      </c>
      <c r="AD34" s="29">
        <f ca="1"/>
        <v>0</v>
      </c>
      <c r="AE34" s="29">
        <f ca="1"/>
        <v>0</v>
      </c>
      <c r="AF34" s="29">
        <f ca="1"/>
        <v>0</v>
      </c>
      <c r="AG34" s="29">
        <f ca="1"/>
        <v>0</v>
      </c>
      <c r="AH34" s="29">
        <f ca="1"/>
        <v>0</v>
      </c>
      <c r="AI34" s="29">
        <f ca="1"/>
        <v>0</v>
      </c>
      <c r="AJ34" s="29">
        <f ca="1"/>
        <v>0</v>
      </c>
      <c r="AK34" s="29">
        <f ca="1"/>
        <v>0</v>
      </c>
      <c r="AL34" s="44">
        <f ca="1"/>
        <v>0</v>
      </c>
      <c r="AM34" s="10"/>
    </row>
    <row r="35" spans="2:39" ht="15">
      <c r="B35" s="10"/>
      <c r="C35" s="11" t="str">
        <f>"EL 3: " &amp; INDEX(_doName,2,4)</f>
        <v>EL 3: EL 3</v>
      </c>
      <c r="D35" s="12" t="s">
        <v>47</v>
      </c>
      <c r="E35" s="29">
        <v>7.5999999999999998E-2</v>
      </c>
      <c r="F35" s="29">
        <v>7.5999999999999998E-2</v>
      </c>
      <c r="G35" s="29">
        <v>7.5999999999999998E-2</v>
      </c>
      <c r="H35" s="29">
        <f ca="1"/>
        <v>0</v>
      </c>
      <c r="I35" s="29">
        <f ca="1"/>
        <v>0</v>
      </c>
      <c r="J35" s="29">
        <f ca="1"/>
        <v>0</v>
      </c>
      <c r="K35" s="29">
        <f ca="1"/>
        <v>0</v>
      </c>
      <c r="L35" s="29">
        <f ca="1"/>
        <v>0</v>
      </c>
      <c r="M35" s="29">
        <f ca="1"/>
        <v>0</v>
      </c>
      <c r="N35" s="29">
        <f ca="1"/>
        <v>0</v>
      </c>
      <c r="O35" s="29">
        <f ca="1"/>
        <v>0</v>
      </c>
      <c r="P35" s="29">
        <f ca="1"/>
        <v>0</v>
      </c>
      <c r="Q35" s="29">
        <f ca="1"/>
        <v>0</v>
      </c>
      <c r="R35" s="29">
        <f ca="1"/>
        <v>0</v>
      </c>
      <c r="S35" s="29">
        <f ca="1"/>
        <v>0</v>
      </c>
      <c r="T35" s="29">
        <f ca="1"/>
        <v>0</v>
      </c>
      <c r="U35" s="29">
        <f ca="1"/>
        <v>0</v>
      </c>
      <c r="V35" s="29">
        <f ca="1"/>
        <v>0</v>
      </c>
      <c r="W35" s="29">
        <f ca="1"/>
        <v>0</v>
      </c>
      <c r="X35" s="29">
        <f ca="1"/>
        <v>0</v>
      </c>
      <c r="Y35" s="29">
        <f ca="1"/>
        <v>0</v>
      </c>
      <c r="Z35" s="29">
        <f ca="1"/>
        <v>0</v>
      </c>
      <c r="AA35" s="29">
        <f ca="1"/>
        <v>0</v>
      </c>
      <c r="AB35" s="29">
        <f ca="1"/>
        <v>0</v>
      </c>
      <c r="AC35" s="29">
        <f ca="1"/>
        <v>0</v>
      </c>
      <c r="AD35" s="29">
        <f ca="1"/>
        <v>0</v>
      </c>
      <c r="AE35" s="29">
        <f ca="1"/>
        <v>0</v>
      </c>
      <c r="AF35" s="29">
        <f ca="1"/>
        <v>0</v>
      </c>
      <c r="AG35" s="29">
        <f ca="1"/>
        <v>0</v>
      </c>
      <c r="AH35" s="29">
        <f ca="1"/>
        <v>0</v>
      </c>
      <c r="AI35" s="29">
        <f ca="1"/>
        <v>0</v>
      </c>
      <c r="AJ35" s="29">
        <f ca="1"/>
        <v>0</v>
      </c>
      <c r="AK35" s="29">
        <f ca="1"/>
        <v>0</v>
      </c>
      <c r="AL35" s="44">
        <f ca="1"/>
        <v>0</v>
      </c>
      <c r="AM35" s="10"/>
    </row>
    <row r="36" spans="2:39" ht="15">
      <c r="B36" s="10"/>
      <c r="C36" s="11" t="str">
        <f>"EL 4: " &amp; INDEX(_doName,2,5)</f>
        <v>EL 4: EL 4</v>
      </c>
      <c r="D36" s="12" t="s">
        <v>47</v>
      </c>
      <c r="E36" s="29">
        <v>7.0999999999999994E-2</v>
      </c>
      <c r="F36" s="29">
        <v>7.0999999999999994E-2</v>
      </c>
      <c r="G36" s="29">
        <v>7.0999999999999994E-2</v>
      </c>
      <c r="H36" s="29">
        <f ca="1"/>
        <v>0</v>
      </c>
      <c r="I36" s="29">
        <f ca="1"/>
        <v>0</v>
      </c>
      <c r="J36" s="29">
        <f ca="1"/>
        <v>0</v>
      </c>
      <c r="K36" s="29">
        <f ca="1"/>
        <v>0</v>
      </c>
      <c r="L36" s="29">
        <f ca="1"/>
        <v>0</v>
      </c>
      <c r="M36" s="29">
        <f ca="1"/>
        <v>0</v>
      </c>
      <c r="N36" s="29">
        <f ca="1"/>
        <v>0</v>
      </c>
      <c r="O36" s="29">
        <f ca="1"/>
        <v>0</v>
      </c>
      <c r="P36" s="29">
        <f ca="1"/>
        <v>0</v>
      </c>
      <c r="Q36" s="29">
        <f ca="1"/>
        <v>0</v>
      </c>
      <c r="R36" s="29">
        <f ca="1"/>
        <v>0</v>
      </c>
      <c r="S36" s="29">
        <f ca="1"/>
        <v>0</v>
      </c>
      <c r="T36" s="29">
        <f ca="1"/>
        <v>0</v>
      </c>
      <c r="U36" s="29">
        <f ca="1"/>
        <v>0</v>
      </c>
      <c r="V36" s="29">
        <f ca="1"/>
        <v>0</v>
      </c>
      <c r="W36" s="29">
        <f ca="1"/>
        <v>0</v>
      </c>
      <c r="X36" s="29">
        <f ca="1"/>
        <v>0</v>
      </c>
      <c r="Y36" s="29">
        <f ca="1"/>
        <v>0</v>
      </c>
      <c r="Z36" s="29">
        <f ca="1"/>
        <v>0</v>
      </c>
      <c r="AA36" s="29">
        <f ca="1"/>
        <v>0</v>
      </c>
      <c r="AB36" s="29">
        <f ca="1"/>
        <v>0</v>
      </c>
      <c r="AC36" s="29">
        <f ca="1"/>
        <v>0</v>
      </c>
      <c r="AD36" s="29">
        <f ca="1"/>
        <v>0</v>
      </c>
      <c r="AE36" s="29">
        <f ca="1"/>
        <v>0</v>
      </c>
      <c r="AF36" s="29">
        <f ca="1"/>
        <v>0</v>
      </c>
      <c r="AG36" s="29">
        <f ca="1"/>
        <v>0</v>
      </c>
      <c r="AH36" s="29">
        <f ca="1"/>
        <v>0</v>
      </c>
      <c r="AI36" s="29">
        <f ca="1"/>
        <v>0</v>
      </c>
      <c r="AJ36" s="29">
        <f ca="1"/>
        <v>0</v>
      </c>
      <c r="AK36" s="29">
        <f ca="1"/>
        <v>0</v>
      </c>
      <c r="AL36" s="44">
        <f ca="1"/>
        <v>0</v>
      </c>
      <c r="AM36" s="10"/>
    </row>
    <row r="37" spans="2:39" ht="15">
      <c r="B37" s="10"/>
      <c r="C37" s="11" t="str">
        <f>"EL 5: " &amp; INDEX(_doName,2,6)</f>
        <v>EL 5: EL 5</v>
      </c>
      <c r="D37" s="12" t="s">
        <v>47</v>
      </c>
      <c r="E37" s="29">
        <v>0.245</v>
      </c>
      <c r="F37" s="29">
        <v>0.245</v>
      </c>
      <c r="G37" s="29">
        <v>0.245</v>
      </c>
      <c r="H37" s="29">
        <f ca="1"/>
        <v>0.56499999999999995</v>
      </c>
      <c r="I37" s="29">
        <f ca="1"/>
        <v>0.56499999999999995</v>
      </c>
      <c r="J37" s="29">
        <f ca="1"/>
        <v>0.56499999999999995</v>
      </c>
      <c r="K37" s="29">
        <f ca="1"/>
        <v>0.56499999999999995</v>
      </c>
      <c r="L37" s="29">
        <f ca="1"/>
        <v>0.56499999999999995</v>
      </c>
      <c r="M37" s="29">
        <f ca="1"/>
        <v>0.56499999999999995</v>
      </c>
      <c r="N37" s="29">
        <f ca="1"/>
        <v>0.56499999999999995</v>
      </c>
      <c r="O37" s="29">
        <f ca="1"/>
        <v>0.56499999999999995</v>
      </c>
      <c r="P37" s="29">
        <f ca="1"/>
        <v>0.56499999999999995</v>
      </c>
      <c r="Q37" s="29">
        <f ca="1"/>
        <v>0.56499999999999995</v>
      </c>
      <c r="R37" s="29">
        <f ca="1"/>
        <v>0.56499999999999995</v>
      </c>
      <c r="S37" s="29">
        <f ca="1"/>
        <v>0.56499999999999995</v>
      </c>
      <c r="T37" s="29">
        <f ca="1"/>
        <v>0.56499999999999995</v>
      </c>
      <c r="U37" s="29">
        <f ca="1"/>
        <v>0.56499999999999995</v>
      </c>
      <c r="V37" s="29">
        <f ca="1"/>
        <v>0.56499999999999995</v>
      </c>
      <c r="W37" s="29">
        <f ca="1"/>
        <v>0.56499999999999995</v>
      </c>
      <c r="X37" s="29">
        <f ca="1"/>
        <v>0.56499999999999995</v>
      </c>
      <c r="Y37" s="29">
        <f ca="1"/>
        <v>0.56499999999999995</v>
      </c>
      <c r="Z37" s="29">
        <f ca="1"/>
        <v>0.56499999999999995</v>
      </c>
      <c r="AA37" s="29">
        <f ca="1"/>
        <v>0.56499999999999995</v>
      </c>
      <c r="AB37" s="29">
        <f ca="1"/>
        <v>0.56499999999999995</v>
      </c>
      <c r="AC37" s="29">
        <f ca="1"/>
        <v>0.56499999999999995</v>
      </c>
      <c r="AD37" s="29">
        <f ca="1"/>
        <v>0.56499999999999995</v>
      </c>
      <c r="AE37" s="29">
        <f ca="1"/>
        <v>0.56499999999999995</v>
      </c>
      <c r="AF37" s="29">
        <f ca="1"/>
        <v>0.56499999999999995</v>
      </c>
      <c r="AG37" s="29">
        <f ca="1"/>
        <v>0.56499999999999995</v>
      </c>
      <c r="AH37" s="29">
        <f ca="1"/>
        <v>0.56499999999999995</v>
      </c>
      <c r="AI37" s="29">
        <f ca="1"/>
        <v>0.56499999999999995</v>
      </c>
      <c r="AJ37" s="29">
        <f ca="1"/>
        <v>0.56499999999999995</v>
      </c>
      <c r="AK37" s="29">
        <f ca="1"/>
        <v>0.56499999999999995</v>
      </c>
      <c r="AL37" s="44">
        <f ca="1"/>
        <v>0.56499999999999995</v>
      </c>
      <c r="AM37" s="10"/>
    </row>
    <row r="38" spans="2:39" ht="15">
      <c r="B38" s="10"/>
      <c r="C38" s="21" t="str">
        <f>"EL 6: " &amp; INDEX(_doName,2,7)</f>
        <v>EL 6: EL 6</v>
      </c>
      <c r="D38" s="18" t="s">
        <v>47</v>
      </c>
      <c r="E38" s="46">
        <v>0.435</v>
      </c>
      <c r="F38" s="46">
        <v>0.435</v>
      </c>
      <c r="G38" s="46">
        <v>0.435</v>
      </c>
      <c r="H38" s="46">
        <f ca="1"/>
        <v>0.435</v>
      </c>
      <c r="I38" s="46">
        <f ca="1"/>
        <v>0.435</v>
      </c>
      <c r="J38" s="46">
        <f ca="1"/>
        <v>0.435</v>
      </c>
      <c r="K38" s="46">
        <f ca="1"/>
        <v>0.435</v>
      </c>
      <c r="L38" s="46">
        <f ca="1"/>
        <v>0.435</v>
      </c>
      <c r="M38" s="46">
        <f ca="1"/>
        <v>0.435</v>
      </c>
      <c r="N38" s="46">
        <f ca="1"/>
        <v>0.435</v>
      </c>
      <c r="O38" s="46">
        <f ca="1"/>
        <v>0.435</v>
      </c>
      <c r="P38" s="46">
        <f ca="1"/>
        <v>0.435</v>
      </c>
      <c r="Q38" s="46">
        <f ca="1"/>
        <v>0.435</v>
      </c>
      <c r="R38" s="46">
        <f ca="1"/>
        <v>0.435</v>
      </c>
      <c r="S38" s="46">
        <f ca="1"/>
        <v>0.435</v>
      </c>
      <c r="T38" s="46">
        <f ca="1"/>
        <v>0.435</v>
      </c>
      <c r="U38" s="46">
        <f ca="1"/>
        <v>0.435</v>
      </c>
      <c r="V38" s="46">
        <f ca="1"/>
        <v>0.435</v>
      </c>
      <c r="W38" s="46">
        <f ca="1"/>
        <v>0.435</v>
      </c>
      <c r="X38" s="46">
        <f ca="1"/>
        <v>0.435</v>
      </c>
      <c r="Y38" s="46">
        <f ca="1"/>
        <v>0.435</v>
      </c>
      <c r="Z38" s="46">
        <f ca="1"/>
        <v>0.435</v>
      </c>
      <c r="AA38" s="46">
        <f ca="1"/>
        <v>0.435</v>
      </c>
      <c r="AB38" s="46">
        <f ca="1"/>
        <v>0.435</v>
      </c>
      <c r="AC38" s="46">
        <f ca="1"/>
        <v>0.435</v>
      </c>
      <c r="AD38" s="46">
        <f ca="1"/>
        <v>0.435</v>
      </c>
      <c r="AE38" s="46">
        <f ca="1"/>
        <v>0.435</v>
      </c>
      <c r="AF38" s="46">
        <f ca="1"/>
        <v>0.435</v>
      </c>
      <c r="AG38" s="46">
        <f ca="1"/>
        <v>0.435</v>
      </c>
      <c r="AH38" s="46">
        <f ca="1"/>
        <v>0.435</v>
      </c>
      <c r="AI38" s="46">
        <f ca="1"/>
        <v>0.435</v>
      </c>
      <c r="AJ38" s="46">
        <f ca="1"/>
        <v>0.435</v>
      </c>
      <c r="AK38" s="46">
        <f ca="1"/>
        <v>0.435</v>
      </c>
      <c r="AL38" s="47">
        <f ca="1"/>
        <v>0.435</v>
      </c>
      <c r="AM38" s="10"/>
    </row>
    <row r="39" spans="2:39" ht="15">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2:39" ht="15">
      <c r="B40" s="10"/>
      <c r="C40" s="22" t="s">
        <v>90</v>
      </c>
      <c r="D40" s="23"/>
      <c r="E40" s="24">
        <f t="array" ref="E40:AL40">_yS</f>
        <v>2019</v>
      </c>
      <c r="F40" s="24">
        <v>2020</v>
      </c>
      <c r="G40" s="24">
        <v>2021</v>
      </c>
      <c r="H40" s="24">
        <v>2022</v>
      </c>
      <c r="I40" s="24">
        <v>2023</v>
      </c>
      <c r="J40" s="24">
        <v>2024</v>
      </c>
      <c r="K40" s="24">
        <v>2025</v>
      </c>
      <c r="L40" s="24">
        <v>2026</v>
      </c>
      <c r="M40" s="24">
        <v>2027</v>
      </c>
      <c r="N40" s="24">
        <v>2028</v>
      </c>
      <c r="O40" s="24">
        <v>2029</v>
      </c>
      <c r="P40" s="24">
        <v>2030</v>
      </c>
      <c r="Q40" s="24">
        <v>2031</v>
      </c>
      <c r="R40" s="24">
        <v>2032</v>
      </c>
      <c r="S40" s="24">
        <v>2033</v>
      </c>
      <c r="T40" s="24">
        <v>2034</v>
      </c>
      <c r="U40" s="24">
        <v>2035</v>
      </c>
      <c r="V40" s="24">
        <v>2036</v>
      </c>
      <c r="W40" s="24">
        <v>2037</v>
      </c>
      <c r="X40" s="24">
        <v>2038</v>
      </c>
      <c r="Y40" s="24">
        <v>2039</v>
      </c>
      <c r="Z40" s="24">
        <v>2040</v>
      </c>
      <c r="AA40" s="24">
        <v>2041</v>
      </c>
      <c r="AB40" s="24">
        <v>2042</v>
      </c>
      <c r="AC40" s="24">
        <v>2043</v>
      </c>
      <c r="AD40" s="24">
        <v>2044</v>
      </c>
      <c r="AE40" s="24">
        <v>2045</v>
      </c>
      <c r="AF40" s="24">
        <v>2046</v>
      </c>
      <c r="AG40" s="24">
        <v>2047</v>
      </c>
      <c r="AH40" s="24">
        <v>2048</v>
      </c>
      <c r="AI40" s="24">
        <v>2049</v>
      </c>
      <c r="AJ40" s="24">
        <v>2050</v>
      </c>
      <c r="AK40" s="24">
        <v>2051</v>
      </c>
      <c r="AL40" s="25">
        <v>2052</v>
      </c>
      <c r="AM40" s="10"/>
    </row>
    <row r="41" spans="2:39" ht="15">
      <c r="B41" s="10"/>
      <c r="C41" s="11" t="str">
        <f>"EL 0: " &amp; INDEX(_doName,2,1)</f>
        <v>EL 0: EL 1</v>
      </c>
      <c r="D41" s="12" t="s">
        <v>47</v>
      </c>
      <c r="E41" s="29">
        <f t="array" ref="E41:E47">TRANSPOSE(bcPan)</f>
        <v>7.3999999999999996E-2</v>
      </c>
      <c r="F41" s="29">
        <f t="array" ref="F41:AL41">$E$41</f>
        <v>7.3999999999999996E-2</v>
      </c>
      <c r="G41" s="29">
        <v>7.3999999999999996E-2</v>
      </c>
      <c r="H41" s="29">
        <v>7.3999999999999996E-2</v>
      </c>
      <c r="I41" s="29">
        <v>7.3999999999999996E-2</v>
      </c>
      <c r="J41" s="29">
        <v>7.3999999999999996E-2</v>
      </c>
      <c r="K41" s="29">
        <v>7.3999999999999996E-2</v>
      </c>
      <c r="L41" s="29">
        <v>7.3999999999999996E-2</v>
      </c>
      <c r="M41" s="29">
        <v>7.3999999999999996E-2</v>
      </c>
      <c r="N41" s="29">
        <v>7.3999999999999996E-2</v>
      </c>
      <c r="O41" s="29">
        <v>7.3999999999999996E-2</v>
      </c>
      <c r="P41" s="29">
        <v>7.3999999999999996E-2</v>
      </c>
      <c r="Q41" s="29">
        <v>7.3999999999999996E-2</v>
      </c>
      <c r="R41" s="29">
        <v>7.3999999999999996E-2</v>
      </c>
      <c r="S41" s="29">
        <v>7.3999999999999996E-2</v>
      </c>
      <c r="T41" s="29">
        <v>7.3999999999999996E-2</v>
      </c>
      <c r="U41" s="29">
        <v>7.3999999999999996E-2</v>
      </c>
      <c r="V41" s="29">
        <v>7.3999999999999996E-2</v>
      </c>
      <c r="W41" s="29">
        <v>7.3999999999999996E-2</v>
      </c>
      <c r="X41" s="29">
        <v>7.3999999999999996E-2</v>
      </c>
      <c r="Y41" s="29">
        <v>7.3999999999999996E-2</v>
      </c>
      <c r="Z41" s="29">
        <v>7.3999999999999996E-2</v>
      </c>
      <c r="AA41" s="29">
        <v>7.3999999999999996E-2</v>
      </c>
      <c r="AB41" s="29">
        <v>7.3999999999999996E-2</v>
      </c>
      <c r="AC41" s="29">
        <v>7.3999999999999996E-2</v>
      </c>
      <c r="AD41" s="29">
        <v>7.3999999999999996E-2</v>
      </c>
      <c r="AE41" s="29">
        <v>7.3999999999999996E-2</v>
      </c>
      <c r="AF41" s="29">
        <v>7.3999999999999996E-2</v>
      </c>
      <c r="AG41" s="29">
        <v>7.3999999999999996E-2</v>
      </c>
      <c r="AH41" s="29">
        <v>7.3999999999999996E-2</v>
      </c>
      <c r="AI41" s="29">
        <v>7.3999999999999996E-2</v>
      </c>
      <c r="AJ41" s="29">
        <v>7.3999999999999996E-2</v>
      </c>
      <c r="AK41" s="29">
        <v>7.3999999999999996E-2</v>
      </c>
      <c r="AL41" s="44">
        <v>7.3999999999999996E-2</v>
      </c>
      <c r="AM41" s="10"/>
    </row>
    <row r="42" spans="2:39" ht="15">
      <c r="B42" s="10"/>
      <c r="C42" s="11" t="str">
        <f>"EL 1: " &amp; INDEX(_doName,2,2)</f>
        <v>EL 1: EL 1</v>
      </c>
      <c r="D42" s="12" t="s">
        <v>47</v>
      </c>
      <c r="E42" s="29">
        <v>4.2999999999999997E-2</v>
      </c>
      <c r="F42" s="29">
        <f t="array" ref="F42:AL42">$E$42</f>
        <v>4.2999999999999997E-2</v>
      </c>
      <c r="G42" s="29">
        <v>4.2999999999999997E-2</v>
      </c>
      <c r="H42" s="29">
        <v>4.2999999999999997E-2</v>
      </c>
      <c r="I42" s="29">
        <v>4.2999999999999997E-2</v>
      </c>
      <c r="J42" s="29">
        <v>4.2999999999999997E-2</v>
      </c>
      <c r="K42" s="29">
        <v>4.2999999999999997E-2</v>
      </c>
      <c r="L42" s="29">
        <v>4.2999999999999997E-2</v>
      </c>
      <c r="M42" s="29">
        <v>4.2999999999999997E-2</v>
      </c>
      <c r="N42" s="29">
        <v>4.2999999999999997E-2</v>
      </c>
      <c r="O42" s="29">
        <v>4.2999999999999997E-2</v>
      </c>
      <c r="P42" s="29">
        <v>4.2999999999999997E-2</v>
      </c>
      <c r="Q42" s="29">
        <v>4.2999999999999997E-2</v>
      </c>
      <c r="R42" s="29">
        <v>4.2999999999999997E-2</v>
      </c>
      <c r="S42" s="29">
        <v>4.2999999999999997E-2</v>
      </c>
      <c r="T42" s="29">
        <v>4.2999999999999997E-2</v>
      </c>
      <c r="U42" s="29">
        <v>4.2999999999999997E-2</v>
      </c>
      <c r="V42" s="29">
        <v>4.2999999999999997E-2</v>
      </c>
      <c r="W42" s="29">
        <v>4.2999999999999997E-2</v>
      </c>
      <c r="X42" s="29">
        <v>4.2999999999999997E-2</v>
      </c>
      <c r="Y42" s="29">
        <v>4.2999999999999997E-2</v>
      </c>
      <c r="Z42" s="29">
        <v>4.2999999999999997E-2</v>
      </c>
      <c r="AA42" s="29">
        <v>4.2999999999999997E-2</v>
      </c>
      <c r="AB42" s="29">
        <v>4.2999999999999997E-2</v>
      </c>
      <c r="AC42" s="29">
        <v>4.2999999999999997E-2</v>
      </c>
      <c r="AD42" s="29">
        <v>4.2999999999999997E-2</v>
      </c>
      <c r="AE42" s="29">
        <v>4.2999999999999997E-2</v>
      </c>
      <c r="AF42" s="29">
        <v>4.2999999999999997E-2</v>
      </c>
      <c r="AG42" s="29">
        <v>4.2999999999999997E-2</v>
      </c>
      <c r="AH42" s="29">
        <v>4.2999999999999997E-2</v>
      </c>
      <c r="AI42" s="29">
        <v>4.2999999999999997E-2</v>
      </c>
      <c r="AJ42" s="29">
        <v>4.2999999999999997E-2</v>
      </c>
      <c r="AK42" s="29">
        <v>4.2999999999999997E-2</v>
      </c>
      <c r="AL42" s="44">
        <v>4.2999999999999997E-2</v>
      </c>
      <c r="AM42" s="10"/>
    </row>
    <row r="43" spans="2:39" ht="15">
      <c r="B43" s="10"/>
      <c r="C43" s="11" t="str">
        <f>"EL 2: " &amp; INDEX(_doName,2,3)</f>
        <v>EL 2: EL 2</v>
      </c>
      <c r="D43" s="12" t="s">
        <v>47</v>
      </c>
      <c r="E43" s="29">
        <v>5.6000000000000001E-2</v>
      </c>
      <c r="F43" s="29">
        <f t="array" ref="F43:AL43">$E$43</f>
        <v>5.6000000000000001E-2</v>
      </c>
      <c r="G43" s="29">
        <v>5.6000000000000001E-2</v>
      </c>
      <c r="H43" s="29">
        <v>5.6000000000000001E-2</v>
      </c>
      <c r="I43" s="29">
        <v>5.6000000000000001E-2</v>
      </c>
      <c r="J43" s="29">
        <v>5.6000000000000001E-2</v>
      </c>
      <c r="K43" s="29">
        <v>5.6000000000000001E-2</v>
      </c>
      <c r="L43" s="29">
        <v>5.6000000000000001E-2</v>
      </c>
      <c r="M43" s="29">
        <v>5.6000000000000001E-2</v>
      </c>
      <c r="N43" s="29">
        <v>5.6000000000000001E-2</v>
      </c>
      <c r="O43" s="29">
        <v>5.6000000000000001E-2</v>
      </c>
      <c r="P43" s="29">
        <v>5.6000000000000001E-2</v>
      </c>
      <c r="Q43" s="29">
        <v>5.6000000000000001E-2</v>
      </c>
      <c r="R43" s="29">
        <v>5.6000000000000001E-2</v>
      </c>
      <c r="S43" s="29">
        <v>5.6000000000000001E-2</v>
      </c>
      <c r="T43" s="29">
        <v>5.6000000000000001E-2</v>
      </c>
      <c r="U43" s="29">
        <v>5.6000000000000001E-2</v>
      </c>
      <c r="V43" s="29">
        <v>5.6000000000000001E-2</v>
      </c>
      <c r="W43" s="29">
        <v>5.6000000000000001E-2</v>
      </c>
      <c r="X43" s="29">
        <v>5.6000000000000001E-2</v>
      </c>
      <c r="Y43" s="29">
        <v>5.6000000000000001E-2</v>
      </c>
      <c r="Z43" s="29">
        <v>5.6000000000000001E-2</v>
      </c>
      <c r="AA43" s="29">
        <v>5.6000000000000001E-2</v>
      </c>
      <c r="AB43" s="29">
        <v>5.6000000000000001E-2</v>
      </c>
      <c r="AC43" s="29">
        <v>5.6000000000000001E-2</v>
      </c>
      <c r="AD43" s="29">
        <v>5.6000000000000001E-2</v>
      </c>
      <c r="AE43" s="29">
        <v>5.6000000000000001E-2</v>
      </c>
      <c r="AF43" s="29">
        <v>5.6000000000000001E-2</v>
      </c>
      <c r="AG43" s="29">
        <v>5.6000000000000001E-2</v>
      </c>
      <c r="AH43" s="29">
        <v>5.6000000000000001E-2</v>
      </c>
      <c r="AI43" s="29">
        <v>5.6000000000000001E-2</v>
      </c>
      <c r="AJ43" s="29">
        <v>5.6000000000000001E-2</v>
      </c>
      <c r="AK43" s="29">
        <v>5.6000000000000001E-2</v>
      </c>
      <c r="AL43" s="44">
        <v>5.6000000000000001E-2</v>
      </c>
      <c r="AM43" s="10"/>
    </row>
    <row r="44" spans="2:39" ht="15">
      <c r="B44" s="10"/>
      <c r="C44" s="11" t="str">
        <f>"EL 3: " &amp; INDEX(_doName,2,4)</f>
        <v>EL 3: EL 3</v>
      </c>
      <c r="D44" s="12" t="s">
        <v>47</v>
      </c>
      <c r="E44" s="29">
        <v>7.5999999999999998E-2</v>
      </c>
      <c r="F44" s="29">
        <f t="array" ref="F44:AL44">$E$44</f>
        <v>7.5999999999999998E-2</v>
      </c>
      <c r="G44" s="29">
        <v>7.5999999999999998E-2</v>
      </c>
      <c r="H44" s="29">
        <v>7.5999999999999998E-2</v>
      </c>
      <c r="I44" s="29">
        <v>7.5999999999999998E-2</v>
      </c>
      <c r="J44" s="29">
        <v>7.5999999999999998E-2</v>
      </c>
      <c r="K44" s="29">
        <v>7.5999999999999998E-2</v>
      </c>
      <c r="L44" s="29">
        <v>7.5999999999999998E-2</v>
      </c>
      <c r="M44" s="29">
        <v>7.5999999999999998E-2</v>
      </c>
      <c r="N44" s="29">
        <v>7.5999999999999998E-2</v>
      </c>
      <c r="O44" s="29">
        <v>7.5999999999999998E-2</v>
      </c>
      <c r="P44" s="29">
        <v>7.5999999999999998E-2</v>
      </c>
      <c r="Q44" s="29">
        <v>7.5999999999999998E-2</v>
      </c>
      <c r="R44" s="29">
        <v>7.5999999999999998E-2</v>
      </c>
      <c r="S44" s="29">
        <v>7.5999999999999998E-2</v>
      </c>
      <c r="T44" s="29">
        <v>7.5999999999999998E-2</v>
      </c>
      <c r="U44" s="29">
        <v>7.5999999999999998E-2</v>
      </c>
      <c r="V44" s="29">
        <v>7.5999999999999998E-2</v>
      </c>
      <c r="W44" s="29">
        <v>7.5999999999999998E-2</v>
      </c>
      <c r="X44" s="29">
        <v>7.5999999999999998E-2</v>
      </c>
      <c r="Y44" s="29">
        <v>7.5999999999999998E-2</v>
      </c>
      <c r="Z44" s="29">
        <v>7.5999999999999998E-2</v>
      </c>
      <c r="AA44" s="29">
        <v>7.5999999999999998E-2</v>
      </c>
      <c r="AB44" s="29">
        <v>7.5999999999999998E-2</v>
      </c>
      <c r="AC44" s="29">
        <v>7.5999999999999998E-2</v>
      </c>
      <c r="AD44" s="29">
        <v>7.5999999999999998E-2</v>
      </c>
      <c r="AE44" s="29">
        <v>7.5999999999999998E-2</v>
      </c>
      <c r="AF44" s="29">
        <v>7.5999999999999998E-2</v>
      </c>
      <c r="AG44" s="29">
        <v>7.5999999999999998E-2</v>
      </c>
      <c r="AH44" s="29">
        <v>7.5999999999999998E-2</v>
      </c>
      <c r="AI44" s="29">
        <v>7.5999999999999998E-2</v>
      </c>
      <c r="AJ44" s="29">
        <v>7.5999999999999998E-2</v>
      </c>
      <c r="AK44" s="29">
        <v>7.5999999999999998E-2</v>
      </c>
      <c r="AL44" s="44">
        <v>7.5999999999999998E-2</v>
      </c>
      <c r="AM44" s="10"/>
    </row>
    <row r="45" spans="2:39" ht="15">
      <c r="B45" s="10"/>
      <c r="C45" s="11" t="str">
        <f>"EL 4: " &amp; INDEX(_doName,2,5)</f>
        <v>EL 4: EL 4</v>
      </c>
      <c r="D45" s="12" t="s">
        <v>47</v>
      </c>
      <c r="E45" s="29">
        <v>7.0999999999999994E-2</v>
      </c>
      <c r="F45" s="29">
        <f t="array" ref="F45:AL45">$E$45</f>
        <v>7.0999999999999994E-2</v>
      </c>
      <c r="G45" s="29">
        <v>7.0999999999999994E-2</v>
      </c>
      <c r="H45" s="29">
        <v>7.0999999999999994E-2</v>
      </c>
      <c r="I45" s="29">
        <v>7.0999999999999994E-2</v>
      </c>
      <c r="J45" s="29">
        <v>7.0999999999999994E-2</v>
      </c>
      <c r="K45" s="29">
        <v>7.0999999999999994E-2</v>
      </c>
      <c r="L45" s="29">
        <v>7.0999999999999994E-2</v>
      </c>
      <c r="M45" s="29">
        <v>7.0999999999999994E-2</v>
      </c>
      <c r="N45" s="29">
        <v>7.0999999999999994E-2</v>
      </c>
      <c r="O45" s="29">
        <v>7.0999999999999994E-2</v>
      </c>
      <c r="P45" s="29">
        <v>7.0999999999999994E-2</v>
      </c>
      <c r="Q45" s="29">
        <v>7.0999999999999994E-2</v>
      </c>
      <c r="R45" s="29">
        <v>7.0999999999999994E-2</v>
      </c>
      <c r="S45" s="29">
        <v>7.0999999999999994E-2</v>
      </c>
      <c r="T45" s="29">
        <v>7.0999999999999994E-2</v>
      </c>
      <c r="U45" s="29">
        <v>7.0999999999999994E-2</v>
      </c>
      <c r="V45" s="29">
        <v>7.0999999999999994E-2</v>
      </c>
      <c r="W45" s="29">
        <v>7.0999999999999994E-2</v>
      </c>
      <c r="X45" s="29">
        <v>7.0999999999999994E-2</v>
      </c>
      <c r="Y45" s="29">
        <v>7.0999999999999994E-2</v>
      </c>
      <c r="Z45" s="29">
        <v>7.0999999999999994E-2</v>
      </c>
      <c r="AA45" s="29">
        <v>7.0999999999999994E-2</v>
      </c>
      <c r="AB45" s="29">
        <v>7.0999999999999994E-2</v>
      </c>
      <c r="AC45" s="29">
        <v>7.0999999999999994E-2</v>
      </c>
      <c r="AD45" s="29">
        <v>7.0999999999999994E-2</v>
      </c>
      <c r="AE45" s="29">
        <v>7.0999999999999994E-2</v>
      </c>
      <c r="AF45" s="29">
        <v>7.0999999999999994E-2</v>
      </c>
      <c r="AG45" s="29">
        <v>7.0999999999999994E-2</v>
      </c>
      <c r="AH45" s="29">
        <v>7.0999999999999994E-2</v>
      </c>
      <c r="AI45" s="29">
        <v>7.0999999999999994E-2</v>
      </c>
      <c r="AJ45" s="29">
        <v>7.0999999999999994E-2</v>
      </c>
      <c r="AK45" s="29">
        <v>7.0999999999999994E-2</v>
      </c>
      <c r="AL45" s="44">
        <v>7.0999999999999994E-2</v>
      </c>
      <c r="AM45" s="10"/>
    </row>
    <row r="46" spans="2:39" ht="15">
      <c r="B46" s="10"/>
      <c r="C46" s="11" t="str">
        <f>"EL 5: " &amp; INDEX(_doName,2,6)</f>
        <v>EL 5: EL 5</v>
      </c>
      <c r="D46" s="12" t="s">
        <v>47</v>
      </c>
      <c r="E46" s="29">
        <v>0.245</v>
      </c>
      <c r="F46" s="29">
        <f t="array" ref="F46:AL46">$E$46</f>
        <v>0.245</v>
      </c>
      <c r="G46" s="29">
        <v>0.245</v>
      </c>
      <c r="H46" s="29">
        <v>0.245</v>
      </c>
      <c r="I46" s="29">
        <v>0.245</v>
      </c>
      <c r="J46" s="29">
        <v>0.245</v>
      </c>
      <c r="K46" s="29">
        <v>0.245</v>
      </c>
      <c r="L46" s="29">
        <v>0.245</v>
      </c>
      <c r="M46" s="29">
        <v>0.245</v>
      </c>
      <c r="N46" s="29">
        <v>0.245</v>
      </c>
      <c r="O46" s="29">
        <v>0.245</v>
      </c>
      <c r="P46" s="29">
        <v>0.245</v>
      </c>
      <c r="Q46" s="29">
        <v>0.245</v>
      </c>
      <c r="R46" s="29">
        <v>0.245</v>
      </c>
      <c r="S46" s="29">
        <v>0.245</v>
      </c>
      <c r="T46" s="29">
        <v>0.245</v>
      </c>
      <c r="U46" s="29">
        <v>0.245</v>
      </c>
      <c r="V46" s="29">
        <v>0.245</v>
      </c>
      <c r="W46" s="29">
        <v>0.245</v>
      </c>
      <c r="X46" s="29">
        <v>0.245</v>
      </c>
      <c r="Y46" s="29">
        <v>0.245</v>
      </c>
      <c r="Z46" s="29">
        <v>0.245</v>
      </c>
      <c r="AA46" s="29">
        <v>0.245</v>
      </c>
      <c r="AB46" s="29">
        <v>0.245</v>
      </c>
      <c r="AC46" s="29">
        <v>0.245</v>
      </c>
      <c r="AD46" s="29">
        <v>0.245</v>
      </c>
      <c r="AE46" s="29">
        <v>0.245</v>
      </c>
      <c r="AF46" s="29">
        <v>0.245</v>
      </c>
      <c r="AG46" s="29">
        <v>0.245</v>
      </c>
      <c r="AH46" s="29">
        <v>0.245</v>
      </c>
      <c r="AI46" s="29">
        <v>0.245</v>
      </c>
      <c r="AJ46" s="29">
        <v>0.245</v>
      </c>
      <c r="AK46" s="29">
        <v>0.245</v>
      </c>
      <c r="AL46" s="44">
        <v>0.245</v>
      </c>
      <c r="AM46" s="10"/>
    </row>
    <row r="47" spans="2:39" ht="15">
      <c r="B47" s="10"/>
      <c r="C47" s="21" t="str">
        <f>"EL 6: " &amp; INDEX(_doName,2,7)</f>
        <v>EL 6: EL 6</v>
      </c>
      <c r="D47" s="18" t="s">
        <v>47</v>
      </c>
      <c r="E47" s="46">
        <v>0.435</v>
      </c>
      <c r="F47" s="46">
        <f t="array" ref="F47:AL47">$E$47</f>
        <v>0.435</v>
      </c>
      <c r="G47" s="46">
        <v>0.435</v>
      </c>
      <c r="H47" s="46">
        <v>0.435</v>
      </c>
      <c r="I47" s="46">
        <v>0.435</v>
      </c>
      <c r="J47" s="46">
        <v>0.435</v>
      </c>
      <c r="K47" s="46">
        <v>0.435</v>
      </c>
      <c r="L47" s="46">
        <v>0.435</v>
      </c>
      <c r="M47" s="46">
        <v>0.435</v>
      </c>
      <c r="N47" s="46">
        <v>0.435</v>
      </c>
      <c r="O47" s="46">
        <v>0.435</v>
      </c>
      <c r="P47" s="46">
        <v>0.435</v>
      </c>
      <c r="Q47" s="46">
        <v>0.435</v>
      </c>
      <c r="R47" s="46">
        <v>0.435</v>
      </c>
      <c r="S47" s="46">
        <v>0.435</v>
      </c>
      <c r="T47" s="46">
        <v>0.435</v>
      </c>
      <c r="U47" s="46">
        <v>0.435</v>
      </c>
      <c r="V47" s="46">
        <v>0.435</v>
      </c>
      <c r="W47" s="46">
        <v>0.435</v>
      </c>
      <c r="X47" s="46">
        <v>0.435</v>
      </c>
      <c r="Y47" s="46">
        <v>0.435</v>
      </c>
      <c r="Z47" s="46">
        <v>0.435</v>
      </c>
      <c r="AA47" s="46">
        <v>0.435</v>
      </c>
      <c r="AB47" s="46">
        <v>0.435</v>
      </c>
      <c r="AC47" s="46">
        <v>0.435</v>
      </c>
      <c r="AD47" s="46">
        <v>0.435</v>
      </c>
      <c r="AE47" s="46">
        <v>0.435</v>
      </c>
      <c r="AF47" s="46">
        <v>0.435</v>
      </c>
      <c r="AG47" s="46">
        <v>0.435</v>
      </c>
      <c r="AH47" s="46">
        <v>0.435</v>
      </c>
      <c r="AI47" s="46">
        <v>0.435</v>
      </c>
      <c r="AJ47" s="46">
        <v>0.435</v>
      </c>
      <c r="AK47" s="46">
        <v>0.435</v>
      </c>
      <c r="AL47" s="47">
        <v>0.435</v>
      </c>
      <c r="AM47" s="10"/>
    </row>
    <row r="48" spans="2:39" ht="15">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2:39" ht="15" hidden="1">
      <c r="B49" s="10"/>
      <c r="C49" s="22" t="s">
        <v>89</v>
      </c>
      <c r="D49" s="23"/>
      <c r="E49" s="24">
        <f t="array" ref="E49:AL49">_yS</f>
        <v>2019</v>
      </c>
      <c r="F49" s="24">
        <v>2020</v>
      </c>
      <c r="G49" s="24">
        <v>2021</v>
      </c>
      <c r="H49" s="24">
        <v>2022</v>
      </c>
      <c r="I49" s="24">
        <v>2023</v>
      </c>
      <c r="J49" s="24">
        <v>2024</v>
      </c>
      <c r="K49" s="24">
        <v>2025</v>
      </c>
      <c r="L49" s="24">
        <v>2026</v>
      </c>
      <c r="M49" s="24">
        <v>2027</v>
      </c>
      <c r="N49" s="24">
        <v>2028</v>
      </c>
      <c r="O49" s="24">
        <v>2029</v>
      </c>
      <c r="P49" s="24">
        <v>2030</v>
      </c>
      <c r="Q49" s="24">
        <v>2031</v>
      </c>
      <c r="R49" s="24">
        <v>2032</v>
      </c>
      <c r="S49" s="24">
        <v>2033</v>
      </c>
      <c r="T49" s="24">
        <v>2034</v>
      </c>
      <c r="U49" s="24">
        <v>2035</v>
      </c>
      <c r="V49" s="24">
        <v>2036</v>
      </c>
      <c r="W49" s="24">
        <v>2037</v>
      </c>
      <c r="X49" s="24">
        <v>2038</v>
      </c>
      <c r="Y49" s="24">
        <v>2039</v>
      </c>
      <c r="Z49" s="24">
        <v>2040</v>
      </c>
      <c r="AA49" s="24">
        <v>2041</v>
      </c>
      <c r="AB49" s="24">
        <v>2042</v>
      </c>
      <c r="AC49" s="24">
        <v>2043</v>
      </c>
      <c r="AD49" s="24">
        <v>2044</v>
      </c>
      <c r="AE49" s="24">
        <v>2045</v>
      </c>
      <c r="AF49" s="24">
        <v>2046</v>
      </c>
      <c r="AG49" s="24">
        <v>2047</v>
      </c>
      <c r="AH49" s="24">
        <v>2048</v>
      </c>
      <c r="AI49" s="24">
        <v>2049</v>
      </c>
      <c r="AJ49" s="24">
        <v>2050</v>
      </c>
      <c r="AK49" s="24">
        <v>2051</v>
      </c>
      <c r="AL49" s="25">
        <v>2052</v>
      </c>
      <c r="AM49" s="10"/>
    </row>
    <row r="50" spans="2:39" ht="15" hidden="1">
      <c r="B50" s="10"/>
      <c r="C50" s="11" t="str">
        <f>"EL 0: " &amp; INDEX(_doName,2,1)</f>
        <v>EL 0: EL 1</v>
      </c>
      <c r="D50" s="12"/>
      <c r="E50" s="13">
        <f t="array" ref="E50:AL50">tlccQubc0</f>
        <v>1673.5319219999999</v>
      </c>
      <c r="F50" s="13">
        <v>1673.5319219999999</v>
      </c>
      <c r="G50" s="13">
        <v>1673.5319219999999</v>
      </c>
      <c r="H50" s="13">
        <v>1673.5319219999999</v>
      </c>
      <c r="I50" s="13">
        <v>1673.5319219999999</v>
      </c>
      <c r="J50" s="13">
        <v>1673.5319219999999</v>
      </c>
      <c r="K50" s="13">
        <v>1673.5319219999999</v>
      </c>
      <c r="L50" s="13">
        <v>1673.5319219999999</v>
      </c>
      <c r="M50" s="13">
        <v>1673.5319219999999</v>
      </c>
      <c r="N50" s="13">
        <v>1673.5319219999999</v>
      </c>
      <c r="O50" s="13">
        <v>1673.5319219999999</v>
      </c>
      <c r="P50" s="13">
        <v>1673.5319219999999</v>
      </c>
      <c r="Q50" s="13">
        <v>1673.5319219999999</v>
      </c>
      <c r="R50" s="13">
        <v>1673.5319219999999</v>
      </c>
      <c r="S50" s="13">
        <v>1673.5319219999999</v>
      </c>
      <c r="T50" s="13">
        <v>1673.5319219999999</v>
      </c>
      <c r="U50" s="13">
        <v>1673.5319219999999</v>
      </c>
      <c r="V50" s="13">
        <v>1673.5319219999999</v>
      </c>
      <c r="W50" s="13">
        <v>1673.5319219999999</v>
      </c>
      <c r="X50" s="13">
        <v>1673.5319219999999</v>
      </c>
      <c r="Y50" s="13">
        <v>1673.5319219999999</v>
      </c>
      <c r="Z50" s="13">
        <v>1673.5319219999999</v>
      </c>
      <c r="AA50" s="13">
        <v>1673.5319219999999</v>
      </c>
      <c r="AB50" s="13">
        <v>1673.5319219999999</v>
      </c>
      <c r="AC50" s="13">
        <v>1673.5319219999999</v>
      </c>
      <c r="AD50" s="13">
        <v>1673.5319219999999</v>
      </c>
      <c r="AE50" s="13">
        <v>1673.5319219999999</v>
      </c>
      <c r="AF50" s="13">
        <v>1673.5319219999999</v>
      </c>
      <c r="AG50" s="13">
        <v>1673.5319219999999</v>
      </c>
      <c r="AH50" s="13">
        <v>1673.5319219999999</v>
      </c>
      <c r="AI50" s="13">
        <v>1673.5319219999999</v>
      </c>
      <c r="AJ50" s="13">
        <v>1673.5319219999999</v>
      </c>
      <c r="AK50" s="13">
        <v>1673.5319219999999</v>
      </c>
      <c r="AL50" s="56">
        <v>1673.5319219999999</v>
      </c>
      <c r="AM50" s="10"/>
    </row>
    <row r="51" spans="2:39" ht="15" hidden="1">
      <c r="B51" s="10"/>
      <c r="C51" s="11" t="str">
        <f>"EL 1: " &amp; INDEX(_doName,2,2)</f>
        <v>EL 1: EL 1</v>
      </c>
      <c r="D51" s="12"/>
      <c r="E51" s="13">
        <f t="array" ref="E51:AL51">tlccQubc1</f>
        <v>1696.3370890000001</v>
      </c>
      <c r="F51" s="13">
        <v>1696.3370890000001</v>
      </c>
      <c r="G51" s="13">
        <v>1696.3370890000001</v>
      </c>
      <c r="H51" s="13">
        <v>1696.3370890000001</v>
      </c>
      <c r="I51" s="13">
        <v>1696.3370890000001</v>
      </c>
      <c r="J51" s="13">
        <v>1696.3370890000001</v>
      </c>
      <c r="K51" s="13">
        <v>1696.3370890000001</v>
      </c>
      <c r="L51" s="13">
        <v>1696.3370890000001</v>
      </c>
      <c r="M51" s="13">
        <v>1696.3370890000001</v>
      </c>
      <c r="N51" s="13">
        <v>1696.3370890000001</v>
      </c>
      <c r="O51" s="13">
        <v>1696.3370890000001</v>
      </c>
      <c r="P51" s="13">
        <v>1696.3370890000001</v>
      </c>
      <c r="Q51" s="13">
        <v>1696.3370890000001</v>
      </c>
      <c r="R51" s="13">
        <v>1696.3370890000001</v>
      </c>
      <c r="S51" s="13">
        <v>1696.3370890000001</v>
      </c>
      <c r="T51" s="13">
        <v>1696.3370890000001</v>
      </c>
      <c r="U51" s="13">
        <v>1696.3370890000001</v>
      </c>
      <c r="V51" s="13">
        <v>1696.3370890000001</v>
      </c>
      <c r="W51" s="13">
        <v>1696.3370890000001</v>
      </c>
      <c r="X51" s="13">
        <v>1696.3370890000001</v>
      </c>
      <c r="Y51" s="13">
        <v>1696.3370890000001</v>
      </c>
      <c r="Z51" s="13">
        <v>1696.3370890000001</v>
      </c>
      <c r="AA51" s="13">
        <v>1696.3370890000001</v>
      </c>
      <c r="AB51" s="13">
        <v>1696.3370890000001</v>
      </c>
      <c r="AC51" s="13">
        <v>1696.3370890000001</v>
      </c>
      <c r="AD51" s="13">
        <v>1696.3370890000001</v>
      </c>
      <c r="AE51" s="13">
        <v>1696.3370890000001</v>
      </c>
      <c r="AF51" s="13">
        <v>1696.3370890000001</v>
      </c>
      <c r="AG51" s="13">
        <v>1696.3370890000001</v>
      </c>
      <c r="AH51" s="13">
        <v>1696.3370890000001</v>
      </c>
      <c r="AI51" s="13">
        <v>1696.3370890000001</v>
      </c>
      <c r="AJ51" s="13">
        <v>1696.3370890000001</v>
      </c>
      <c r="AK51" s="13">
        <v>1696.3370890000001</v>
      </c>
      <c r="AL51" s="56">
        <v>1696.3370890000001</v>
      </c>
      <c r="AM51" s="10"/>
    </row>
    <row r="52" spans="2:39" ht="15" hidden="1">
      <c r="B52" s="10"/>
      <c r="C52" s="11" t="str">
        <f>"EL 2: " &amp; INDEX(_doName,2,3)</f>
        <v>EL 2: EL 2</v>
      </c>
      <c r="D52" s="12"/>
      <c r="E52" s="13">
        <f t="array" ref="E52:AL52">tlccQubc2</f>
        <v>1710.433331</v>
      </c>
      <c r="F52" s="13">
        <v>1710.433331</v>
      </c>
      <c r="G52" s="13">
        <v>1710.433331</v>
      </c>
      <c r="H52" s="13">
        <v>1710.433331</v>
      </c>
      <c r="I52" s="13">
        <v>1710.433331</v>
      </c>
      <c r="J52" s="13">
        <v>1710.433331</v>
      </c>
      <c r="K52" s="13">
        <v>1710.433331</v>
      </c>
      <c r="L52" s="13">
        <v>1710.433331</v>
      </c>
      <c r="M52" s="13">
        <v>1710.433331</v>
      </c>
      <c r="N52" s="13">
        <v>1710.433331</v>
      </c>
      <c r="O52" s="13">
        <v>1710.433331</v>
      </c>
      <c r="P52" s="13">
        <v>1710.433331</v>
      </c>
      <c r="Q52" s="13">
        <v>1710.433331</v>
      </c>
      <c r="R52" s="13">
        <v>1710.433331</v>
      </c>
      <c r="S52" s="13">
        <v>1710.433331</v>
      </c>
      <c r="T52" s="13">
        <v>1710.433331</v>
      </c>
      <c r="U52" s="13">
        <v>1710.433331</v>
      </c>
      <c r="V52" s="13">
        <v>1710.433331</v>
      </c>
      <c r="W52" s="13">
        <v>1710.433331</v>
      </c>
      <c r="X52" s="13">
        <v>1710.433331</v>
      </c>
      <c r="Y52" s="13">
        <v>1710.433331</v>
      </c>
      <c r="Z52" s="13">
        <v>1710.433331</v>
      </c>
      <c r="AA52" s="13">
        <v>1710.433331</v>
      </c>
      <c r="AB52" s="13">
        <v>1710.433331</v>
      </c>
      <c r="AC52" s="13">
        <v>1710.433331</v>
      </c>
      <c r="AD52" s="13">
        <v>1710.433331</v>
      </c>
      <c r="AE52" s="13">
        <v>1710.433331</v>
      </c>
      <c r="AF52" s="13">
        <v>1710.433331</v>
      </c>
      <c r="AG52" s="13">
        <v>1710.433331</v>
      </c>
      <c r="AH52" s="13">
        <v>1710.433331</v>
      </c>
      <c r="AI52" s="13">
        <v>1710.433331</v>
      </c>
      <c r="AJ52" s="13">
        <v>1710.433331</v>
      </c>
      <c r="AK52" s="13">
        <v>1710.433331</v>
      </c>
      <c r="AL52" s="56">
        <v>1710.433331</v>
      </c>
      <c r="AM52" s="10"/>
    </row>
    <row r="53" spans="2:39" ht="15" hidden="1">
      <c r="B53" s="10"/>
      <c r="C53" s="11" t="str">
        <f>"EL 3: " &amp; INDEX(_doName,2,4)</f>
        <v>EL 3: EL 3</v>
      </c>
      <c r="D53" s="12"/>
      <c r="E53" s="13">
        <f t="array" ref="E53:AL53">tlccQubc3</f>
        <v>1729.822977</v>
      </c>
      <c r="F53" s="13">
        <v>1729.822977</v>
      </c>
      <c r="G53" s="13">
        <v>1729.822977</v>
      </c>
      <c r="H53" s="13">
        <v>1729.822977</v>
      </c>
      <c r="I53" s="13">
        <v>1729.822977</v>
      </c>
      <c r="J53" s="13">
        <v>1729.822977</v>
      </c>
      <c r="K53" s="13">
        <v>1729.822977</v>
      </c>
      <c r="L53" s="13">
        <v>1729.822977</v>
      </c>
      <c r="M53" s="13">
        <v>1729.822977</v>
      </c>
      <c r="N53" s="13">
        <v>1729.822977</v>
      </c>
      <c r="O53" s="13">
        <v>1729.822977</v>
      </c>
      <c r="P53" s="13">
        <v>1729.822977</v>
      </c>
      <c r="Q53" s="13">
        <v>1729.822977</v>
      </c>
      <c r="R53" s="13">
        <v>1729.822977</v>
      </c>
      <c r="S53" s="13">
        <v>1729.822977</v>
      </c>
      <c r="T53" s="13">
        <v>1729.822977</v>
      </c>
      <c r="U53" s="13">
        <v>1729.822977</v>
      </c>
      <c r="V53" s="13">
        <v>1729.822977</v>
      </c>
      <c r="W53" s="13">
        <v>1729.822977</v>
      </c>
      <c r="X53" s="13">
        <v>1729.822977</v>
      </c>
      <c r="Y53" s="13">
        <v>1729.822977</v>
      </c>
      <c r="Z53" s="13">
        <v>1729.822977</v>
      </c>
      <c r="AA53" s="13">
        <v>1729.822977</v>
      </c>
      <c r="AB53" s="13">
        <v>1729.822977</v>
      </c>
      <c r="AC53" s="13">
        <v>1729.822977</v>
      </c>
      <c r="AD53" s="13">
        <v>1729.822977</v>
      </c>
      <c r="AE53" s="13">
        <v>1729.822977</v>
      </c>
      <c r="AF53" s="13">
        <v>1729.822977</v>
      </c>
      <c r="AG53" s="13">
        <v>1729.822977</v>
      </c>
      <c r="AH53" s="13">
        <v>1729.822977</v>
      </c>
      <c r="AI53" s="13">
        <v>1729.822977</v>
      </c>
      <c r="AJ53" s="13">
        <v>1729.822977</v>
      </c>
      <c r="AK53" s="13">
        <v>1729.822977</v>
      </c>
      <c r="AL53" s="56">
        <v>1729.822977</v>
      </c>
      <c r="AM53" s="10"/>
    </row>
    <row r="54" spans="2:39" ht="15" hidden="1">
      <c r="B54" s="10"/>
      <c r="C54" s="11" t="str">
        <f>"EL 4: " &amp; INDEX(_doName,2,5)</f>
        <v>EL 4: EL 4</v>
      </c>
      <c r="D54" s="12"/>
      <c r="E54" s="13">
        <f t="array" ref="E54:AL54">tlccQubc4</f>
        <v>1753.7208619999999</v>
      </c>
      <c r="F54" s="13">
        <v>1753.7208619999999</v>
      </c>
      <c r="G54" s="13">
        <v>1753.7208619999999</v>
      </c>
      <c r="H54" s="13">
        <v>1753.7208619999999</v>
      </c>
      <c r="I54" s="13">
        <v>1753.7208619999999</v>
      </c>
      <c r="J54" s="13">
        <v>1753.7208619999999</v>
      </c>
      <c r="K54" s="13">
        <v>1753.7208619999999</v>
      </c>
      <c r="L54" s="13">
        <v>1753.7208619999999</v>
      </c>
      <c r="M54" s="13">
        <v>1753.7208619999999</v>
      </c>
      <c r="N54" s="13">
        <v>1753.7208619999999</v>
      </c>
      <c r="O54" s="13">
        <v>1753.7208619999999</v>
      </c>
      <c r="P54" s="13">
        <v>1753.7208619999999</v>
      </c>
      <c r="Q54" s="13">
        <v>1753.7208619999999</v>
      </c>
      <c r="R54" s="13">
        <v>1753.7208619999999</v>
      </c>
      <c r="S54" s="13">
        <v>1753.7208619999999</v>
      </c>
      <c r="T54" s="13">
        <v>1753.7208619999999</v>
      </c>
      <c r="U54" s="13">
        <v>1753.7208619999999</v>
      </c>
      <c r="V54" s="13">
        <v>1753.7208619999999</v>
      </c>
      <c r="W54" s="13">
        <v>1753.7208619999999</v>
      </c>
      <c r="X54" s="13">
        <v>1753.7208619999999</v>
      </c>
      <c r="Y54" s="13">
        <v>1753.7208619999999</v>
      </c>
      <c r="Z54" s="13">
        <v>1753.7208619999999</v>
      </c>
      <c r="AA54" s="13">
        <v>1753.7208619999999</v>
      </c>
      <c r="AB54" s="13">
        <v>1753.7208619999999</v>
      </c>
      <c r="AC54" s="13">
        <v>1753.7208619999999</v>
      </c>
      <c r="AD54" s="13">
        <v>1753.7208619999999</v>
      </c>
      <c r="AE54" s="13">
        <v>1753.7208619999999</v>
      </c>
      <c r="AF54" s="13">
        <v>1753.7208619999999</v>
      </c>
      <c r="AG54" s="13">
        <v>1753.7208619999999</v>
      </c>
      <c r="AH54" s="13">
        <v>1753.7208619999999</v>
      </c>
      <c r="AI54" s="13">
        <v>1753.7208619999999</v>
      </c>
      <c r="AJ54" s="13">
        <v>1753.7208619999999</v>
      </c>
      <c r="AK54" s="13">
        <v>1753.7208619999999</v>
      </c>
      <c r="AL54" s="56">
        <v>1753.7208619999999</v>
      </c>
      <c r="AM54" s="10"/>
    </row>
    <row r="55" spans="2:39" ht="15" hidden="1">
      <c r="B55" s="10"/>
      <c r="C55" s="11" t="str">
        <f>"EL 5: " &amp; INDEX(_doName,2,6)</f>
        <v>EL 5: EL 5</v>
      </c>
      <c r="D55" s="12"/>
      <c r="E55" s="13">
        <f t="array" ref="E55:AL55">tlccQubc5</f>
        <v>1779.9263209999999</v>
      </c>
      <c r="F55" s="13">
        <v>1779.9263209999999</v>
      </c>
      <c r="G55" s="13">
        <v>1779.9263209999999</v>
      </c>
      <c r="H55" s="13">
        <v>1779.9263209999999</v>
      </c>
      <c r="I55" s="13">
        <v>1779.9263209999999</v>
      </c>
      <c r="J55" s="13">
        <v>1779.9263209999999</v>
      </c>
      <c r="K55" s="13">
        <v>1779.9263209999999</v>
      </c>
      <c r="L55" s="13">
        <v>1779.9263209999999</v>
      </c>
      <c r="M55" s="13">
        <v>1779.9263209999999</v>
      </c>
      <c r="N55" s="13">
        <v>1779.9263209999999</v>
      </c>
      <c r="O55" s="13">
        <v>1779.9263209999999</v>
      </c>
      <c r="P55" s="13">
        <v>1779.9263209999999</v>
      </c>
      <c r="Q55" s="13">
        <v>1779.9263209999999</v>
      </c>
      <c r="R55" s="13">
        <v>1779.9263209999999</v>
      </c>
      <c r="S55" s="13">
        <v>1779.9263209999999</v>
      </c>
      <c r="T55" s="13">
        <v>1779.9263209999999</v>
      </c>
      <c r="U55" s="13">
        <v>1779.9263209999999</v>
      </c>
      <c r="V55" s="13">
        <v>1779.9263209999999</v>
      </c>
      <c r="W55" s="13">
        <v>1779.9263209999999</v>
      </c>
      <c r="X55" s="13">
        <v>1779.9263209999999</v>
      </c>
      <c r="Y55" s="13">
        <v>1779.9263209999999</v>
      </c>
      <c r="Z55" s="13">
        <v>1779.9263209999999</v>
      </c>
      <c r="AA55" s="13">
        <v>1779.9263209999999</v>
      </c>
      <c r="AB55" s="13">
        <v>1779.9263209999999</v>
      </c>
      <c r="AC55" s="13">
        <v>1779.9263209999999</v>
      </c>
      <c r="AD55" s="13">
        <v>1779.9263209999999</v>
      </c>
      <c r="AE55" s="13">
        <v>1779.9263209999999</v>
      </c>
      <c r="AF55" s="13">
        <v>1779.9263209999999</v>
      </c>
      <c r="AG55" s="13">
        <v>1779.9263209999999</v>
      </c>
      <c r="AH55" s="13">
        <v>1779.9263209999999</v>
      </c>
      <c r="AI55" s="13">
        <v>1779.9263209999999</v>
      </c>
      <c r="AJ55" s="13">
        <v>1779.9263209999999</v>
      </c>
      <c r="AK55" s="13">
        <v>1779.9263209999999</v>
      </c>
      <c r="AL55" s="56">
        <v>1779.9263209999999</v>
      </c>
      <c r="AM55" s="10"/>
    </row>
    <row r="56" spans="2:39" ht="15" hidden="1">
      <c r="B56" s="10"/>
      <c r="C56" s="21" t="str">
        <f>"EL 6: " &amp; INDEX(_doName,2,7)</f>
        <v>EL 6: EL 6</v>
      </c>
      <c r="D56" s="18"/>
      <c r="E56" s="58">
        <f t="array" ref="E56:AL56">tlccQubc6</f>
        <v>1854.510309</v>
      </c>
      <c r="F56" s="58">
        <v>1854.510309</v>
      </c>
      <c r="G56" s="58">
        <v>1854.510309</v>
      </c>
      <c r="H56" s="58">
        <v>1854.510309</v>
      </c>
      <c r="I56" s="58">
        <v>1854.510309</v>
      </c>
      <c r="J56" s="58">
        <v>1854.510309</v>
      </c>
      <c r="K56" s="58">
        <v>1854.510309</v>
      </c>
      <c r="L56" s="58">
        <v>1854.510309</v>
      </c>
      <c r="M56" s="58">
        <v>1854.510309</v>
      </c>
      <c r="N56" s="58">
        <v>1854.510309</v>
      </c>
      <c r="O56" s="58">
        <v>1854.510309</v>
      </c>
      <c r="P56" s="58">
        <v>1854.510309</v>
      </c>
      <c r="Q56" s="58">
        <v>1854.510309</v>
      </c>
      <c r="R56" s="58">
        <v>1854.510309</v>
      </c>
      <c r="S56" s="58">
        <v>1854.510309</v>
      </c>
      <c r="T56" s="58">
        <v>1854.510309</v>
      </c>
      <c r="U56" s="58">
        <v>1854.510309</v>
      </c>
      <c r="V56" s="58">
        <v>1854.510309</v>
      </c>
      <c r="W56" s="58">
        <v>1854.510309</v>
      </c>
      <c r="X56" s="58">
        <v>1854.510309</v>
      </c>
      <c r="Y56" s="58">
        <v>1854.510309</v>
      </c>
      <c r="Z56" s="58">
        <v>1854.510309</v>
      </c>
      <c r="AA56" s="58">
        <v>1854.510309</v>
      </c>
      <c r="AB56" s="58">
        <v>1854.510309</v>
      </c>
      <c r="AC56" s="58">
        <v>1854.510309</v>
      </c>
      <c r="AD56" s="58">
        <v>1854.510309</v>
      </c>
      <c r="AE56" s="58">
        <v>1854.510309</v>
      </c>
      <c r="AF56" s="58">
        <v>1854.510309</v>
      </c>
      <c r="AG56" s="58">
        <v>1854.510309</v>
      </c>
      <c r="AH56" s="58">
        <v>1854.510309</v>
      </c>
      <c r="AI56" s="58">
        <v>1854.510309</v>
      </c>
      <c r="AJ56" s="58">
        <v>1854.510309</v>
      </c>
      <c r="AK56" s="58">
        <v>1854.510309</v>
      </c>
      <c r="AL56" s="59">
        <v>1854.510309</v>
      </c>
      <c r="AM56" s="10"/>
    </row>
    <row r="57" spans="2:39" ht="15" hidden="1">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2:39" ht="15" hidden="1">
      <c r="B58" s="10"/>
      <c r="C58" s="22" t="s">
        <v>88</v>
      </c>
      <c r="D58" s="23"/>
      <c r="E58" s="24">
        <f t="array" ref="E58:AL58">_yS</f>
        <v>2019</v>
      </c>
      <c r="F58" s="24">
        <v>2020</v>
      </c>
      <c r="G58" s="24">
        <v>2021</v>
      </c>
      <c r="H58" s="24">
        <v>2022</v>
      </c>
      <c r="I58" s="24">
        <v>2023</v>
      </c>
      <c r="J58" s="24">
        <v>2024</v>
      </c>
      <c r="K58" s="24">
        <v>2025</v>
      </c>
      <c r="L58" s="24">
        <v>2026</v>
      </c>
      <c r="M58" s="24">
        <v>2027</v>
      </c>
      <c r="N58" s="24">
        <v>2028</v>
      </c>
      <c r="O58" s="24">
        <v>2029</v>
      </c>
      <c r="P58" s="24">
        <v>2030</v>
      </c>
      <c r="Q58" s="24">
        <v>2031</v>
      </c>
      <c r="R58" s="24">
        <v>2032</v>
      </c>
      <c r="S58" s="24">
        <v>2033</v>
      </c>
      <c r="T58" s="24">
        <v>2034</v>
      </c>
      <c r="U58" s="24">
        <v>2035</v>
      </c>
      <c r="V58" s="24">
        <v>2036</v>
      </c>
      <c r="W58" s="24">
        <v>2037</v>
      </c>
      <c r="X58" s="24">
        <v>2038</v>
      </c>
      <c r="Y58" s="24">
        <v>2039</v>
      </c>
      <c r="Z58" s="24">
        <v>2040</v>
      </c>
      <c r="AA58" s="24">
        <v>2041</v>
      </c>
      <c r="AB58" s="24">
        <v>2042</v>
      </c>
      <c r="AC58" s="24">
        <v>2043</v>
      </c>
      <c r="AD58" s="24">
        <v>2044</v>
      </c>
      <c r="AE58" s="24">
        <v>2045</v>
      </c>
      <c r="AF58" s="24">
        <v>2046</v>
      </c>
      <c r="AG58" s="24">
        <v>2047</v>
      </c>
      <c r="AH58" s="24">
        <v>2048</v>
      </c>
      <c r="AI58" s="24">
        <v>2049</v>
      </c>
      <c r="AJ58" s="24">
        <v>2050</v>
      </c>
      <c r="AK58" s="24">
        <v>2051</v>
      </c>
      <c r="AL58" s="25">
        <v>2052</v>
      </c>
      <c r="AM58" s="10"/>
    </row>
    <row r="59" spans="2:39" ht="15" hidden="1">
      <c r="B59" s="10"/>
      <c r="C59" s="11" t="str">
        <f>"EL 0: " &amp; INDEX(_doName,2,1)</f>
        <v>EL 0: EL 1</v>
      </c>
      <c r="D59" s="12"/>
      <c r="E59" s="13">
        <f t="array" aca="1" ref="E59:AL59" ca="1">tlccEubc0</f>
        <v>3118.0155415003082</v>
      </c>
      <c r="F59" s="13">
        <f ca="1"/>
        <v>3143.719393326689</v>
      </c>
      <c r="G59" s="13">
        <f ca="1"/>
        <v>3168.6018421020831</v>
      </c>
      <c r="H59" s="13">
        <f ca="1"/>
        <v>3190.9048614766216</v>
      </c>
      <c r="I59" s="13">
        <f ca="1"/>
        <v>3211.0007905035668</v>
      </c>
      <c r="J59" s="13">
        <f ca="1"/>
        <v>3231.2259766134753</v>
      </c>
      <c r="K59" s="13">
        <f ca="1"/>
        <v>3251.5812708526378</v>
      </c>
      <c r="L59" s="13">
        <f ca="1"/>
        <v>3272.067530011233</v>
      </c>
      <c r="M59" s="13">
        <f ca="1"/>
        <v>3292.6856166630569</v>
      </c>
      <c r="N59" s="13">
        <f ca="1"/>
        <v>3313.436399205556</v>
      </c>
      <c r="O59" s="13">
        <f ca="1"/>
        <v>3334.3207519001453</v>
      </c>
      <c r="P59" s="13">
        <f ca="1"/>
        <v>3355.3395549127927</v>
      </c>
      <c r="Q59" s="13">
        <f ca="1"/>
        <v>3376.4936943549237</v>
      </c>
      <c r="R59" s="13">
        <f ca="1"/>
        <v>3397.7840623245738</v>
      </c>
      <c r="S59" s="13">
        <f ca="1"/>
        <v>3419.2115569478869</v>
      </c>
      <c r="T59" s="13">
        <f ca="1"/>
        <v>3440.7770824208465</v>
      </c>
      <c r="U59" s="13">
        <f ca="1"/>
        <v>3462.481549051352</v>
      </c>
      <c r="V59" s="13">
        <f ca="1"/>
        <v>3484.3258733015732</v>
      </c>
      <c r="W59" s="13">
        <f ca="1"/>
        <v>3506.3109778306107</v>
      </c>
      <c r="X59" s="13">
        <f ca="1"/>
        <v>3528.4377915374412</v>
      </c>
      <c r="Y59" s="13">
        <f ca="1"/>
        <v>3550.7072496042042</v>
      </c>
      <c r="Z59" s="13">
        <f ca="1"/>
        <v>3573.1202935397559</v>
      </c>
      <c r="AA59" s="13">
        <f ca="1"/>
        <v>3595.6778712235705</v>
      </c>
      <c r="AB59" s="13">
        <f ca="1"/>
        <v>3618.3809369499113</v>
      </c>
      <c r="AC59" s="13">
        <f ca="1"/>
        <v>3641.2304514723592</v>
      </c>
      <c r="AD59" s="13">
        <f ca="1"/>
        <v>3664.2273820486262</v>
      </c>
      <c r="AE59" s="13">
        <f ca="1"/>
        <v>3687.3727024856962</v>
      </c>
      <c r="AF59" s="13">
        <f ca="1"/>
        <v>3710.6673931852974</v>
      </c>
      <c r="AG59" s="13">
        <f ca="1"/>
        <v>3734.1124411896799</v>
      </c>
      <c r="AH59" s="13">
        <f ca="1"/>
        <v>3757.7088402277332</v>
      </c>
      <c r="AI59" s="13">
        <f ca="1"/>
        <v>3781.4575907614249</v>
      </c>
      <c r="AJ59" s="13">
        <f ca="1"/>
        <v>3805.3597000325699</v>
      </c>
      <c r="AK59" s="13">
        <f ca="1"/>
        <v>3829.4161821099351</v>
      </c>
      <c r="AL59" s="56">
        <f ca="1"/>
        <v>3853.6280579366758</v>
      </c>
      <c r="AM59" s="10"/>
    </row>
    <row r="60" spans="2:39" ht="15" hidden="1">
      <c r="B60" s="10"/>
      <c r="C60" s="11" t="str">
        <f>"EL 1: " &amp; INDEX(_doName,2,2)</f>
        <v>EL 1: EL 1</v>
      </c>
      <c r="D60" s="12"/>
      <c r="E60" s="13">
        <f t="array" aca="1" ref="E60:AL60" ca="1">tlccEubc1</f>
        <v>3065.9361333978973</v>
      </c>
      <c r="F60" s="13">
        <f ca="1"/>
        <v>3091.2106604273813</v>
      </c>
      <c r="G60" s="13">
        <f ca="1"/>
        <v>3115.6775040888469</v>
      </c>
      <c r="H60" s="13">
        <f ca="1"/>
        <v>3137.6080018923863</v>
      </c>
      <c r="I60" s="13">
        <f ca="1"/>
        <v>3157.3682738082425</v>
      </c>
      <c r="J60" s="13">
        <f ca="1"/>
        <v>3177.2556438593947</v>
      </c>
      <c r="K60" s="13">
        <f ca="1"/>
        <v>3197.2709488773312</v>
      </c>
      <c r="L60" s="13">
        <f ca="1"/>
        <v>3217.4150313414834</v>
      </c>
      <c r="M60" s="13">
        <f ca="1"/>
        <v>3237.6887394182995</v>
      </c>
      <c r="N60" s="13">
        <f ca="1"/>
        <v>3258.0929270006113</v>
      </c>
      <c r="O60" s="13">
        <f ca="1"/>
        <v>3278.6284537472657</v>
      </c>
      <c r="P60" s="13">
        <f ca="1"/>
        <v>3299.2961851230511</v>
      </c>
      <c r="Q60" s="13">
        <f ca="1"/>
        <v>3320.0969924388969</v>
      </c>
      <c r="R60" s="13">
        <f ca="1"/>
        <v>3341.0317528923638</v>
      </c>
      <c r="S60" s="13">
        <f ca="1"/>
        <v>3362.1013496084183</v>
      </c>
      <c r="T60" s="13">
        <f ca="1"/>
        <v>3383.3066716804951</v>
      </c>
      <c r="U60" s="13">
        <f ca="1"/>
        <v>3404.6486142118601</v>
      </c>
      <c r="V60" s="13">
        <f ca="1"/>
        <v>3426.1280783572461</v>
      </c>
      <c r="W60" s="13">
        <f ca="1"/>
        <v>3447.7459713648182</v>
      </c>
      <c r="X60" s="13">
        <f ca="1"/>
        <v>3469.5032066183981</v>
      </c>
      <c r="Y60" s="13">
        <f ca="1"/>
        <v>3491.4007036800135</v>
      </c>
      <c r="Z60" s="13">
        <f ca="1"/>
        <v>3513.4393883327475</v>
      </c>
      <c r="AA60" s="13">
        <f ca="1"/>
        <v>3535.6201926238805</v>
      </c>
      <c r="AB60" s="13">
        <f ca="1"/>
        <v>3557.9440549083529</v>
      </c>
      <c r="AC60" s="13">
        <f ca="1"/>
        <v>3580.4119198925232</v>
      </c>
      <c r="AD60" s="13">
        <f ca="1"/>
        <v>3603.0247386782494</v>
      </c>
      <c r="AE60" s="13">
        <f ca="1"/>
        <v>3625.7834688072653</v>
      </c>
      <c r="AF60" s="13">
        <f ca="1"/>
        <v>3648.6890743059057</v>
      </c>
      <c r="AG60" s="13">
        <f ca="1"/>
        <v>3671.742525730107</v>
      </c>
      <c r="AH60" s="13">
        <f ca="1"/>
        <v>3694.9448002107633</v>
      </c>
      <c r="AI60" s="13">
        <f ca="1"/>
        <v>3718.2968814993833</v>
      </c>
      <c r="AJ60" s="13">
        <f ca="1"/>
        <v>3741.7997600140839</v>
      </c>
      <c r="AK60" s="13">
        <f ca="1"/>
        <v>3765.4544328859015</v>
      </c>
      <c r="AL60" s="56">
        <f ca="1"/>
        <v>3789.2619040054433</v>
      </c>
      <c r="AM60" s="10"/>
    </row>
    <row r="61" spans="2:39" ht="15" hidden="1">
      <c r="B61" s="10"/>
      <c r="C61" s="11" t="str">
        <f>"EL 2: " &amp; INDEX(_doName,2,3)</f>
        <v>EL 2: EL 2</v>
      </c>
      <c r="D61" s="12"/>
      <c r="E61" s="13">
        <f t="array" aca="1" ref="E61:AL61" ca="1">tlccEubc2</f>
        <v>3047.5062574775466</v>
      </c>
      <c r="F61" s="13">
        <f ca="1"/>
        <v>3072.6288549244082</v>
      </c>
      <c r="G61" s="13">
        <f ca="1"/>
        <v>3096.9486241286022</v>
      </c>
      <c r="H61" s="13">
        <f ca="1"/>
        <v>3118.7472938914366</v>
      </c>
      <c r="I61" s="13">
        <f ca="1"/>
        <v>3138.3887833722683</v>
      </c>
      <c r="J61" s="13">
        <f ca="1"/>
        <v>3158.1566069793735</v>
      </c>
      <c r="K61" s="13">
        <f ca="1"/>
        <v>3178.0515965139007</v>
      </c>
      <c r="L61" s="13">
        <f ca="1"/>
        <v>3198.074589390993</v>
      </c>
      <c r="M61" s="13">
        <f ca="1"/>
        <v>3218.226428678624</v>
      </c>
      <c r="N61" s="13">
        <f ca="1"/>
        <v>3238.507963136723</v>
      </c>
      <c r="O61" s="13">
        <f ca="1"/>
        <v>3258.9200472565781</v>
      </c>
      <c r="P61" s="13">
        <f ca="1"/>
        <v>3279.4635413005217</v>
      </c>
      <c r="Q61" s="13">
        <f ca="1"/>
        <v>3300.1393113418803</v>
      </c>
      <c r="R61" s="13">
        <f ca="1"/>
        <v>3320.9482293052265</v>
      </c>
      <c r="S61" s="13">
        <f ca="1"/>
        <v>3341.8911730069085</v>
      </c>
      <c r="T61" s="13">
        <f ca="1"/>
        <v>3362.9690261958654</v>
      </c>
      <c r="U61" s="13">
        <f ca="1"/>
        <v>3384.1826785947414</v>
      </c>
      <c r="V61" s="13">
        <f ca="1"/>
        <v>3405.5330259412754</v>
      </c>
      <c r="W61" s="13">
        <f ca="1"/>
        <v>3427.0209700300011</v>
      </c>
      <c r="X61" s="13">
        <f ca="1"/>
        <v>3448.6474187542299</v>
      </c>
      <c r="Y61" s="13">
        <f ca="1"/>
        <v>3470.4132861483454</v>
      </c>
      <c r="Z61" s="13">
        <f ca="1"/>
        <v>3492.3194924303889</v>
      </c>
      <c r="AA61" s="13">
        <f ca="1"/>
        <v>3514.3669640449389</v>
      </c>
      <c r="AB61" s="13">
        <f ca="1"/>
        <v>3536.5566337063215</v>
      </c>
      <c r="AC61" s="13">
        <f ca="1"/>
        <v>3558.8894404421035</v>
      </c>
      <c r="AD61" s="13">
        <f ca="1"/>
        <v>3581.3663296368954</v>
      </c>
      <c r="AE61" s="13">
        <f ca="1"/>
        <v>3603.9882530764939</v>
      </c>
      <c r="AF61" s="13">
        <f ca="1"/>
        <v>3626.7561689922941</v>
      </c>
      <c r="AG61" s="13">
        <f ca="1"/>
        <v>3649.6710421060557</v>
      </c>
      <c r="AH61" s="13">
        <f ca="1"/>
        <v>3672.7338436749683</v>
      </c>
      <c r="AI61" s="13">
        <f ca="1"/>
        <v>3695.9455515370378</v>
      </c>
      <c r="AJ61" s="13">
        <f ca="1"/>
        <v>3719.3071501568038</v>
      </c>
      <c r="AK61" s="13">
        <f ca="1"/>
        <v>3742.8196306713799</v>
      </c>
      <c r="AL61" s="56">
        <f ca="1"/>
        <v>3766.4839909368065</v>
      </c>
      <c r="AM61" s="10"/>
    </row>
    <row r="62" spans="2:39" ht="15" hidden="1">
      <c r="B62" s="10"/>
      <c r="C62" s="11" t="str">
        <f>"EL 3: " &amp; INDEX(_doName,2,4)</f>
        <v>EL 3: EL 3</v>
      </c>
      <c r="D62" s="12"/>
      <c r="E62" s="13">
        <f t="array" aca="1" ref="E62:AL62" ca="1">tlccEubc3</f>
        <v>3020.3406172216214</v>
      </c>
      <c r="F62" s="13">
        <f ca="1"/>
        <v>3045.2392704377321</v>
      </c>
      <c r="G62" s="13">
        <f ca="1"/>
        <v>3069.3422518667794</v>
      </c>
      <c r="H62" s="13">
        <f ca="1"/>
        <v>3090.9466070750891</v>
      </c>
      <c r="I62" s="13">
        <f ca="1"/>
        <v>3110.413011226392</v>
      </c>
      <c r="J62" s="13">
        <f ca="1"/>
        <v>3130.0046233545413</v>
      </c>
      <c r="K62" s="13">
        <f ca="1"/>
        <v>3149.7222678459639</v>
      </c>
      <c r="L62" s="13">
        <f ca="1"/>
        <v>3169.5667746510426</v>
      </c>
      <c r="M62" s="13">
        <f ca="1"/>
        <v>3189.5389793225854</v>
      </c>
      <c r="N62" s="13">
        <f ca="1"/>
        <v>3209.6397230546359</v>
      </c>
      <c r="O62" s="13">
        <f ca="1"/>
        <v>3229.8698527214988</v>
      </c>
      <c r="P62" s="13">
        <f ca="1"/>
        <v>3250.2302209170757</v>
      </c>
      <c r="Q62" s="13">
        <f ca="1"/>
        <v>3270.7216859944751</v>
      </c>
      <c r="R62" s="13">
        <f ca="1"/>
        <v>3291.3451121058756</v>
      </c>
      <c r="S62" s="13">
        <f ca="1"/>
        <v>3312.1013692427291</v>
      </c>
      <c r="T62" s="13">
        <f ca="1"/>
        <v>3332.9913332761885</v>
      </c>
      <c r="U62" s="13">
        <f ca="1"/>
        <v>3354.0158859978551</v>
      </c>
      <c r="V62" s="13">
        <f ca="1"/>
        <v>3375.1759151608148</v>
      </c>
      <c r="W62" s="13">
        <f ca="1"/>
        <v>3396.4723145209523</v>
      </c>
      <c r="X62" s="13">
        <f ca="1"/>
        <v>3417.9059838785724</v>
      </c>
      <c r="Y62" s="13">
        <f ca="1"/>
        <v>3439.4778291203052</v>
      </c>
      <c r="Z62" s="13">
        <f ca="1"/>
        <v>3461.1887622613081</v>
      </c>
      <c r="AA62" s="13">
        <f ca="1"/>
        <v>3483.0397014877913</v>
      </c>
      <c r="AB62" s="13">
        <f ca="1"/>
        <v>3505.0315711998069</v>
      </c>
      <c r="AC62" s="13">
        <f ca="1"/>
        <v>3527.1653020543804</v>
      </c>
      <c r="AD62" s="13">
        <f ca="1"/>
        <v>3549.4418310089181</v>
      </c>
      <c r="AE62" s="13">
        <f ca="1"/>
        <v>3571.8621013649322</v>
      </c>
      <c r="AF62" s="13">
        <f ca="1"/>
        <v>3594.4270628120985</v>
      </c>
      <c r="AG62" s="13">
        <f ca="1"/>
        <v>3617.1376714725925</v>
      </c>
      <c r="AH62" s="13">
        <f ca="1"/>
        <v>3639.9948899457563</v>
      </c>
      <c r="AI62" s="13">
        <f ca="1"/>
        <v>3662.9996873531022</v>
      </c>
      <c r="AJ62" s="13">
        <f ca="1"/>
        <v>3686.1530393835965</v>
      </c>
      <c r="AK62" s="13">
        <f ca="1"/>
        <v>3709.4559283392978</v>
      </c>
      <c r="AL62" s="56">
        <f ca="1"/>
        <v>3732.9093431813048</v>
      </c>
      <c r="AM62" s="10"/>
    </row>
    <row r="63" spans="2:39" ht="15" hidden="1">
      <c r="B63" s="10"/>
      <c r="C63" s="11" t="str">
        <f>"EL 4: " &amp; INDEX(_doName,2,5)</f>
        <v>EL 4: EL 4</v>
      </c>
      <c r="D63" s="12"/>
      <c r="E63" s="13">
        <f t="array" aca="1" ref="E63:AL63" ca="1">tlccEubc4</f>
        <v>2995.003677380324</v>
      </c>
      <c r="F63" s="13">
        <f ca="1"/>
        <v>3019.6934615453533</v>
      </c>
      <c r="G63" s="13">
        <f ca="1"/>
        <v>3043.5942486301656</v>
      </c>
      <c r="H63" s="13">
        <f ca="1"/>
        <v>3065.0173698925087</v>
      </c>
      <c r="I63" s="13">
        <f ca="1"/>
        <v>3084.3204748754665</v>
      </c>
      <c r="J63" s="13">
        <f ca="1"/>
        <v>3103.7477374944715</v>
      </c>
      <c r="K63" s="13">
        <f ca="1"/>
        <v>3123.29997522037</v>
      </c>
      <c r="L63" s="13">
        <f ca="1"/>
        <v>3142.9780110412671</v>
      </c>
      <c r="M63" s="13">
        <f ca="1"/>
        <v>3162.7826735007243</v>
      </c>
      <c r="N63" s="13">
        <f ca="1"/>
        <v>3182.7147967361989</v>
      </c>
      <c r="O63" s="13">
        <f ca="1"/>
        <v>3202.7752205177635</v>
      </c>
      <c r="P63" s="13">
        <f ca="1"/>
        <v>3222.9647902871066</v>
      </c>
      <c r="Q63" s="13">
        <f ca="1"/>
        <v>3243.2843571968015</v>
      </c>
      <c r="R63" s="13">
        <f ca="1"/>
        <v>3263.7347781498715</v>
      </c>
      <c r="S63" s="13">
        <f ca="1"/>
        <v>3284.3169158395976</v>
      </c>
      <c r="T63" s="13">
        <f ca="1"/>
        <v>3305.0316387896546</v>
      </c>
      <c r="U63" s="13">
        <f ca="1"/>
        <v>3325.8798213945015</v>
      </c>
      <c r="V63" s="13">
        <f ca="1"/>
        <v>3346.8623439600642</v>
      </c>
      <c r="W63" s="13">
        <f ca="1"/>
        <v>3367.9800927447177</v>
      </c>
      <c r="X63" s="13">
        <f ca="1"/>
        <v>3389.2339600005503</v>
      </c>
      <c r="Y63" s="13">
        <f ca="1"/>
        <v>3410.6248440149147</v>
      </c>
      <c r="Z63" s="13">
        <f ca="1"/>
        <v>3432.1536491522897</v>
      </c>
      <c r="AA63" s="13">
        <f ca="1"/>
        <v>3453.8212858964307</v>
      </c>
      <c r="AB63" s="13">
        <f ca="1"/>
        <v>3475.6286708928146</v>
      </c>
      <c r="AC63" s="13">
        <f ca="1"/>
        <v>3497.5767269913918</v>
      </c>
      <c r="AD63" s="13">
        <f ca="1"/>
        <v>3519.666383289652</v>
      </c>
      <c r="AE63" s="13">
        <f ca="1"/>
        <v>3541.8985751759769</v>
      </c>
      <c r="AF63" s="13">
        <f ca="1"/>
        <v>3564.2742443733055</v>
      </c>
      <c r="AG63" s="13">
        <f ca="1"/>
        <v>3586.7943389831262</v>
      </c>
      <c r="AH63" s="13">
        <f ca="1"/>
        <v>3609.4598135297642</v>
      </c>
      <c r="AI63" s="13">
        <f ca="1"/>
        <v>3632.2716290049925</v>
      </c>
      <c r="AJ63" s="13">
        <f ca="1"/>
        <v>3655.2307529129448</v>
      </c>
      <c r="AK63" s="13">
        <f ca="1"/>
        <v>3678.3381593153745</v>
      </c>
      <c r="AL63" s="56">
        <f ca="1"/>
        <v>3701.5948288772206</v>
      </c>
      <c r="AM63" s="10"/>
    </row>
    <row r="64" spans="2:39" ht="15" hidden="1">
      <c r="B64" s="10"/>
      <c r="C64" s="11" t="str">
        <f>"EL 5: " &amp; INDEX(_doName,2,6)</f>
        <v>EL 5: EL 5</v>
      </c>
      <c r="D64" s="12"/>
      <c r="E64" s="13">
        <f t="array" aca="1" ref="E64:AL64" ca="1">tlccEubc5</f>
        <v>2949.0250258654792</v>
      </c>
      <c r="F64" s="13">
        <f ca="1"/>
        <v>2973.3357777806709</v>
      </c>
      <c r="G64" s="13">
        <f ca="1"/>
        <v>2996.8696451289234</v>
      </c>
      <c r="H64" s="13">
        <f ca="1"/>
        <v>3017.9638832468731</v>
      </c>
      <c r="I64" s="13">
        <f ca="1"/>
        <v>3036.9706511188392</v>
      </c>
      <c r="J64" s="13">
        <f ca="1"/>
        <v>3056.0996705855605</v>
      </c>
      <c r="K64" s="13">
        <f ca="1"/>
        <v>3075.3517465682426</v>
      </c>
      <c r="L64" s="13">
        <f ca="1"/>
        <v>3094.7276894206616</v>
      </c>
      <c r="M64" s="13">
        <f ca="1"/>
        <v>3114.228314966751</v>
      </c>
      <c r="N64" s="13">
        <f ca="1"/>
        <v>3133.8544445384737</v>
      </c>
      <c r="O64" s="13">
        <f ca="1"/>
        <v>3153.6069050139317</v>
      </c>
      <c r="P64" s="13">
        <f ca="1"/>
        <v>3173.4865288557689</v>
      </c>
      <c r="Q64" s="13">
        <f ca="1"/>
        <v>3193.4941541498615</v>
      </c>
      <c r="R64" s="13">
        <f ca="1"/>
        <v>3213.6306246442246</v>
      </c>
      <c r="S64" s="13">
        <f ca="1"/>
        <v>3233.8967897882699</v>
      </c>
      <c r="T64" s="13">
        <f ca="1"/>
        <v>3254.293504772279</v>
      </c>
      <c r="U64" s="13">
        <f ca="1"/>
        <v>3274.8216305671967</v>
      </c>
      <c r="V64" s="13">
        <f ca="1"/>
        <v>3295.4820339646835</v>
      </c>
      <c r="W64" s="13">
        <f ca="1"/>
        <v>3316.2755876174651</v>
      </c>
      <c r="X64" s="13">
        <f ca="1"/>
        <v>3337.2031700799653</v>
      </c>
      <c r="Y64" s="13">
        <f ca="1"/>
        <v>3358.2656658492265</v>
      </c>
      <c r="Z64" s="13">
        <f ca="1"/>
        <v>3379.4639654061211</v>
      </c>
      <c r="AA64" s="13">
        <f ca="1"/>
        <v>3400.798965256844</v>
      </c>
      <c r="AB64" s="13">
        <f ca="1"/>
        <v>3422.2715679747389</v>
      </c>
      <c r="AC64" s="13">
        <f ca="1"/>
        <v>3443.8826822423571</v>
      </c>
      <c r="AD64" s="13">
        <f ca="1"/>
        <v>3465.6332228938859</v>
      </c>
      <c r="AE64" s="13">
        <f ca="1"/>
        <v>3487.5241109578205</v>
      </c>
      <c r="AF64" s="13">
        <f ca="1"/>
        <v>3509.5562736999818</v>
      </c>
      <c r="AG64" s="13">
        <f ca="1"/>
        <v>3531.7306446668035</v>
      </c>
      <c r="AH64" s="13">
        <f ca="1"/>
        <v>3554.0481637289572</v>
      </c>
      <c r="AI64" s="13">
        <f ca="1"/>
        <v>3576.5097771252754</v>
      </c>
      <c r="AJ64" s="13">
        <f ca="1"/>
        <v>3599.1164375069811</v>
      </c>
      <c r="AK64" s="13">
        <f ca="1"/>
        <v>3621.869103982242</v>
      </c>
      <c r="AL64" s="56">
        <f ca="1"/>
        <v>3644.7687421610326</v>
      </c>
      <c r="AM64" s="10"/>
    </row>
    <row r="65" spans="2:39" ht="15" hidden="1">
      <c r="B65" s="10"/>
      <c r="C65" s="21" t="str">
        <f>"EL 6: " &amp; INDEX(_doName,2,7)</f>
        <v>EL 6: EL 6</v>
      </c>
      <c r="D65" s="18"/>
      <c r="E65" s="58">
        <f t="array" aca="1" ref="E65:AL65" ca="1">tlccEubc6</f>
        <v>2814.129139107326</v>
      </c>
      <c r="F65" s="58">
        <f ca="1"/>
        <v>2837.3278555502538</v>
      </c>
      <c r="G65" s="58">
        <f ca="1"/>
        <v>2859.7852240973948</v>
      </c>
      <c r="H65" s="58">
        <f ca="1"/>
        <v>2879.9145582448973</v>
      </c>
      <c r="I65" s="58">
        <f ca="1"/>
        <v>2898.0519083316631</v>
      </c>
      <c r="J65" s="58">
        <f ca="1"/>
        <v>2916.3059179150669</v>
      </c>
      <c r="K65" s="58">
        <f ca="1"/>
        <v>2934.6773550971811</v>
      </c>
      <c r="L65" s="58">
        <f ca="1"/>
        <v>2953.1669931641454</v>
      </c>
      <c r="M65" s="58">
        <f ca="1"/>
        <v>2971.7756106220363</v>
      </c>
      <c r="N65" s="58">
        <f ca="1"/>
        <v>2990.503991233003</v>
      </c>
      <c r="O65" s="58">
        <f ca="1"/>
        <v>3009.3529240516514</v>
      </c>
      <c r="P65" s="58">
        <f ca="1"/>
        <v>3028.3232034616713</v>
      </c>
      <c r="Q65" s="58">
        <f ca="1"/>
        <v>3047.4156292127591</v>
      </c>
      <c r="R65" s="58">
        <f ca="1"/>
        <v>3066.6310064577683</v>
      </c>
      <c r="S65" s="58">
        <f ca="1"/>
        <v>3085.9701457901233</v>
      </c>
      <c r="T65" s="58">
        <f ca="1"/>
        <v>3105.4338632815411</v>
      </c>
      <c r="U65" s="58">
        <f ca="1"/>
        <v>3125.0229805199683</v>
      </c>
      <c r="V65" s="58">
        <f ca="1"/>
        <v>3144.7383246478194</v>
      </c>
      <c r="W65" s="58">
        <f ca="1"/>
        <v>3164.5807284004668</v>
      </c>
      <c r="X65" s="58">
        <f ca="1"/>
        <v>3184.5510301450277</v>
      </c>
      <c r="Y65" s="58">
        <f ca="1"/>
        <v>3204.6500739194048</v>
      </c>
      <c r="Z65" s="58">
        <f ca="1"/>
        <v>3224.8787094716131</v>
      </c>
      <c r="AA65" s="58">
        <f ca="1"/>
        <v>3245.2377922993887</v>
      </c>
      <c r="AB65" s="58">
        <f ca="1"/>
        <v>3265.7281836900693</v>
      </c>
      <c r="AC65" s="58">
        <f ca="1"/>
        <v>3286.3507507607696</v>
      </c>
      <c r="AD65" s="58">
        <f ca="1"/>
        <v>3307.106366498836</v>
      </c>
      <c r="AE65" s="58">
        <f ca="1"/>
        <v>3327.9959098025879</v>
      </c>
      <c r="AF65" s="58">
        <f ca="1"/>
        <v>3349.0202655223452</v>
      </c>
      <c r="AG65" s="58">
        <f ca="1"/>
        <v>3370.1803245017686</v>
      </c>
      <c r="AH65" s="58">
        <f ca="1"/>
        <v>3391.4769836194573</v>
      </c>
      <c r="AI65" s="58">
        <f ca="1"/>
        <v>3412.9111458308794</v>
      </c>
      <c r="AJ65" s="58">
        <f ca="1"/>
        <v>3434.4837202105732</v>
      </c>
      <c r="AK65" s="58">
        <f ca="1"/>
        <v>3456.1956219946651</v>
      </c>
      <c r="AL65" s="59">
        <f ca="1"/>
        <v>3478.0477726236822</v>
      </c>
      <c r="AM65" s="10"/>
    </row>
    <row r="66" spans="2:39" ht="15" hidden="1">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2:39" ht="15" hidden="1">
      <c r="B67" s="10"/>
      <c r="C67" s="22" t="s">
        <v>87</v>
      </c>
      <c r="D67" s="23"/>
      <c r="E67" s="24">
        <f t="array" ref="E67:AL67">_yS</f>
        <v>2019</v>
      </c>
      <c r="F67" s="24">
        <v>2020</v>
      </c>
      <c r="G67" s="24">
        <v>2021</v>
      </c>
      <c r="H67" s="24">
        <v>2022</v>
      </c>
      <c r="I67" s="24">
        <v>2023</v>
      </c>
      <c r="J67" s="24">
        <v>2024</v>
      </c>
      <c r="K67" s="24">
        <v>2025</v>
      </c>
      <c r="L67" s="24">
        <v>2026</v>
      </c>
      <c r="M67" s="24">
        <v>2027</v>
      </c>
      <c r="N67" s="24">
        <v>2028</v>
      </c>
      <c r="O67" s="24">
        <v>2029</v>
      </c>
      <c r="P67" s="24">
        <v>2030</v>
      </c>
      <c r="Q67" s="24">
        <v>2031</v>
      </c>
      <c r="R67" s="24">
        <v>2032</v>
      </c>
      <c r="S67" s="24">
        <v>2033</v>
      </c>
      <c r="T67" s="24">
        <v>2034</v>
      </c>
      <c r="U67" s="24">
        <v>2035</v>
      </c>
      <c r="V67" s="24">
        <v>2036</v>
      </c>
      <c r="W67" s="24">
        <v>2037</v>
      </c>
      <c r="X67" s="24">
        <v>2038</v>
      </c>
      <c r="Y67" s="24">
        <v>2039</v>
      </c>
      <c r="Z67" s="24">
        <v>2040</v>
      </c>
      <c r="AA67" s="24">
        <v>2041</v>
      </c>
      <c r="AB67" s="24">
        <v>2042</v>
      </c>
      <c r="AC67" s="24">
        <v>2043</v>
      </c>
      <c r="AD67" s="24">
        <v>2044</v>
      </c>
      <c r="AE67" s="24">
        <v>2045</v>
      </c>
      <c r="AF67" s="24">
        <v>2046</v>
      </c>
      <c r="AG67" s="24">
        <v>2047</v>
      </c>
      <c r="AH67" s="24">
        <v>2048</v>
      </c>
      <c r="AI67" s="24">
        <v>2049</v>
      </c>
      <c r="AJ67" s="24">
        <v>2050</v>
      </c>
      <c r="AK67" s="24">
        <v>2051</v>
      </c>
      <c r="AL67" s="25">
        <v>2052</v>
      </c>
      <c r="AM67" s="10"/>
    </row>
    <row r="68" spans="2:39" ht="15" hidden="1">
      <c r="B68" s="10"/>
      <c r="C68" s="11" t="str">
        <f>"EL 0: " &amp; INDEX(_doName,2,1)</f>
        <v>EL 0: EL 1</v>
      </c>
      <c r="D68" s="12"/>
      <c r="E68" s="13">
        <f t="array" aca="1" ref="E68:AL68" ca="1">tlccFubcElec0</f>
        <v>580.47408754842502</v>
      </c>
      <c r="F68" s="13">
        <f ca="1"/>
        <v>575.80120066832148</v>
      </c>
      <c r="G68" s="13">
        <f ca="1"/>
        <v>571.66914772113455</v>
      </c>
      <c r="H68" s="13">
        <f ca="1"/>
        <v>567.73237491731743</v>
      </c>
      <c r="I68" s="13">
        <f ca="1"/>
        <v>564.27867063744213</v>
      </c>
      <c r="J68" s="13">
        <f ca="1"/>
        <v>561.58336946767099</v>
      </c>
      <c r="K68" s="13">
        <f ca="1"/>
        <v>559.33701104521947</v>
      </c>
      <c r="L68" s="13">
        <f ca="1"/>
        <v>557.07298220872406</v>
      </c>
      <c r="M68" s="13">
        <f ca="1"/>
        <v>555.2466865073585</v>
      </c>
      <c r="N68" s="13">
        <f ca="1"/>
        <v>553.9692288617232</v>
      </c>
      <c r="O68" s="13">
        <f ca="1"/>
        <v>553.02189577195145</v>
      </c>
      <c r="P68" s="13">
        <f ca="1"/>
        <v>552.21609442162639</v>
      </c>
      <c r="Q68" s="13">
        <f ca="1"/>
        <v>551.61301972566628</v>
      </c>
      <c r="R68" s="13">
        <f ca="1"/>
        <v>551.14604620456441</v>
      </c>
      <c r="S68" s="13">
        <f ca="1"/>
        <v>551.05704610178486</v>
      </c>
      <c r="T68" s="13">
        <f ca="1"/>
        <v>551.13660820430755</v>
      </c>
      <c r="U68" s="13">
        <f ca="1"/>
        <v>551.27093247318453</v>
      </c>
      <c r="V68" s="13">
        <f ca="1"/>
        <v>551.47670475456198</v>
      </c>
      <c r="W68" s="13">
        <f ca="1"/>
        <v>551.67499933553631</v>
      </c>
      <c r="X68" s="13">
        <f ca="1"/>
        <v>551.83969379977964</v>
      </c>
      <c r="Y68" s="13">
        <f ca="1"/>
        <v>551.9498546839967</v>
      </c>
      <c r="Z68" s="13">
        <f ca="1"/>
        <v>552.02557567530857</v>
      </c>
      <c r="AA68" s="13">
        <f ca="1"/>
        <v>552.02557567530857</v>
      </c>
      <c r="AB68" s="13">
        <f ca="1"/>
        <v>552.02557567530857</v>
      </c>
      <c r="AC68" s="13">
        <f ca="1"/>
        <v>552.02557567530857</v>
      </c>
      <c r="AD68" s="13">
        <f ca="1"/>
        <v>552.02557567530857</v>
      </c>
      <c r="AE68" s="13">
        <f ca="1"/>
        <v>552.02557567530857</v>
      </c>
      <c r="AF68" s="13">
        <f ca="1"/>
        <v>552.02557567530857</v>
      </c>
      <c r="AG68" s="13">
        <f ca="1"/>
        <v>552.02557567530857</v>
      </c>
      <c r="AH68" s="13">
        <f ca="1"/>
        <v>552.02557567530857</v>
      </c>
      <c r="AI68" s="13">
        <f ca="1"/>
        <v>552.02557567530857</v>
      </c>
      <c r="AJ68" s="13">
        <f ca="1"/>
        <v>552.02557567530857</v>
      </c>
      <c r="AK68" s="13">
        <f ca="1"/>
        <v>552.02557567530857</v>
      </c>
      <c r="AL68" s="56">
        <f ca="1"/>
        <v>552.02557567530857</v>
      </c>
      <c r="AM68" s="10"/>
    </row>
    <row r="69" spans="2:39" ht="15" hidden="1">
      <c r="B69" s="10"/>
      <c r="C69" s="11" t="str">
        <f>"EL 1: " &amp; INDEX(_doName,2,2)</f>
        <v>EL 1: EL 1</v>
      </c>
      <c r="D69" s="12"/>
      <c r="E69" s="13">
        <f t="array" aca="1" ref="E69:AL69" ca="1">tlccFubcElec1</f>
        <v>570.77857881989473</v>
      </c>
      <c r="F69" s="13">
        <f ca="1"/>
        <v>566.18374196218724</v>
      </c>
      <c r="G69" s="13">
        <f ca="1"/>
        <v>562.12070562793008</v>
      </c>
      <c r="H69" s="13">
        <f ca="1"/>
        <v>558.24968772325565</v>
      </c>
      <c r="I69" s="13">
        <f ca="1"/>
        <v>554.8536697737602</v>
      </c>
      <c r="J69" s="13">
        <f ca="1"/>
        <v>552.2033875231416</v>
      </c>
      <c r="K69" s="13">
        <f ca="1"/>
        <v>549.99454944511126</v>
      </c>
      <c r="L69" s="13">
        <f ca="1"/>
        <v>547.76833609739788</v>
      </c>
      <c r="M69" s="13">
        <f ca="1"/>
        <v>545.97254454133918</v>
      </c>
      <c r="N69" s="13">
        <f ca="1"/>
        <v>544.716423940749</v>
      </c>
      <c r="O69" s="13">
        <f ca="1"/>
        <v>543.78491391084799</v>
      </c>
      <c r="P69" s="13">
        <f ca="1"/>
        <v>542.99257165231199</v>
      </c>
      <c r="Q69" s="13">
        <f ca="1"/>
        <v>542.39956995720422</v>
      </c>
      <c r="R69" s="13">
        <f ca="1"/>
        <v>541.94039617419048</v>
      </c>
      <c r="S69" s="13">
        <f ca="1"/>
        <v>541.85288261713606</v>
      </c>
      <c r="T69" s="13">
        <f ca="1"/>
        <v>541.93111581441372</v>
      </c>
      <c r="U69" s="13">
        <f ca="1"/>
        <v>542.06319649972818</v>
      </c>
      <c r="V69" s="13">
        <f ca="1"/>
        <v>542.26553181984764</v>
      </c>
      <c r="W69" s="13">
        <f ca="1"/>
        <v>542.46051433766195</v>
      </c>
      <c r="X69" s="13">
        <f ca="1"/>
        <v>542.62245795281513</v>
      </c>
      <c r="Y69" s="13">
        <f ca="1"/>
        <v>542.73077884824136</v>
      </c>
      <c r="Z69" s="13">
        <f ca="1"/>
        <v>542.80523509139653</v>
      </c>
      <c r="AA69" s="13">
        <f ca="1"/>
        <v>542.80523509139653</v>
      </c>
      <c r="AB69" s="13">
        <f ca="1"/>
        <v>542.80523509139653</v>
      </c>
      <c r="AC69" s="13">
        <f ca="1"/>
        <v>542.80523509139653</v>
      </c>
      <c r="AD69" s="13">
        <f ca="1"/>
        <v>542.80523509139653</v>
      </c>
      <c r="AE69" s="13">
        <f ca="1"/>
        <v>542.80523509139653</v>
      </c>
      <c r="AF69" s="13">
        <f ca="1"/>
        <v>542.80523509139653</v>
      </c>
      <c r="AG69" s="13">
        <f ca="1"/>
        <v>542.80523509139653</v>
      </c>
      <c r="AH69" s="13">
        <f ca="1"/>
        <v>542.80523509139653</v>
      </c>
      <c r="AI69" s="13">
        <f ca="1"/>
        <v>542.80523509139653</v>
      </c>
      <c r="AJ69" s="13">
        <f ca="1"/>
        <v>542.80523509139653</v>
      </c>
      <c r="AK69" s="13">
        <f ca="1"/>
        <v>542.80523509139653</v>
      </c>
      <c r="AL69" s="56">
        <f ca="1"/>
        <v>542.80523509139653</v>
      </c>
      <c r="AM69" s="10"/>
    </row>
    <row r="70" spans="2:39" ht="15" hidden="1">
      <c r="B70" s="10"/>
      <c r="C70" s="11" t="str">
        <f>"EL 2: " &amp; INDEX(_doName,2,3)</f>
        <v>EL 2: EL 2</v>
      </c>
      <c r="D70" s="12"/>
      <c r="E70" s="13">
        <f t="array" aca="1" ref="E70:AL70" ca="1">tlccFubcElec2</f>
        <v>567.3475294020501</v>
      </c>
      <c r="F70" s="13">
        <f ca="1"/>
        <v>562.78031290871979</v>
      </c>
      <c r="G70" s="13">
        <f ca="1"/>
        <v>558.74170019329961</v>
      </c>
      <c r="H70" s="13">
        <f ca="1"/>
        <v>554.89395165124881</v>
      </c>
      <c r="I70" s="13">
        <f ca="1"/>
        <v>551.51834775694215</v>
      </c>
      <c r="J70" s="13">
        <f ca="1"/>
        <v>548.88399681438329</v>
      </c>
      <c r="K70" s="13">
        <f ca="1"/>
        <v>546.68843644662968</v>
      </c>
      <c r="L70" s="13">
        <f ca="1"/>
        <v>544.47560525496431</v>
      </c>
      <c r="M70" s="13">
        <f ca="1"/>
        <v>542.69060851462166</v>
      </c>
      <c r="N70" s="13">
        <f ca="1"/>
        <v>541.4420386736698</v>
      </c>
      <c r="O70" s="13">
        <f ca="1"/>
        <v>540.51612811274754</v>
      </c>
      <c r="P70" s="13">
        <f ca="1"/>
        <v>539.7285487614854</v>
      </c>
      <c r="Q70" s="13">
        <f ca="1"/>
        <v>539.13911170281688</v>
      </c>
      <c r="R70" s="13">
        <f ca="1"/>
        <v>538.68269809336141</v>
      </c>
      <c r="S70" s="13">
        <f ca="1"/>
        <v>538.59571059553571</v>
      </c>
      <c r="T70" s="13">
        <f ca="1"/>
        <v>538.67347351944318</v>
      </c>
      <c r="U70" s="13">
        <f ca="1"/>
        <v>538.80476024476104</v>
      </c>
      <c r="V70" s="13">
        <f ca="1"/>
        <v>539.00587929204175</v>
      </c>
      <c r="W70" s="13">
        <f ca="1"/>
        <v>539.19968973599237</v>
      </c>
      <c r="X70" s="13">
        <f ca="1"/>
        <v>539.3606598798782</v>
      </c>
      <c r="Y70" s="13">
        <f ca="1"/>
        <v>539.46832963954182</v>
      </c>
      <c r="Z70" s="13">
        <f ca="1"/>
        <v>539.54233831325553</v>
      </c>
      <c r="AA70" s="13">
        <f ca="1"/>
        <v>539.54233831325553</v>
      </c>
      <c r="AB70" s="13">
        <f ca="1"/>
        <v>539.54233831325553</v>
      </c>
      <c r="AC70" s="13">
        <f ca="1"/>
        <v>539.54233831325553</v>
      </c>
      <c r="AD70" s="13">
        <f ca="1"/>
        <v>539.54233831325553</v>
      </c>
      <c r="AE70" s="13">
        <f ca="1"/>
        <v>539.54233831325553</v>
      </c>
      <c r="AF70" s="13">
        <f ca="1"/>
        <v>539.54233831325553</v>
      </c>
      <c r="AG70" s="13">
        <f ca="1"/>
        <v>539.54233831325553</v>
      </c>
      <c r="AH70" s="13">
        <f ca="1"/>
        <v>539.54233831325553</v>
      </c>
      <c r="AI70" s="13">
        <f ca="1"/>
        <v>539.54233831325553</v>
      </c>
      <c r="AJ70" s="13">
        <f ca="1"/>
        <v>539.54233831325553</v>
      </c>
      <c r="AK70" s="13">
        <f ca="1"/>
        <v>539.54233831325553</v>
      </c>
      <c r="AL70" s="56">
        <f ca="1"/>
        <v>539.54233831325553</v>
      </c>
      <c r="AM70" s="10"/>
    </row>
    <row r="71" spans="2:39" ht="15" hidden="1">
      <c r="B71" s="10"/>
      <c r="C71" s="11" t="str">
        <f>"EL 3: " &amp; INDEX(_doName,2,4)</f>
        <v>EL 3: EL 3</v>
      </c>
      <c r="D71" s="12"/>
      <c r="E71" s="13">
        <f t="array" aca="1" ref="E71:AL71" ca="1">tlccFubcElec3</f>
        <v>562.29016197384271</v>
      </c>
      <c r="F71" s="13">
        <f ca="1"/>
        <v>557.76365790232455</v>
      </c>
      <c r="G71" s="13">
        <f ca="1"/>
        <v>553.76104560524323</v>
      </c>
      <c r="H71" s="13">
        <f ca="1"/>
        <v>549.94759610767585</v>
      </c>
      <c r="I71" s="13">
        <f ca="1"/>
        <v>546.60208253420569</v>
      </c>
      <c r="J71" s="13">
        <f ca="1"/>
        <v>543.99121434244944</v>
      </c>
      <c r="K71" s="13">
        <f ca="1"/>
        <v>541.81522532191264</v>
      </c>
      <c r="L71" s="13">
        <f ca="1"/>
        <v>539.62211943054888</v>
      </c>
      <c r="M71" s="13">
        <f ca="1"/>
        <v>537.85303425041616</v>
      </c>
      <c r="N71" s="13">
        <f ca="1"/>
        <v>536.61559423046151</v>
      </c>
      <c r="O71" s="13">
        <f ca="1"/>
        <v>535.69793728777074</v>
      </c>
      <c r="P71" s="13">
        <f ca="1"/>
        <v>534.91737846264425</v>
      </c>
      <c r="Q71" s="13">
        <f ca="1"/>
        <v>534.33319567869626</v>
      </c>
      <c r="R71" s="13">
        <f ca="1"/>
        <v>533.88085056553746</v>
      </c>
      <c r="S71" s="13">
        <f ca="1"/>
        <v>533.79463847910483</v>
      </c>
      <c r="T71" s="13">
        <f ca="1"/>
        <v>533.87170821998404</v>
      </c>
      <c r="U71" s="13">
        <f ca="1"/>
        <v>534.00182464813145</v>
      </c>
      <c r="V71" s="13">
        <f ca="1"/>
        <v>534.20115090904017</v>
      </c>
      <c r="W71" s="13">
        <f ca="1"/>
        <v>534.39323371591524</v>
      </c>
      <c r="X71" s="13">
        <f ca="1"/>
        <v>534.55276896298665</v>
      </c>
      <c r="Y71" s="13">
        <f ca="1"/>
        <v>534.65947894842498</v>
      </c>
      <c r="Z71" s="13">
        <f ca="1"/>
        <v>534.73282790470546</v>
      </c>
      <c r="AA71" s="13">
        <f ca="1"/>
        <v>534.73282790470546</v>
      </c>
      <c r="AB71" s="13">
        <f ca="1"/>
        <v>534.73282790470546</v>
      </c>
      <c r="AC71" s="13">
        <f ca="1"/>
        <v>534.73282790470546</v>
      </c>
      <c r="AD71" s="13">
        <f ca="1"/>
        <v>534.73282790470546</v>
      </c>
      <c r="AE71" s="13">
        <f ca="1"/>
        <v>534.73282790470546</v>
      </c>
      <c r="AF71" s="13">
        <f ca="1"/>
        <v>534.73282790470546</v>
      </c>
      <c r="AG71" s="13">
        <f ca="1"/>
        <v>534.73282790470546</v>
      </c>
      <c r="AH71" s="13">
        <f ca="1"/>
        <v>534.73282790470546</v>
      </c>
      <c r="AI71" s="13">
        <f ca="1"/>
        <v>534.73282790470546</v>
      </c>
      <c r="AJ71" s="13">
        <f ca="1"/>
        <v>534.73282790470546</v>
      </c>
      <c r="AK71" s="13">
        <f ca="1"/>
        <v>534.73282790470546</v>
      </c>
      <c r="AL71" s="56">
        <f ca="1"/>
        <v>534.73282790470546</v>
      </c>
      <c r="AM71" s="10"/>
    </row>
    <row r="72" spans="2:39" ht="15" hidden="1">
      <c r="B72" s="10"/>
      <c r="C72" s="11" t="str">
        <f>"EL 4: " &amp; INDEX(_doName,2,5)</f>
        <v>EL 4: EL 4</v>
      </c>
      <c r="D72" s="12"/>
      <c r="E72" s="13">
        <f t="array" aca="1" ref="E72:AL72" ca="1">tlccFubcElec4</f>
        <v>557.57323967506284</v>
      </c>
      <c r="F72" s="13">
        <f ca="1"/>
        <v>553.08470740073085</v>
      </c>
      <c r="G72" s="13">
        <f ca="1"/>
        <v>549.11567209374198</v>
      </c>
      <c r="H72" s="13">
        <f ca="1"/>
        <v>545.33421274323166</v>
      </c>
      <c r="I72" s="13">
        <f ca="1"/>
        <v>542.01676391042884</v>
      </c>
      <c r="J72" s="13">
        <f ca="1"/>
        <v>539.42779768891091</v>
      </c>
      <c r="K72" s="13">
        <f ca="1"/>
        <v>537.27006253768752</v>
      </c>
      <c r="L72" s="13">
        <f ca="1"/>
        <v>535.09535410511296</v>
      </c>
      <c r="M72" s="13">
        <f ca="1"/>
        <v>533.3411093719576</v>
      </c>
      <c r="N72" s="13">
        <f ca="1"/>
        <v>532.11404995052362</v>
      </c>
      <c r="O72" s="13">
        <f ca="1"/>
        <v>531.20409101997723</v>
      </c>
      <c r="P72" s="13">
        <f ca="1"/>
        <v>530.43008012255223</v>
      </c>
      <c r="Q72" s="13">
        <f ca="1"/>
        <v>529.85079791305225</v>
      </c>
      <c r="R72" s="13">
        <f ca="1"/>
        <v>529.40224741857116</v>
      </c>
      <c r="S72" s="13">
        <f ca="1"/>
        <v>529.3167585454197</v>
      </c>
      <c r="T72" s="13">
        <f ca="1"/>
        <v>529.39318176604309</v>
      </c>
      <c r="U72" s="13">
        <f ca="1"/>
        <v>529.52220667752727</v>
      </c>
      <c r="V72" s="13">
        <f ca="1"/>
        <v>529.71986083647084</v>
      </c>
      <c r="W72" s="13">
        <f ca="1"/>
        <v>529.91033230504365</v>
      </c>
      <c r="X72" s="13">
        <f ca="1"/>
        <v>530.06852924777468</v>
      </c>
      <c r="Y72" s="13">
        <f ca="1"/>
        <v>530.17434406779159</v>
      </c>
      <c r="Z72" s="13">
        <f ca="1"/>
        <v>530.24707771661895</v>
      </c>
      <c r="AA72" s="13">
        <f ca="1"/>
        <v>530.24707771661895</v>
      </c>
      <c r="AB72" s="13">
        <f ca="1"/>
        <v>530.24707771661895</v>
      </c>
      <c r="AC72" s="13">
        <f ca="1"/>
        <v>530.24707771661895</v>
      </c>
      <c r="AD72" s="13">
        <f ca="1"/>
        <v>530.24707771661895</v>
      </c>
      <c r="AE72" s="13">
        <f ca="1"/>
        <v>530.24707771661895</v>
      </c>
      <c r="AF72" s="13">
        <f ca="1"/>
        <v>530.24707771661895</v>
      </c>
      <c r="AG72" s="13">
        <f ca="1"/>
        <v>530.24707771661895</v>
      </c>
      <c r="AH72" s="13">
        <f ca="1"/>
        <v>530.24707771661895</v>
      </c>
      <c r="AI72" s="13">
        <f ca="1"/>
        <v>530.24707771661895</v>
      </c>
      <c r="AJ72" s="13">
        <f ca="1"/>
        <v>530.24707771661895</v>
      </c>
      <c r="AK72" s="13">
        <f ca="1"/>
        <v>530.24707771661895</v>
      </c>
      <c r="AL72" s="56">
        <f ca="1"/>
        <v>530.24707771661895</v>
      </c>
      <c r="AM72" s="10"/>
    </row>
    <row r="73" spans="2:39" ht="15" hidden="1">
      <c r="B73" s="10"/>
      <c r="C73" s="11" t="str">
        <f>"EL 5: " &amp; INDEX(_doName,2,6)</f>
        <v>EL 5: EL 5</v>
      </c>
      <c r="D73" s="12"/>
      <c r="E73" s="13">
        <f t="array" aca="1" ref="E73:AL73" ca="1">tlccFubcElec5</f>
        <v>549.01349536668602</v>
      </c>
      <c r="F73" s="13">
        <f ca="1"/>
        <v>544.59387007327484</v>
      </c>
      <c r="G73" s="13">
        <f ca="1"/>
        <v>540.68576654163166</v>
      </c>
      <c r="H73" s="13">
        <f ca="1"/>
        <v>536.96235934077561</v>
      </c>
      <c r="I73" s="13">
        <f ca="1"/>
        <v>533.69583926807877</v>
      </c>
      <c r="J73" s="13">
        <f ca="1"/>
        <v>531.1466182984891</v>
      </c>
      <c r="K73" s="13">
        <f ca="1"/>
        <v>529.02200823266321</v>
      </c>
      <c r="L73" s="13">
        <f ca="1"/>
        <v>526.8806854556467</v>
      </c>
      <c r="M73" s="13">
        <f ca="1"/>
        <v>525.15337150987784</v>
      </c>
      <c r="N73" s="13">
        <f ca="1"/>
        <v>523.94514964044822</v>
      </c>
      <c r="O73" s="13">
        <f ca="1"/>
        <v>523.04916020345422</v>
      </c>
      <c r="P73" s="13">
        <f ca="1"/>
        <v>522.28703175465182</v>
      </c>
      <c r="Q73" s="13">
        <f ca="1"/>
        <v>521.71664256089025</v>
      </c>
      <c r="R73" s="13">
        <f ca="1"/>
        <v>521.27497811701016</v>
      </c>
      <c r="S73" s="13">
        <f ca="1"/>
        <v>521.19080165063019</v>
      </c>
      <c r="T73" s="13">
        <f ca="1"/>
        <v>521.26605163842748</v>
      </c>
      <c r="U73" s="13">
        <f ca="1"/>
        <v>521.39309578725465</v>
      </c>
      <c r="V73" s="13">
        <f ca="1"/>
        <v>521.58771560211267</v>
      </c>
      <c r="W73" s="13">
        <f ca="1"/>
        <v>521.77526299371596</v>
      </c>
      <c r="X73" s="13">
        <f ca="1"/>
        <v>521.93103133104808</v>
      </c>
      <c r="Y73" s="13">
        <f ca="1"/>
        <v>522.035221704734</v>
      </c>
      <c r="Z73" s="13">
        <f ca="1"/>
        <v>522.10683876224698</v>
      </c>
      <c r="AA73" s="13">
        <f ca="1"/>
        <v>522.10683876224698</v>
      </c>
      <c r="AB73" s="13">
        <f ca="1"/>
        <v>522.10683876224698</v>
      </c>
      <c r="AC73" s="13">
        <f ca="1"/>
        <v>522.10683876224698</v>
      </c>
      <c r="AD73" s="13">
        <f ca="1"/>
        <v>522.10683876224698</v>
      </c>
      <c r="AE73" s="13">
        <f ca="1"/>
        <v>522.10683876224698</v>
      </c>
      <c r="AF73" s="13">
        <f ca="1"/>
        <v>522.10683876224698</v>
      </c>
      <c r="AG73" s="13">
        <f ca="1"/>
        <v>522.10683876224698</v>
      </c>
      <c r="AH73" s="13">
        <f ca="1"/>
        <v>522.10683876224698</v>
      </c>
      <c r="AI73" s="13">
        <f ca="1"/>
        <v>522.10683876224698</v>
      </c>
      <c r="AJ73" s="13">
        <f ca="1"/>
        <v>522.10683876224698</v>
      </c>
      <c r="AK73" s="13">
        <f ca="1"/>
        <v>522.10683876224698</v>
      </c>
      <c r="AL73" s="56">
        <f ca="1"/>
        <v>522.10683876224698</v>
      </c>
      <c r="AM73" s="10"/>
    </row>
    <row r="74" spans="2:39" ht="15" hidden="1">
      <c r="B74" s="10"/>
      <c r="C74" s="21" t="str">
        <f>"EL 6: " &amp; INDEX(_doName,2,7)</f>
        <v>EL 6: EL 6</v>
      </c>
      <c r="D74" s="18"/>
      <c r="E74" s="58">
        <f t="array" aca="1" ref="E74:AL74" ca="1">tlccFubcElec6</f>
        <v>523.90022516717409</v>
      </c>
      <c r="F74" s="58">
        <f ca="1"/>
        <v>519.68276474787024</v>
      </c>
      <c r="G74" s="58">
        <f ca="1"/>
        <v>515.95342778715133</v>
      </c>
      <c r="H74" s="58">
        <f ca="1"/>
        <v>512.40033867844977</v>
      </c>
      <c r="I74" s="58">
        <f ca="1"/>
        <v>509.28323752148117</v>
      </c>
      <c r="J74" s="58">
        <f ca="1"/>
        <v>506.8506243867584</v>
      </c>
      <c r="K74" s="58">
        <f ca="1"/>
        <v>504.82319937576625</v>
      </c>
      <c r="L74" s="58">
        <f ca="1"/>
        <v>502.77982613539587</v>
      </c>
      <c r="M74" s="58">
        <f ca="1"/>
        <v>501.1315239119354</v>
      </c>
      <c r="N74" s="58">
        <f ca="1"/>
        <v>499.97856917623568</v>
      </c>
      <c r="O74" s="58">
        <f ca="1"/>
        <v>499.12356456933611</v>
      </c>
      <c r="P74" s="58">
        <f ca="1"/>
        <v>498.39629780940493</v>
      </c>
      <c r="Q74" s="58">
        <f ca="1"/>
        <v>497.85199966452046</v>
      </c>
      <c r="R74" s="58">
        <f ca="1"/>
        <v>497.43053807286589</v>
      </c>
      <c r="S74" s="58">
        <f ca="1"/>
        <v>497.35021205162519</v>
      </c>
      <c r="T74" s="58">
        <f ca="1"/>
        <v>497.42201991406125</v>
      </c>
      <c r="U74" s="58">
        <f ca="1"/>
        <v>497.54325274119282</v>
      </c>
      <c r="V74" s="58">
        <f ca="1"/>
        <v>497.72897015194252</v>
      </c>
      <c r="W74" s="58">
        <f ca="1"/>
        <v>497.9079386500207</v>
      </c>
      <c r="X74" s="58">
        <f ca="1"/>
        <v>498.05658174839795</v>
      </c>
      <c r="Y74" s="58">
        <f ca="1"/>
        <v>498.15600619004647</v>
      </c>
      <c r="Z74" s="58">
        <f ca="1"/>
        <v>498.22434730164662</v>
      </c>
      <c r="AA74" s="58">
        <f ca="1"/>
        <v>498.22434730164662</v>
      </c>
      <c r="AB74" s="58">
        <f ca="1"/>
        <v>498.22434730164662</v>
      </c>
      <c r="AC74" s="58">
        <f ca="1"/>
        <v>498.22434730164662</v>
      </c>
      <c r="AD74" s="58">
        <f ca="1"/>
        <v>498.22434730164662</v>
      </c>
      <c r="AE74" s="58">
        <f ca="1"/>
        <v>498.22434730164662</v>
      </c>
      <c r="AF74" s="58">
        <f ca="1"/>
        <v>498.22434730164662</v>
      </c>
      <c r="AG74" s="58">
        <f ca="1"/>
        <v>498.22434730164662</v>
      </c>
      <c r="AH74" s="58">
        <f ca="1"/>
        <v>498.22434730164662</v>
      </c>
      <c r="AI74" s="58">
        <f ca="1"/>
        <v>498.22434730164662</v>
      </c>
      <c r="AJ74" s="58">
        <f ca="1"/>
        <v>498.22434730164662</v>
      </c>
      <c r="AK74" s="58">
        <f ca="1"/>
        <v>498.22434730164662</v>
      </c>
      <c r="AL74" s="59">
        <f ca="1"/>
        <v>498.22434730164662</v>
      </c>
      <c r="AM74" s="10"/>
    </row>
    <row r="75" spans="2:39" ht="15" hidden="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2:39" ht="15" hidden="1">
      <c r="B76" s="10"/>
      <c r="C76" s="22" t="s">
        <v>86</v>
      </c>
      <c r="D76" s="23"/>
      <c r="E76" s="24">
        <f t="array" ref="E76:AL76">_yS</f>
        <v>2019</v>
      </c>
      <c r="F76" s="24">
        <v>2020</v>
      </c>
      <c r="G76" s="24">
        <v>2021</v>
      </c>
      <c r="H76" s="24">
        <v>2022</v>
      </c>
      <c r="I76" s="24">
        <v>2023</v>
      </c>
      <c r="J76" s="24">
        <v>2024</v>
      </c>
      <c r="K76" s="24">
        <v>2025</v>
      </c>
      <c r="L76" s="24">
        <v>2026</v>
      </c>
      <c r="M76" s="24">
        <v>2027</v>
      </c>
      <c r="N76" s="24">
        <v>2028</v>
      </c>
      <c r="O76" s="24">
        <v>2029</v>
      </c>
      <c r="P76" s="24">
        <v>2030</v>
      </c>
      <c r="Q76" s="24">
        <v>2031</v>
      </c>
      <c r="R76" s="24">
        <v>2032</v>
      </c>
      <c r="S76" s="24">
        <v>2033</v>
      </c>
      <c r="T76" s="24">
        <v>2034</v>
      </c>
      <c r="U76" s="24">
        <v>2035</v>
      </c>
      <c r="V76" s="24">
        <v>2036</v>
      </c>
      <c r="W76" s="24">
        <v>2037</v>
      </c>
      <c r="X76" s="24">
        <v>2038</v>
      </c>
      <c r="Y76" s="24">
        <v>2039</v>
      </c>
      <c r="Z76" s="24">
        <v>2040</v>
      </c>
      <c r="AA76" s="24">
        <v>2041</v>
      </c>
      <c r="AB76" s="24">
        <v>2042</v>
      </c>
      <c r="AC76" s="24">
        <v>2043</v>
      </c>
      <c r="AD76" s="24">
        <v>2044</v>
      </c>
      <c r="AE76" s="24">
        <v>2045</v>
      </c>
      <c r="AF76" s="24">
        <v>2046</v>
      </c>
      <c r="AG76" s="24">
        <v>2047</v>
      </c>
      <c r="AH76" s="24">
        <v>2048</v>
      </c>
      <c r="AI76" s="24">
        <v>2049</v>
      </c>
      <c r="AJ76" s="24">
        <v>2050</v>
      </c>
      <c r="AK76" s="24">
        <v>2051</v>
      </c>
      <c r="AL76" s="25">
        <v>2052</v>
      </c>
      <c r="AM76" s="10"/>
    </row>
    <row r="77" spans="2:39" ht="15" hidden="1">
      <c r="B77" s="10"/>
      <c r="C77" s="11" t="str">
        <f>"EL 0: " &amp; INDEX(_doName,2,1)</f>
        <v>EL 0: EL 1</v>
      </c>
      <c r="D77" s="12"/>
      <c r="E77" s="13">
        <f t="array" aca="1" ref="E77:AL77" ca="1">tlccQupol0</f>
        <v>0</v>
      </c>
      <c r="F77" s="13">
        <f ca="1"/>
        <v>0</v>
      </c>
      <c r="G77" s="13">
        <f ca="1"/>
        <v>0</v>
      </c>
      <c r="H77" s="13">
        <f ca="1"/>
        <v>0</v>
      </c>
      <c r="I77" s="13">
        <f ca="1"/>
        <v>0</v>
      </c>
      <c r="J77" s="13">
        <f ca="1"/>
        <v>0</v>
      </c>
      <c r="K77" s="13">
        <f ca="1"/>
        <v>0</v>
      </c>
      <c r="L77" s="13">
        <f ca="1"/>
        <v>0</v>
      </c>
      <c r="M77" s="13">
        <f ca="1"/>
        <v>0</v>
      </c>
      <c r="N77" s="13">
        <f ca="1"/>
        <v>0</v>
      </c>
      <c r="O77" s="13">
        <f ca="1"/>
        <v>0</v>
      </c>
      <c r="P77" s="13">
        <f ca="1"/>
        <v>0</v>
      </c>
      <c r="Q77" s="13">
        <f ca="1"/>
        <v>0</v>
      </c>
      <c r="R77" s="13">
        <f ca="1"/>
        <v>0</v>
      </c>
      <c r="S77" s="13">
        <f ca="1"/>
        <v>0</v>
      </c>
      <c r="T77" s="13">
        <f ca="1"/>
        <v>0</v>
      </c>
      <c r="U77" s="13">
        <f ca="1"/>
        <v>0</v>
      </c>
      <c r="V77" s="13">
        <f ca="1"/>
        <v>0</v>
      </c>
      <c r="W77" s="13">
        <f ca="1"/>
        <v>0</v>
      </c>
      <c r="X77" s="13">
        <f ca="1"/>
        <v>0</v>
      </c>
      <c r="Y77" s="13">
        <f ca="1"/>
        <v>0</v>
      </c>
      <c r="Z77" s="13">
        <f ca="1"/>
        <v>0</v>
      </c>
      <c r="AA77" s="13">
        <f ca="1"/>
        <v>0</v>
      </c>
      <c r="AB77" s="13">
        <f ca="1"/>
        <v>0</v>
      </c>
      <c r="AC77" s="13">
        <f ca="1"/>
        <v>0</v>
      </c>
      <c r="AD77" s="13">
        <f ca="1"/>
        <v>0</v>
      </c>
      <c r="AE77" s="13">
        <f ca="1"/>
        <v>0</v>
      </c>
      <c r="AF77" s="13">
        <f ca="1"/>
        <v>0</v>
      </c>
      <c r="AG77" s="13">
        <f ca="1"/>
        <v>0</v>
      </c>
      <c r="AH77" s="13">
        <f ca="1"/>
        <v>0</v>
      </c>
      <c r="AI77" s="13">
        <f ca="1"/>
        <v>0</v>
      </c>
      <c r="AJ77" s="13">
        <f ca="1"/>
        <v>0</v>
      </c>
      <c r="AK77" s="13">
        <f ca="1"/>
        <v>0</v>
      </c>
      <c r="AL77" s="56">
        <f ca="1"/>
        <v>0</v>
      </c>
      <c r="AM77" s="10"/>
    </row>
    <row r="78" spans="2:39" ht="15" hidden="1">
      <c r="B78" s="10"/>
      <c r="C78" s="11" t="str">
        <f>"EL 1: " &amp; INDEX(_doName,2,2)</f>
        <v>EL 1: EL 1</v>
      </c>
      <c r="D78" s="12"/>
      <c r="E78" s="13">
        <f t="array" aca="1" ref="E78:AL78" ca="1">tlccQupol1</f>
        <v>0</v>
      </c>
      <c r="F78" s="13">
        <f ca="1"/>
        <v>0</v>
      </c>
      <c r="G78" s="13">
        <f ca="1"/>
        <v>0</v>
      </c>
      <c r="H78" s="13">
        <f ca="1"/>
        <v>0</v>
      </c>
      <c r="I78" s="13">
        <f ca="1"/>
        <v>0</v>
      </c>
      <c r="J78" s="13">
        <f ca="1"/>
        <v>0</v>
      </c>
      <c r="K78" s="13">
        <f ca="1"/>
        <v>0</v>
      </c>
      <c r="L78" s="13">
        <f ca="1"/>
        <v>0</v>
      </c>
      <c r="M78" s="13">
        <f ca="1"/>
        <v>0</v>
      </c>
      <c r="N78" s="13">
        <f ca="1"/>
        <v>0</v>
      </c>
      <c r="O78" s="13">
        <f ca="1"/>
        <v>0</v>
      </c>
      <c r="P78" s="13">
        <f ca="1"/>
        <v>0</v>
      </c>
      <c r="Q78" s="13">
        <f ca="1"/>
        <v>0</v>
      </c>
      <c r="R78" s="13">
        <f ca="1"/>
        <v>0</v>
      </c>
      <c r="S78" s="13">
        <f ca="1"/>
        <v>0</v>
      </c>
      <c r="T78" s="13">
        <f ca="1"/>
        <v>0</v>
      </c>
      <c r="U78" s="13">
        <f ca="1"/>
        <v>0</v>
      </c>
      <c r="V78" s="13">
        <f ca="1"/>
        <v>0</v>
      </c>
      <c r="W78" s="13">
        <f ca="1"/>
        <v>0</v>
      </c>
      <c r="X78" s="13">
        <f ca="1"/>
        <v>0</v>
      </c>
      <c r="Y78" s="13">
        <f ca="1"/>
        <v>0</v>
      </c>
      <c r="Z78" s="13">
        <f ca="1"/>
        <v>0</v>
      </c>
      <c r="AA78" s="13">
        <f ca="1"/>
        <v>0</v>
      </c>
      <c r="AB78" s="13">
        <f ca="1"/>
        <v>0</v>
      </c>
      <c r="AC78" s="13">
        <f ca="1"/>
        <v>0</v>
      </c>
      <c r="AD78" s="13">
        <f ca="1"/>
        <v>0</v>
      </c>
      <c r="AE78" s="13">
        <f ca="1"/>
        <v>0</v>
      </c>
      <c r="AF78" s="13">
        <f ca="1"/>
        <v>0</v>
      </c>
      <c r="AG78" s="13">
        <f ca="1"/>
        <v>0</v>
      </c>
      <c r="AH78" s="13">
        <f ca="1"/>
        <v>0</v>
      </c>
      <c r="AI78" s="13">
        <f ca="1"/>
        <v>0</v>
      </c>
      <c r="AJ78" s="13">
        <f ca="1"/>
        <v>0</v>
      </c>
      <c r="AK78" s="13">
        <f ca="1"/>
        <v>0</v>
      </c>
      <c r="AL78" s="56">
        <f ca="1"/>
        <v>0</v>
      </c>
      <c r="AM78" s="10"/>
    </row>
    <row r="79" spans="2:39" ht="15" hidden="1">
      <c r="B79" s="10"/>
      <c r="C79" s="11" t="str">
        <f>"EL 2: " &amp; INDEX(_doName,2,3)</f>
        <v>EL 2: EL 2</v>
      </c>
      <c r="D79" s="12"/>
      <c r="E79" s="13">
        <f t="array" aca="1" ref="E79:AL79" ca="1">tlccQupol2</f>
        <v>0</v>
      </c>
      <c r="F79" s="13">
        <f ca="1"/>
        <v>0</v>
      </c>
      <c r="G79" s="13">
        <f ca="1"/>
        <v>0</v>
      </c>
      <c r="H79" s="13">
        <f ca="1"/>
        <v>0</v>
      </c>
      <c r="I79" s="13">
        <f ca="1"/>
        <v>0</v>
      </c>
      <c r="J79" s="13">
        <f ca="1"/>
        <v>0</v>
      </c>
      <c r="K79" s="13">
        <f ca="1"/>
        <v>0</v>
      </c>
      <c r="L79" s="13">
        <f ca="1"/>
        <v>0</v>
      </c>
      <c r="M79" s="13">
        <f ca="1"/>
        <v>0</v>
      </c>
      <c r="N79" s="13">
        <f ca="1"/>
        <v>0</v>
      </c>
      <c r="O79" s="13">
        <f ca="1"/>
        <v>0</v>
      </c>
      <c r="P79" s="13">
        <f ca="1"/>
        <v>0</v>
      </c>
      <c r="Q79" s="13">
        <f ca="1"/>
        <v>0</v>
      </c>
      <c r="R79" s="13">
        <f ca="1"/>
        <v>0</v>
      </c>
      <c r="S79" s="13">
        <f ca="1"/>
        <v>0</v>
      </c>
      <c r="T79" s="13">
        <f ca="1"/>
        <v>0</v>
      </c>
      <c r="U79" s="13">
        <f ca="1"/>
        <v>0</v>
      </c>
      <c r="V79" s="13">
        <f ca="1"/>
        <v>0</v>
      </c>
      <c r="W79" s="13">
        <f ca="1"/>
        <v>0</v>
      </c>
      <c r="X79" s="13">
        <f ca="1"/>
        <v>0</v>
      </c>
      <c r="Y79" s="13">
        <f ca="1"/>
        <v>0</v>
      </c>
      <c r="Z79" s="13">
        <f ca="1"/>
        <v>0</v>
      </c>
      <c r="AA79" s="13">
        <f ca="1"/>
        <v>0</v>
      </c>
      <c r="AB79" s="13">
        <f ca="1"/>
        <v>0</v>
      </c>
      <c r="AC79" s="13">
        <f ca="1"/>
        <v>0</v>
      </c>
      <c r="AD79" s="13">
        <f ca="1"/>
        <v>0</v>
      </c>
      <c r="AE79" s="13">
        <f ca="1"/>
        <v>0</v>
      </c>
      <c r="AF79" s="13">
        <f ca="1"/>
        <v>0</v>
      </c>
      <c r="AG79" s="13">
        <f ca="1"/>
        <v>0</v>
      </c>
      <c r="AH79" s="13">
        <f ca="1"/>
        <v>0</v>
      </c>
      <c r="AI79" s="13">
        <f ca="1"/>
        <v>0</v>
      </c>
      <c r="AJ79" s="13">
        <f ca="1"/>
        <v>0</v>
      </c>
      <c r="AK79" s="13">
        <f ca="1"/>
        <v>0</v>
      </c>
      <c r="AL79" s="56">
        <f ca="1"/>
        <v>0</v>
      </c>
      <c r="AM79" s="10"/>
    </row>
    <row r="80" spans="2:39" ht="15" hidden="1">
      <c r="B80" s="10"/>
      <c r="C80" s="11" t="str">
        <f>"EL 3: " &amp; INDEX(_doName,2,4)</f>
        <v>EL 3: EL 3</v>
      </c>
      <c r="D80" s="12"/>
      <c r="E80" s="13">
        <f t="array" aca="1" ref="E80:AL80" ca="1">tlccQupol3</f>
        <v>0</v>
      </c>
      <c r="F80" s="13">
        <f ca="1"/>
        <v>0</v>
      </c>
      <c r="G80" s="13">
        <f ca="1"/>
        <v>0</v>
      </c>
      <c r="H80" s="13">
        <f ca="1"/>
        <v>0</v>
      </c>
      <c r="I80" s="13">
        <f ca="1"/>
        <v>0</v>
      </c>
      <c r="J80" s="13">
        <f ca="1"/>
        <v>0</v>
      </c>
      <c r="K80" s="13">
        <f ca="1"/>
        <v>0</v>
      </c>
      <c r="L80" s="13">
        <f ca="1"/>
        <v>0</v>
      </c>
      <c r="M80" s="13">
        <f ca="1"/>
        <v>0</v>
      </c>
      <c r="N80" s="13">
        <f ca="1"/>
        <v>0</v>
      </c>
      <c r="O80" s="13">
        <f ca="1"/>
        <v>0</v>
      </c>
      <c r="P80" s="13">
        <f ca="1"/>
        <v>0</v>
      </c>
      <c r="Q80" s="13">
        <f ca="1"/>
        <v>0</v>
      </c>
      <c r="R80" s="13">
        <f ca="1"/>
        <v>0</v>
      </c>
      <c r="S80" s="13">
        <f ca="1"/>
        <v>0</v>
      </c>
      <c r="T80" s="13">
        <f ca="1"/>
        <v>0</v>
      </c>
      <c r="U80" s="13">
        <f ca="1"/>
        <v>0</v>
      </c>
      <c r="V80" s="13">
        <f ca="1"/>
        <v>0</v>
      </c>
      <c r="W80" s="13">
        <f ca="1"/>
        <v>0</v>
      </c>
      <c r="X80" s="13">
        <f ca="1"/>
        <v>0</v>
      </c>
      <c r="Y80" s="13">
        <f ca="1"/>
        <v>0</v>
      </c>
      <c r="Z80" s="13">
        <f ca="1"/>
        <v>0</v>
      </c>
      <c r="AA80" s="13">
        <f ca="1"/>
        <v>0</v>
      </c>
      <c r="AB80" s="13">
        <f ca="1"/>
        <v>0</v>
      </c>
      <c r="AC80" s="13">
        <f ca="1"/>
        <v>0</v>
      </c>
      <c r="AD80" s="13">
        <f ca="1"/>
        <v>0</v>
      </c>
      <c r="AE80" s="13">
        <f ca="1"/>
        <v>0</v>
      </c>
      <c r="AF80" s="13">
        <f ca="1"/>
        <v>0</v>
      </c>
      <c r="AG80" s="13">
        <f ca="1"/>
        <v>0</v>
      </c>
      <c r="AH80" s="13">
        <f ca="1"/>
        <v>0</v>
      </c>
      <c r="AI80" s="13">
        <f ca="1"/>
        <v>0</v>
      </c>
      <c r="AJ80" s="13">
        <f ca="1"/>
        <v>0</v>
      </c>
      <c r="AK80" s="13">
        <f ca="1"/>
        <v>0</v>
      </c>
      <c r="AL80" s="56">
        <f ca="1"/>
        <v>0</v>
      </c>
      <c r="AM80" s="10"/>
    </row>
    <row r="81" spans="2:39" ht="15" hidden="1">
      <c r="B81" s="10"/>
      <c r="C81" s="11" t="str">
        <f>"EL 4: " &amp; INDEX(_doName,2,5)</f>
        <v>EL 4: EL 4</v>
      </c>
      <c r="D81" s="12"/>
      <c r="E81" s="13">
        <f t="array" aca="1" ref="E81:AL81" ca="1">tlccQupol4</f>
        <v>0</v>
      </c>
      <c r="F81" s="13">
        <f ca="1"/>
        <v>0</v>
      </c>
      <c r="G81" s="13">
        <f ca="1"/>
        <v>0</v>
      </c>
      <c r="H81" s="13">
        <f ca="1"/>
        <v>0</v>
      </c>
      <c r="I81" s="13">
        <f ca="1"/>
        <v>0</v>
      </c>
      <c r="J81" s="13">
        <f ca="1"/>
        <v>0</v>
      </c>
      <c r="K81" s="13">
        <f ca="1"/>
        <v>0</v>
      </c>
      <c r="L81" s="13">
        <f ca="1"/>
        <v>0</v>
      </c>
      <c r="M81" s="13">
        <f ca="1"/>
        <v>0</v>
      </c>
      <c r="N81" s="13">
        <f ca="1"/>
        <v>0</v>
      </c>
      <c r="O81" s="13">
        <f ca="1"/>
        <v>0</v>
      </c>
      <c r="P81" s="13">
        <f ca="1"/>
        <v>0</v>
      </c>
      <c r="Q81" s="13">
        <f ca="1"/>
        <v>0</v>
      </c>
      <c r="R81" s="13">
        <f ca="1"/>
        <v>0</v>
      </c>
      <c r="S81" s="13">
        <f ca="1"/>
        <v>0</v>
      </c>
      <c r="T81" s="13">
        <f ca="1"/>
        <v>0</v>
      </c>
      <c r="U81" s="13">
        <f ca="1"/>
        <v>0</v>
      </c>
      <c r="V81" s="13">
        <f ca="1"/>
        <v>0</v>
      </c>
      <c r="W81" s="13">
        <f ca="1"/>
        <v>0</v>
      </c>
      <c r="X81" s="13">
        <f ca="1"/>
        <v>0</v>
      </c>
      <c r="Y81" s="13">
        <f ca="1"/>
        <v>0</v>
      </c>
      <c r="Z81" s="13">
        <f ca="1"/>
        <v>0</v>
      </c>
      <c r="AA81" s="13">
        <f ca="1"/>
        <v>0</v>
      </c>
      <c r="AB81" s="13">
        <f ca="1"/>
        <v>0</v>
      </c>
      <c r="AC81" s="13">
        <f ca="1"/>
        <v>0</v>
      </c>
      <c r="AD81" s="13">
        <f ca="1"/>
        <v>0</v>
      </c>
      <c r="AE81" s="13">
        <f ca="1"/>
        <v>0</v>
      </c>
      <c r="AF81" s="13">
        <f ca="1"/>
        <v>0</v>
      </c>
      <c r="AG81" s="13">
        <f ca="1"/>
        <v>0</v>
      </c>
      <c r="AH81" s="13">
        <f ca="1"/>
        <v>0</v>
      </c>
      <c r="AI81" s="13">
        <f ca="1"/>
        <v>0</v>
      </c>
      <c r="AJ81" s="13">
        <f ca="1"/>
        <v>0</v>
      </c>
      <c r="AK81" s="13">
        <f ca="1"/>
        <v>0</v>
      </c>
      <c r="AL81" s="56">
        <f ca="1"/>
        <v>0</v>
      </c>
      <c r="AM81" s="10"/>
    </row>
    <row r="82" spans="2:39" ht="15" hidden="1">
      <c r="B82" s="10"/>
      <c r="C82" s="11" t="str">
        <f>"EL 5: " &amp; INDEX(_doName,2,6)</f>
        <v>EL 5: EL 5</v>
      </c>
      <c r="D82" s="12"/>
      <c r="E82" s="13">
        <f t="array" aca="1" ref="E82:AL82" ca="1">tlccQupol5</f>
        <v>1779.9263209999999</v>
      </c>
      <c r="F82" s="13">
        <f ca="1"/>
        <v>1779.9263209999999</v>
      </c>
      <c r="G82" s="13">
        <f ca="1"/>
        <v>1779.9263209999999</v>
      </c>
      <c r="H82" s="13">
        <f ca="1"/>
        <v>1779.9263209999999</v>
      </c>
      <c r="I82" s="13">
        <f ca="1"/>
        <v>1779.9263209999999</v>
      </c>
      <c r="J82" s="13">
        <f ca="1"/>
        <v>1779.9263209999999</v>
      </c>
      <c r="K82" s="13">
        <f ca="1"/>
        <v>1779.9263209999999</v>
      </c>
      <c r="L82" s="13">
        <f ca="1"/>
        <v>1779.9263209999999</v>
      </c>
      <c r="M82" s="13">
        <f ca="1"/>
        <v>1779.9263209999999</v>
      </c>
      <c r="N82" s="13">
        <f ca="1"/>
        <v>1779.9263209999999</v>
      </c>
      <c r="O82" s="13">
        <f ca="1"/>
        <v>1779.9263209999999</v>
      </c>
      <c r="P82" s="13">
        <f ca="1"/>
        <v>1779.9263209999999</v>
      </c>
      <c r="Q82" s="13">
        <f ca="1"/>
        <v>1779.9263209999999</v>
      </c>
      <c r="R82" s="13">
        <f ca="1"/>
        <v>1779.9263209999999</v>
      </c>
      <c r="S82" s="13">
        <f ca="1"/>
        <v>1779.9263209999999</v>
      </c>
      <c r="T82" s="13">
        <f ca="1"/>
        <v>1779.9263209999999</v>
      </c>
      <c r="U82" s="13">
        <f ca="1"/>
        <v>1779.9263209999999</v>
      </c>
      <c r="V82" s="13">
        <f ca="1"/>
        <v>1779.9263209999999</v>
      </c>
      <c r="W82" s="13">
        <f ca="1"/>
        <v>1779.9263209999999</v>
      </c>
      <c r="X82" s="13">
        <f ca="1"/>
        <v>1779.9263209999999</v>
      </c>
      <c r="Y82" s="13">
        <f ca="1"/>
        <v>1779.9263209999999</v>
      </c>
      <c r="Z82" s="13">
        <f ca="1"/>
        <v>1779.9263209999999</v>
      </c>
      <c r="AA82" s="13">
        <f ca="1"/>
        <v>1779.9263209999999</v>
      </c>
      <c r="AB82" s="13">
        <f ca="1"/>
        <v>1779.9263209999999</v>
      </c>
      <c r="AC82" s="13">
        <f ca="1"/>
        <v>1779.9263209999999</v>
      </c>
      <c r="AD82" s="13">
        <f ca="1"/>
        <v>1779.9263209999999</v>
      </c>
      <c r="AE82" s="13">
        <f ca="1"/>
        <v>1779.9263209999999</v>
      </c>
      <c r="AF82" s="13">
        <f ca="1"/>
        <v>1779.9263209999999</v>
      </c>
      <c r="AG82" s="13">
        <f ca="1"/>
        <v>1779.9263209999999</v>
      </c>
      <c r="AH82" s="13">
        <f ca="1"/>
        <v>1779.9263209999999</v>
      </c>
      <c r="AI82" s="13">
        <f ca="1"/>
        <v>1779.9263209999999</v>
      </c>
      <c r="AJ82" s="13">
        <f ca="1"/>
        <v>1779.9263209999999</v>
      </c>
      <c r="AK82" s="13">
        <f ca="1"/>
        <v>1779.9263209999999</v>
      </c>
      <c r="AL82" s="56">
        <f ca="1"/>
        <v>1779.9263209999999</v>
      </c>
      <c r="AM82" s="10"/>
    </row>
    <row r="83" spans="2:39" ht="15" hidden="1">
      <c r="B83" s="10"/>
      <c r="C83" s="21" t="str">
        <f>"EL 6: " &amp; INDEX(_doName,2,7)</f>
        <v>EL 6: EL 6</v>
      </c>
      <c r="D83" s="18"/>
      <c r="E83" s="58">
        <f t="array" aca="1" ref="E83:AL83" ca="1">tlccQupol6</f>
        <v>1854.510309</v>
      </c>
      <c r="F83" s="58">
        <f ca="1"/>
        <v>1854.510309</v>
      </c>
      <c r="G83" s="58">
        <f ca="1"/>
        <v>1854.510309</v>
      </c>
      <c r="H83" s="58">
        <f ca="1"/>
        <v>1854.510309</v>
      </c>
      <c r="I83" s="58">
        <f ca="1"/>
        <v>1854.510309</v>
      </c>
      <c r="J83" s="58">
        <f ca="1"/>
        <v>1854.510309</v>
      </c>
      <c r="K83" s="58">
        <f ca="1"/>
        <v>1854.510309</v>
      </c>
      <c r="L83" s="58">
        <f ca="1"/>
        <v>1854.510309</v>
      </c>
      <c r="M83" s="58">
        <f ca="1"/>
        <v>1854.510309</v>
      </c>
      <c r="N83" s="58">
        <f ca="1"/>
        <v>1854.510309</v>
      </c>
      <c r="O83" s="58">
        <f ca="1"/>
        <v>1854.510309</v>
      </c>
      <c r="P83" s="58">
        <f ca="1"/>
        <v>1854.510309</v>
      </c>
      <c r="Q83" s="58">
        <f ca="1"/>
        <v>1854.510309</v>
      </c>
      <c r="R83" s="58">
        <f ca="1"/>
        <v>1854.510309</v>
      </c>
      <c r="S83" s="58">
        <f ca="1"/>
        <v>1854.510309</v>
      </c>
      <c r="T83" s="58">
        <f ca="1"/>
        <v>1854.510309</v>
      </c>
      <c r="U83" s="58">
        <f ca="1"/>
        <v>1854.510309</v>
      </c>
      <c r="V83" s="58">
        <f ca="1"/>
        <v>1854.510309</v>
      </c>
      <c r="W83" s="58">
        <f ca="1"/>
        <v>1854.510309</v>
      </c>
      <c r="X83" s="58">
        <f ca="1"/>
        <v>1854.510309</v>
      </c>
      <c r="Y83" s="58">
        <f ca="1"/>
        <v>1854.510309</v>
      </c>
      <c r="Z83" s="58">
        <f ca="1"/>
        <v>1854.510309</v>
      </c>
      <c r="AA83" s="58">
        <f ca="1"/>
        <v>1854.510309</v>
      </c>
      <c r="AB83" s="58">
        <f ca="1"/>
        <v>1854.510309</v>
      </c>
      <c r="AC83" s="58">
        <f ca="1"/>
        <v>1854.510309</v>
      </c>
      <c r="AD83" s="58">
        <f ca="1"/>
        <v>1854.510309</v>
      </c>
      <c r="AE83" s="58">
        <f ca="1"/>
        <v>1854.510309</v>
      </c>
      <c r="AF83" s="58">
        <f ca="1"/>
        <v>1854.510309</v>
      </c>
      <c r="AG83" s="58">
        <f ca="1"/>
        <v>1854.510309</v>
      </c>
      <c r="AH83" s="58">
        <f ca="1"/>
        <v>1854.510309</v>
      </c>
      <c r="AI83" s="58">
        <f ca="1"/>
        <v>1854.510309</v>
      </c>
      <c r="AJ83" s="58">
        <f ca="1"/>
        <v>1854.510309</v>
      </c>
      <c r="AK83" s="58">
        <f ca="1"/>
        <v>1854.510309</v>
      </c>
      <c r="AL83" s="59">
        <f ca="1"/>
        <v>1854.510309</v>
      </c>
      <c r="AM83" s="10"/>
    </row>
    <row r="84" spans="2:39" ht="15" hidden="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2:39" ht="15" hidden="1">
      <c r="B85" s="10"/>
      <c r="C85" s="22" t="s">
        <v>85</v>
      </c>
      <c r="D85" s="23"/>
      <c r="E85" s="24">
        <f t="array" ref="E85:AL85">_yS</f>
        <v>2019</v>
      </c>
      <c r="F85" s="24">
        <v>2020</v>
      </c>
      <c r="G85" s="24">
        <v>2021</v>
      </c>
      <c r="H85" s="24">
        <v>2022</v>
      </c>
      <c r="I85" s="24">
        <v>2023</v>
      </c>
      <c r="J85" s="24">
        <v>2024</v>
      </c>
      <c r="K85" s="24">
        <v>2025</v>
      </c>
      <c r="L85" s="24">
        <v>2026</v>
      </c>
      <c r="M85" s="24">
        <v>2027</v>
      </c>
      <c r="N85" s="24">
        <v>2028</v>
      </c>
      <c r="O85" s="24">
        <v>2029</v>
      </c>
      <c r="P85" s="24">
        <v>2030</v>
      </c>
      <c r="Q85" s="24">
        <v>2031</v>
      </c>
      <c r="R85" s="24">
        <v>2032</v>
      </c>
      <c r="S85" s="24">
        <v>2033</v>
      </c>
      <c r="T85" s="24">
        <v>2034</v>
      </c>
      <c r="U85" s="24">
        <v>2035</v>
      </c>
      <c r="V85" s="24">
        <v>2036</v>
      </c>
      <c r="W85" s="24">
        <v>2037</v>
      </c>
      <c r="X85" s="24">
        <v>2038</v>
      </c>
      <c r="Y85" s="24">
        <v>2039</v>
      </c>
      <c r="Z85" s="24">
        <v>2040</v>
      </c>
      <c r="AA85" s="24">
        <v>2041</v>
      </c>
      <c r="AB85" s="24">
        <v>2042</v>
      </c>
      <c r="AC85" s="24">
        <v>2043</v>
      </c>
      <c r="AD85" s="24">
        <v>2044</v>
      </c>
      <c r="AE85" s="24">
        <v>2045</v>
      </c>
      <c r="AF85" s="24">
        <v>2046</v>
      </c>
      <c r="AG85" s="24">
        <v>2047</v>
      </c>
      <c r="AH85" s="24">
        <v>2048</v>
      </c>
      <c r="AI85" s="24">
        <v>2049</v>
      </c>
      <c r="AJ85" s="24">
        <v>2050</v>
      </c>
      <c r="AK85" s="24">
        <v>2051</v>
      </c>
      <c r="AL85" s="25">
        <v>2052</v>
      </c>
      <c r="AM85" s="10"/>
    </row>
    <row r="86" spans="2:39" ht="15" hidden="1">
      <c r="B86" s="10"/>
      <c r="C86" s="11" t="str">
        <f>"EL 0: " &amp; INDEX(_doName,2,1)</f>
        <v>EL 0: EL 1</v>
      </c>
      <c r="D86" s="12"/>
      <c r="E86" s="13">
        <f t="array" aca="1" ref="E86:AL86" ca="1">tlccEupol0</f>
        <v>0</v>
      </c>
      <c r="F86" s="13">
        <f ca="1"/>
        <v>0</v>
      </c>
      <c r="G86" s="13">
        <f ca="1"/>
        <v>0</v>
      </c>
      <c r="H86" s="13">
        <f ca="1"/>
        <v>0</v>
      </c>
      <c r="I86" s="13">
        <f ca="1"/>
        <v>0</v>
      </c>
      <c r="J86" s="13">
        <f ca="1"/>
        <v>0</v>
      </c>
      <c r="K86" s="13">
        <f ca="1"/>
        <v>0</v>
      </c>
      <c r="L86" s="13">
        <f ca="1"/>
        <v>0</v>
      </c>
      <c r="M86" s="13">
        <f ca="1"/>
        <v>0</v>
      </c>
      <c r="N86" s="13">
        <f ca="1"/>
        <v>0</v>
      </c>
      <c r="O86" s="13">
        <f ca="1"/>
        <v>0</v>
      </c>
      <c r="P86" s="13">
        <f ca="1"/>
        <v>0</v>
      </c>
      <c r="Q86" s="13">
        <f ca="1"/>
        <v>0</v>
      </c>
      <c r="R86" s="13">
        <f ca="1"/>
        <v>0</v>
      </c>
      <c r="S86" s="13">
        <f ca="1"/>
        <v>0</v>
      </c>
      <c r="T86" s="13">
        <f ca="1"/>
        <v>0</v>
      </c>
      <c r="U86" s="13">
        <f ca="1"/>
        <v>0</v>
      </c>
      <c r="V86" s="13">
        <f ca="1"/>
        <v>0</v>
      </c>
      <c r="W86" s="13">
        <f ca="1"/>
        <v>0</v>
      </c>
      <c r="X86" s="13">
        <f ca="1"/>
        <v>0</v>
      </c>
      <c r="Y86" s="13">
        <f ca="1"/>
        <v>0</v>
      </c>
      <c r="Z86" s="13">
        <f ca="1"/>
        <v>0</v>
      </c>
      <c r="AA86" s="13">
        <f ca="1"/>
        <v>0</v>
      </c>
      <c r="AB86" s="13">
        <f ca="1"/>
        <v>0</v>
      </c>
      <c r="AC86" s="13">
        <f ca="1"/>
        <v>0</v>
      </c>
      <c r="AD86" s="13">
        <f ca="1"/>
        <v>0</v>
      </c>
      <c r="AE86" s="13">
        <f ca="1"/>
        <v>0</v>
      </c>
      <c r="AF86" s="13">
        <f ca="1"/>
        <v>0</v>
      </c>
      <c r="AG86" s="13">
        <f ca="1"/>
        <v>0</v>
      </c>
      <c r="AH86" s="13">
        <f ca="1"/>
        <v>0</v>
      </c>
      <c r="AI86" s="13">
        <f ca="1"/>
        <v>0</v>
      </c>
      <c r="AJ86" s="13">
        <f ca="1"/>
        <v>0</v>
      </c>
      <c r="AK86" s="13">
        <f ca="1"/>
        <v>0</v>
      </c>
      <c r="AL86" s="56">
        <f ca="1"/>
        <v>0</v>
      </c>
      <c r="AM86" s="10"/>
    </row>
    <row r="87" spans="2:39" ht="15" hidden="1">
      <c r="B87" s="10"/>
      <c r="C87" s="11" t="str">
        <f>"EL 1: " &amp; INDEX(_doName,2,2)</f>
        <v>EL 1: EL 1</v>
      </c>
      <c r="D87" s="12"/>
      <c r="E87" s="13">
        <f t="array" aca="1" ref="E87:AL87" ca="1">tlccEupol1</f>
        <v>0</v>
      </c>
      <c r="F87" s="13">
        <f ca="1"/>
        <v>0</v>
      </c>
      <c r="G87" s="13">
        <f ca="1"/>
        <v>0</v>
      </c>
      <c r="H87" s="13">
        <f ca="1"/>
        <v>0</v>
      </c>
      <c r="I87" s="13">
        <f ca="1"/>
        <v>0</v>
      </c>
      <c r="J87" s="13">
        <f ca="1"/>
        <v>0</v>
      </c>
      <c r="K87" s="13">
        <f ca="1"/>
        <v>0</v>
      </c>
      <c r="L87" s="13">
        <f ca="1"/>
        <v>0</v>
      </c>
      <c r="M87" s="13">
        <f ca="1"/>
        <v>0</v>
      </c>
      <c r="N87" s="13">
        <f ca="1"/>
        <v>0</v>
      </c>
      <c r="O87" s="13">
        <f ca="1"/>
        <v>0</v>
      </c>
      <c r="P87" s="13">
        <f ca="1"/>
        <v>0</v>
      </c>
      <c r="Q87" s="13">
        <f ca="1"/>
        <v>0</v>
      </c>
      <c r="R87" s="13">
        <f ca="1"/>
        <v>0</v>
      </c>
      <c r="S87" s="13">
        <f ca="1"/>
        <v>0</v>
      </c>
      <c r="T87" s="13">
        <f ca="1"/>
        <v>0</v>
      </c>
      <c r="U87" s="13">
        <f ca="1"/>
        <v>0</v>
      </c>
      <c r="V87" s="13">
        <f ca="1"/>
        <v>0</v>
      </c>
      <c r="W87" s="13">
        <f ca="1"/>
        <v>0</v>
      </c>
      <c r="X87" s="13">
        <f ca="1"/>
        <v>0</v>
      </c>
      <c r="Y87" s="13">
        <f ca="1"/>
        <v>0</v>
      </c>
      <c r="Z87" s="13">
        <f ca="1"/>
        <v>0</v>
      </c>
      <c r="AA87" s="13">
        <f ca="1"/>
        <v>0</v>
      </c>
      <c r="AB87" s="13">
        <f ca="1"/>
        <v>0</v>
      </c>
      <c r="AC87" s="13">
        <f ca="1"/>
        <v>0</v>
      </c>
      <c r="AD87" s="13">
        <f ca="1"/>
        <v>0</v>
      </c>
      <c r="AE87" s="13">
        <f ca="1"/>
        <v>0</v>
      </c>
      <c r="AF87" s="13">
        <f ca="1"/>
        <v>0</v>
      </c>
      <c r="AG87" s="13">
        <f ca="1"/>
        <v>0</v>
      </c>
      <c r="AH87" s="13">
        <f ca="1"/>
        <v>0</v>
      </c>
      <c r="AI87" s="13">
        <f ca="1"/>
        <v>0</v>
      </c>
      <c r="AJ87" s="13">
        <f ca="1"/>
        <v>0</v>
      </c>
      <c r="AK87" s="13">
        <f ca="1"/>
        <v>0</v>
      </c>
      <c r="AL87" s="56">
        <f ca="1"/>
        <v>0</v>
      </c>
      <c r="AM87" s="10"/>
    </row>
    <row r="88" spans="2:39" ht="15" hidden="1">
      <c r="B88" s="10"/>
      <c r="C88" s="11" t="str">
        <f>"EL 2: " &amp; INDEX(_doName,2,3)</f>
        <v>EL 2: EL 2</v>
      </c>
      <c r="D88" s="12"/>
      <c r="E88" s="13">
        <f t="array" aca="1" ref="E88:AL88" ca="1">tlccEupol2</f>
        <v>0</v>
      </c>
      <c r="F88" s="13">
        <f ca="1"/>
        <v>0</v>
      </c>
      <c r="G88" s="13">
        <f ca="1"/>
        <v>0</v>
      </c>
      <c r="H88" s="13">
        <f ca="1"/>
        <v>0</v>
      </c>
      <c r="I88" s="13">
        <f ca="1"/>
        <v>0</v>
      </c>
      <c r="J88" s="13">
        <f ca="1"/>
        <v>0</v>
      </c>
      <c r="K88" s="13">
        <f ca="1"/>
        <v>0</v>
      </c>
      <c r="L88" s="13">
        <f ca="1"/>
        <v>0</v>
      </c>
      <c r="M88" s="13">
        <f ca="1"/>
        <v>0</v>
      </c>
      <c r="N88" s="13">
        <f ca="1"/>
        <v>0</v>
      </c>
      <c r="O88" s="13">
        <f ca="1"/>
        <v>0</v>
      </c>
      <c r="P88" s="13">
        <f ca="1"/>
        <v>0</v>
      </c>
      <c r="Q88" s="13">
        <f ca="1"/>
        <v>0</v>
      </c>
      <c r="R88" s="13">
        <f ca="1"/>
        <v>0</v>
      </c>
      <c r="S88" s="13">
        <f ca="1"/>
        <v>0</v>
      </c>
      <c r="T88" s="13">
        <f ca="1"/>
        <v>0</v>
      </c>
      <c r="U88" s="13">
        <f ca="1"/>
        <v>0</v>
      </c>
      <c r="V88" s="13">
        <f ca="1"/>
        <v>0</v>
      </c>
      <c r="W88" s="13">
        <f ca="1"/>
        <v>0</v>
      </c>
      <c r="X88" s="13">
        <f ca="1"/>
        <v>0</v>
      </c>
      <c r="Y88" s="13">
        <f ca="1"/>
        <v>0</v>
      </c>
      <c r="Z88" s="13">
        <f ca="1"/>
        <v>0</v>
      </c>
      <c r="AA88" s="13">
        <f ca="1"/>
        <v>0</v>
      </c>
      <c r="AB88" s="13">
        <f ca="1"/>
        <v>0</v>
      </c>
      <c r="AC88" s="13">
        <f ca="1"/>
        <v>0</v>
      </c>
      <c r="AD88" s="13">
        <f ca="1"/>
        <v>0</v>
      </c>
      <c r="AE88" s="13">
        <f ca="1"/>
        <v>0</v>
      </c>
      <c r="AF88" s="13">
        <f ca="1"/>
        <v>0</v>
      </c>
      <c r="AG88" s="13">
        <f ca="1"/>
        <v>0</v>
      </c>
      <c r="AH88" s="13">
        <f ca="1"/>
        <v>0</v>
      </c>
      <c r="AI88" s="13">
        <f ca="1"/>
        <v>0</v>
      </c>
      <c r="AJ88" s="13">
        <f ca="1"/>
        <v>0</v>
      </c>
      <c r="AK88" s="13">
        <f ca="1"/>
        <v>0</v>
      </c>
      <c r="AL88" s="56">
        <f ca="1"/>
        <v>0</v>
      </c>
      <c r="AM88" s="10"/>
    </row>
    <row r="89" spans="2:39" ht="15" hidden="1">
      <c r="B89" s="10"/>
      <c r="C89" s="11" t="str">
        <f>"EL 3: " &amp; INDEX(_doName,2,4)</f>
        <v>EL 3: EL 3</v>
      </c>
      <c r="D89" s="12"/>
      <c r="E89" s="13">
        <f t="array" aca="1" ref="E89:AL89" ca="1">tlccEupol3</f>
        <v>0</v>
      </c>
      <c r="F89" s="13">
        <f ca="1"/>
        <v>0</v>
      </c>
      <c r="G89" s="13">
        <f ca="1"/>
        <v>0</v>
      </c>
      <c r="H89" s="13">
        <f ca="1"/>
        <v>0</v>
      </c>
      <c r="I89" s="13">
        <f ca="1"/>
        <v>0</v>
      </c>
      <c r="J89" s="13">
        <f ca="1"/>
        <v>0</v>
      </c>
      <c r="K89" s="13">
        <f ca="1"/>
        <v>0</v>
      </c>
      <c r="L89" s="13">
        <f ca="1"/>
        <v>0</v>
      </c>
      <c r="M89" s="13">
        <f ca="1"/>
        <v>0</v>
      </c>
      <c r="N89" s="13">
        <f ca="1"/>
        <v>0</v>
      </c>
      <c r="O89" s="13">
        <f ca="1"/>
        <v>0</v>
      </c>
      <c r="P89" s="13">
        <f ca="1"/>
        <v>0</v>
      </c>
      <c r="Q89" s="13">
        <f ca="1"/>
        <v>0</v>
      </c>
      <c r="R89" s="13">
        <f ca="1"/>
        <v>0</v>
      </c>
      <c r="S89" s="13">
        <f ca="1"/>
        <v>0</v>
      </c>
      <c r="T89" s="13">
        <f ca="1"/>
        <v>0</v>
      </c>
      <c r="U89" s="13">
        <f ca="1"/>
        <v>0</v>
      </c>
      <c r="V89" s="13">
        <f ca="1"/>
        <v>0</v>
      </c>
      <c r="W89" s="13">
        <f ca="1"/>
        <v>0</v>
      </c>
      <c r="X89" s="13">
        <f ca="1"/>
        <v>0</v>
      </c>
      <c r="Y89" s="13">
        <f ca="1"/>
        <v>0</v>
      </c>
      <c r="Z89" s="13">
        <f ca="1"/>
        <v>0</v>
      </c>
      <c r="AA89" s="13">
        <f ca="1"/>
        <v>0</v>
      </c>
      <c r="AB89" s="13">
        <f ca="1"/>
        <v>0</v>
      </c>
      <c r="AC89" s="13">
        <f ca="1"/>
        <v>0</v>
      </c>
      <c r="AD89" s="13">
        <f ca="1"/>
        <v>0</v>
      </c>
      <c r="AE89" s="13">
        <f ca="1"/>
        <v>0</v>
      </c>
      <c r="AF89" s="13">
        <f ca="1"/>
        <v>0</v>
      </c>
      <c r="AG89" s="13">
        <f ca="1"/>
        <v>0</v>
      </c>
      <c r="AH89" s="13">
        <f ca="1"/>
        <v>0</v>
      </c>
      <c r="AI89" s="13">
        <f ca="1"/>
        <v>0</v>
      </c>
      <c r="AJ89" s="13">
        <f ca="1"/>
        <v>0</v>
      </c>
      <c r="AK89" s="13">
        <f ca="1"/>
        <v>0</v>
      </c>
      <c r="AL89" s="56">
        <f ca="1"/>
        <v>0</v>
      </c>
      <c r="AM89" s="10"/>
    </row>
    <row r="90" spans="2:39" ht="15" hidden="1">
      <c r="B90" s="10"/>
      <c r="C90" s="11" t="str">
        <f>"EL 4: " &amp; INDEX(_doName,2,5)</f>
        <v>EL 4: EL 4</v>
      </c>
      <c r="D90" s="12"/>
      <c r="E90" s="13">
        <f t="array" aca="1" ref="E90:AL90" ca="1">tlccEupol4</f>
        <v>0</v>
      </c>
      <c r="F90" s="13">
        <f ca="1"/>
        <v>0</v>
      </c>
      <c r="G90" s="13">
        <f ca="1"/>
        <v>0</v>
      </c>
      <c r="H90" s="13">
        <f ca="1"/>
        <v>0</v>
      </c>
      <c r="I90" s="13">
        <f ca="1"/>
        <v>0</v>
      </c>
      <c r="J90" s="13">
        <f ca="1"/>
        <v>0</v>
      </c>
      <c r="K90" s="13">
        <f ca="1"/>
        <v>0</v>
      </c>
      <c r="L90" s="13">
        <f ca="1"/>
        <v>0</v>
      </c>
      <c r="M90" s="13">
        <f ca="1"/>
        <v>0</v>
      </c>
      <c r="N90" s="13">
        <f ca="1"/>
        <v>0</v>
      </c>
      <c r="O90" s="13">
        <f ca="1"/>
        <v>0</v>
      </c>
      <c r="P90" s="13">
        <f ca="1"/>
        <v>0</v>
      </c>
      <c r="Q90" s="13">
        <f ca="1"/>
        <v>0</v>
      </c>
      <c r="R90" s="13">
        <f ca="1"/>
        <v>0</v>
      </c>
      <c r="S90" s="13">
        <f ca="1"/>
        <v>0</v>
      </c>
      <c r="T90" s="13">
        <f ca="1"/>
        <v>0</v>
      </c>
      <c r="U90" s="13">
        <f ca="1"/>
        <v>0</v>
      </c>
      <c r="V90" s="13">
        <f ca="1"/>
        <v>0</v>
      </c>
      <c r="W90" s="13">
        <f ca="1"/>
        <v>0</v>
      </c>
      <c r="X90" s="13">
        <f ca="1"/>
        <v>0</v>
      </c>
      <c r="Y90" s="13">
        <f ca="1"/>
        <v>0</v>
      </c>
      <c r="Z90" s="13">
        <f ca="1"/>
        <v>0</v>
      </c>
      <c r="AA90" s="13">
        <f ca="1"/>
        <v>0</v>
      </c>
      <c r="AB90" s="13">
        <f ca="1"/>
        <v>0</v>
      </c>
      <c r="AC90" s="13">
        <f ca="1"/>
        <v>0</v>
      </c>
      <c r="AD90" s="13">
        <f ca="1"/>
        <v>0</v>
      </c>
      <c r="AE90" s="13">
        <f ca="1"/>
        <v>0</v>
      </c>
      <c r="AF90" s="13">
        <f ca="1"/>
        <v>0</v>
      </c>
      <c r="AG90" s="13">
        <f ca="1"/>
        <v>0</v>
      </c>
      <c r="AH90" s="13">
        <f ca="1"/>
        <v>0</v>
      </c>
      <c r="AI90" s="13">
        <f ca="1"/>
        <v>0</v>
      </c>
      <c r="AJ90" s="13">
        <f ca="1"/>
        <v>0</v>
      </c>
      <c r="AK90" s="13">
        <f ca="1"/>
        <v>0</v>
      </c>
      <c r="AL90" s="56">
        <f ca="1"/>
        <v>0</v>
      </c>
      <c r="AM90" s="10"/>
    </row>
    <row r="91" spans="2:39" ht="15" hidden="1">
      <c r="B91" s="10"/>
      <c r="C91" s="11" t="str">
        <f>"EL 5: " &amp; INDEX(_doName,2,6)</f>
        <v>EL 5: EL 5</v>
      </c>
      <c r="D91" s="12"/>
      <c r="E91" s="13">
        <f t="array" aca="1" ref="E91:AL91" ca="1">tlccEupol5</f>
        <v>2949.0250258654792</v>
      </c>
      <c r="F91" s="13">
        <f ca="1"/>
        <v>2973.3357777806709</v>
      </c>
      <c r="G91" s="13">
        <f ca="1"/>
        <v>2996.8696451289234</v>
      </c>
      <c r="H91" s="13">
        <f ca="1"/>
        <v>3017.9638832468731</v>
      </c>
      <c r="I91" s="13">
        <f ca="1"/>
        <v>3036.9706511188392</v>
      </c>
      <c r="J91" s="13">
        <f ca="1"/>
        <v>3056.0996705855605</v>
      </c>
      <c r="K91" s="13">
        <f ca="1"/>
        <v>3075.3517465682426</v>
      </c>
      <c r="L91" s="13">
        <f ca="1"/>
        <v>3094.7276894206616</v>
      </c>
      <c r="M91" s="13">
        <f ca="1"/>
        <v>3114.228314966751</v>
      </c>
      <c r="N91" s="13">
        <f ca="1"/>
        <v>3133.8544445384737</v>
      </c>
      <c r="O91" s="13">
        <f ca="1"/>
        <v>3153.6069050139317</v>
      </c>
      <c r="P91" s="13">
        <f ca="1"/>
        <v>3173.4865288557689</v>
      </c>
      <c r="Q91" s="13">
        <f ca="1"/>
        <v>3193.4941541498615</v>
      </c>
      <c r="R91" s="13">
        <f ca="1"/>
        <v>3213.6306246442246</v>
      </c>
      <c r="S91" s="13">
        <f ca="1"/>
        <v>3233.8967897882699</v>
      </c>
      <c r="T91" s="13">
        <f ca="1"/>
        <v>3254.293504772279</v>
      </c>
      <c r="U91" s="13">
        <f ca="1"/>
        <v>3274.8216305671967</v>
      </c>
      <c r="V91" s="13">
        <f ca="1"/>
        <v>3295.4820339646835</v>
      </c>
      <c r="W91" s="13">
        <f ca="1"/>
        <v>3316.2755876174651</v>
      </c>
      <c r="X91" s="13">
        <f ca="1"/>
        <v>3337.2031700799653</v>
      </c>
      <c r="Y91" s="13">
        <f ca="1"/>
        <v>3358.2656658492265</v>
      </c>
      <c r="Z91" s="13">
        <f ca="1"/>
        <v>3379.4639654061211</v>
      </c>
      <c r="AA91" s="13">
        <f ca="1"/>
        <v>3400.798965256844</v>
      </c>
      <c r="AB91" s="13">
        <f ca="1"/>
        <v>3422.2715679747389</v>
      </c>
      <c r="AC91" s="13">
        <f ca="1"/>
        <v>3443.8826822423571</v>
      </c>
      <c r="AD91" s="13">
        <f ca="1"/>
        <v>3465.6332228938859</v>
      </c>
      <c r="AE91" s="13">
        <f ca="1"/>
        <v>3487.5241109578205</v>
      </c>
      <c r="AF91" s="13">
        <f ca="1"/>
        <v>3509.5562736999818</v>
      </c>
      <c r="AG91" s="13">
        <f ca="1"/>
        <v>3531.7306446668035</v>
      </c>
      <c r="AH91" s="13">
        <f ca="1"/>
        <v>3554.0481637289572</v>
      </c>
      <c r="AI91" s="13">
        <f ca="1"/>
        <v>3576.5097771252754</v>
      </c>
      <c r="AJ91" s="13">
        <f ca="1"/>
        <v>3599.1164375069811</v>
      </c>
      <c r="AK91" s="13">
        <f ca="1"/>
        <v>3621.869103982242</v>
      </c>
      <c r="AL91" s="56">
        <f ca="1"/>
        <v>3644.7687421610326</v>
      </c>
      <c r="AM91" s="10"/>
    </row>
    <row r="92" spans="2:39" ht="15" hidden="1">
      <c r="B92" s="10"/>
      <c r="C92" s="21" t="str">
        <f>"EL 6: " &amp; INDEX(_doName,2,7)</f>
        <v>EL 6: EL 6</v>
      </c>
      <c r="D92" s="18"/>
      <c r="E92" s="58">
        <f t="array" aca="1" ref="E92:AL92" ca="1">tlccEupol6</f>
        <v>2814.129139107326</v>
      </c>
      <c r="F92" s="58">
        <f ca="1"/>
        <v>2837.3278555502538</v>
      </c>
      <c r="G92" s="58">
        <f ca="1"/>
        <v>2859.7852240973948</v>
      </c>
      <c r="H92" s="58">
        <f ca="1"/>
        <v>2879.9145582448973</v>
      </c>
      <c r="I92" s="58">
        <f ca="1"/>
        <v>2898.0519083316631</v>
      </c>
      <c r="J92" s="58">
        <f ca="1"/>
        <v>2916.3059179150669</v>
      </c>
      <c r="K92" s="58">
        <f ca="1"/>
        <v>2934.6773550971811</v>
      </c>
      <c r="L92" s="58">
        <f ca="1"/>
        <v>2953.1669931641454</v>
      </c>
      <c r="M92" s="58">
        <f ca="1"/>
        <v>2971.7756106220363</v>
      </c>
      <c r="N92" s="58">
        <f ca="1"/>
        <v>2990.503991233003</v>
      </c>
      <c r="O92" s="58">
        <f ca="1"/>
        <v>3009.3529240516514</v>
      </c>
      <c r="P92" s="58">
        <f ca="1"/>
        <v>3028.3232034616713</v>
      </c>
      <c r="Q92" s="58">
        <f ca="1"/>
        <v>3047.4156292127591</v>
      </c>
      <c r="R92" s="58">
        <f ca="1"/>
        <v>3066.6310064577683</v>
      </c>
      <c r="S92" s="58">
        <f ca="1"/>
        <v>3085.9701457901233</v>
      </c>
      <c r="T92" s="58">
        <f ca="1"/>
        <v>3105.4338632815411</v>
      </c>
      <c r="U92" s="58">
        <f ca="1"/>
        <v>3125.0229805199683</v>
      </c>
      <c r="V92" s="58">
        <f ca="1"/>
        <v>3144.7383246478194</v>
      </c>
      <c r="W92" s="58">
        <f ca="1"/>
        <v>3164.5807284004668</v>
      </c>
      <c r="X92" s="58">
        <f ca="1"/>
        <v>3184.5510301450277</v>
      </c>
      <c r="Y92" s="58">
        <f ca="1"/>
        <v>3204.6500739194048</v>
      </c>
      <c r="Z92" s="58">
        <f ca="1"/>
        <v>3224.8787094716131</v>
      </c>
      <c r="AA92" s="58">
        <f ca="1"/>
        <v>3245.2377922993887</v>
      </c>
      <c r="AB92" s="58">
        <f ca="1"/>
        <v>3265.7281836900693</v>
      </c>
      <c r="AC92" s="58">
        <f ca="1"/>
        <v>3286.3507507607696</v>
      </c>
      <c r="AD92" s="58">
        <f ca="1"/>
        <v>3307.106366498836</v>
      </c>
      <c r="AE92" s="58">
        <f ca="1"/>
        <v>3327.9959098025879</v>
      </c>
      <c r="AF92" s="58">
        <f ca="1"/>
        <v>3349.0202655223452</v>
      </c>
      <c r="AG92" s="58">
        <f ca="1"/>
        <v>3370.1803245017686</v>
      </c>
      <c r="AH92" s="58">
        <f ca="1"/>
        <v>3391.4769836194573</v>
      </c>
      <c r="AI92" s="58">
        <f ca="1"/>
        <v>3412.9111458308794</v>
      </c>
      <c r="AJ92" s="58">
        <f ca="1"/>
        <v>3434.4837202105732</v>
      </c>
      <c r="AK92" s="58">
        <f ca="1"/>
        <v>3456.1956219946651</v>
      </c>
      <c r="AL92" s="59">
        <f ca="1"/>
        <v>3478.0477726236822</v>
      </c>
      <c r="AM92" s="10"/>
    </row>
    <row r="93" spans="2:39" ht="15" hidden="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row>
    <row r="94" spans="2:39" ht="15" hidden="1">
      <c r="B94" s="10"/>
      <c r="C94" s="22" t="s">
        <v>84</v>
      </c>
      <c r="D94" s="23"/>
      <c r="E94" s="24">
        <f t="array" ref="E94:AL94">_yS</f>
        <v>2019</v>
      </c>
      <c r="F94" s="24">
        <v>2020</v>
      </c>
      <c r="G94" s="24">
        <v>2021</v>
      </c>
      <c r="H94" s="24">
        <v>2022</v>
      </c>
      <c r="I94" s="24">
        <v>2023</v>
      </c>
      <c r="J94" s="24">
        <v>2024</v>
      </c>
      <c r="K94" s="24">
        <v>2025</v>
      </c>
      <c r="L94" s="24">
        <v>2026</v>
      </c>
      <c r="M94" s="24">
        <v>2027</v>
      </c>
      <c r="N94" s="24">
        <v>2028</v>
      </c>
      <c r="O94" s="24">
        <v>2029</v>
      </c>
      <c r="P94" s="24">
        <v>2030</v>
      </c>
      <c r="Q94" s="24">
        <v>2031</v>
      </c>
      <c r="R94" s="24">
        <v>2032</v>
      </c>
      <c r="S94" s="24">
        <v>2033</v>
      </c>
      <c r="T94" s="24">
        <v>2034</v>
      </c>
      <c r="U94" s="24">
        <v>2035</v>
      </c>
      <c r="V94" s="24">
        <v>2036</v>
      </c>
      <c r="W94" s="24">
        <v>2037</v>
      </c>
      <c r="X94" s="24">
        <v>2038</v>
      </c>
      <c r="Y94" s="24">
        <v>2039</v>
      </c>
      <c r="Z94" s="24">
        <v>2040</v>
      </c>
      <c r="AA94" s="24">
        <v>2041</v>
      </c>
      <c r="AB94" s="24">
        <v>2042</v>
      </c>
      <c r="AC94" s="24">
        <v>2043</v>
      </c>
      <c r="AD94" s="24">
        <v>2044</v>
      </c>
      <c r="AE94" s="24">
        <v>2045</v>
      </c>
      <c r="AF94" s="24">
        <v>2046</v>
      </c>
      <c r="AG94" s="24">
        <v>2047</v>
      </c>
      <c r="AH94" s="24">
        <v>2048</v>
      </c>
      <c r="AI94" s="24">
        <v>2049</v>
      </c>
      <c r="AJ94" s="24">
        <v>2050</v>
      </c>
      <c r="AK94" s="24">
        <v>2051</v>
      </c>
      <c r="AL94" s="25">
        <v>2052</v>
      </c>
      <c r="AM94" s="10"/>
    </row>
    <row r="95" spans="2:39" ht="15" hidden="1">
      <c r="B95" s="10"/>
      <c r="C95" s="11" t="str">
        <f>"EL 0: " &amp; INDEX(_doName,2,1)</f>
        <v>EL 0: EL 1</v>
      </c>
      <c r="D95" s="12"/>
      <c r="E95" s="13">
        <f t="array" aca="1" ref="E95:AL95" ca="1">tlccFupolElec0</f>
        <v>0</v>
      </c>
      <c r="F95" s="13">
        <f ca="1"/>
        <v>0</v>
      </c>
      <c r="G95" s="13">
        <f ca="1"/>
        <v>0</v>
      </c>
      <c r="H95" s="13">
        <f ca="1"/>
        <v>0</v>
      </c>
      <c r="I95" s="13">
        <f ca="1"/>
        <v>0</v>
      </c>
      <c r="J95" s="13">
        <f ca="1"/>
        <v>0</v>
      </c>
      <c r="K95" s="13">
        <f ca="1"/>
        <v>0</v>
      </c>
      <c r="L95" s="13">
        <f ca="1"/>
        <v>0</v>
      </c>
      <c r="M95" s="13">
        <f ca="1"/>
        <v>0</v>
      </c>
      <c r="N95" s="13">
        <f ca="1"/>
        <v>0</v>
      </c>
      <c r="O95" s="13">
        <f ca="1"/>
        <v>0</v>
      </c>
      <c r="P95" s="13">
        <f ca="1"/>
        <v>0</v>
      </c>
      <c r="Q95" s="13">
        <f ca="1"/>
        <v>0</v>
      </c>
      <c r="R95" s="13">
        <f ca="1"/>
        <v>0</v>
      </c>
      <c r="S95" s="13">
        <f ca="1"/>
        <v>0</v>
      </c>
      <c r="T95" s="13">
        <f ca="1"/>
        <v>0</v>
      </c>
      <c r="U95" s="13">
        <f ca="1"/>
        <v>0</v>
      </c>
      <c r="V95" s="13">
        <f ca="1"/>
        <v>0</v>
      </c>
      <c r="W95" s="13">
        <f ca="1"/>
        <v>0</v>
      </c>
      <c r="X95" s="13">
        <f ca="1"/>
        <v>0</v>
      </c>
      <c r="Y95" s="13">
        <f ca="1"/>
        <v>0</v>
      </c>
      <c r="Z95" s="13">
        <f ca="1"/>
        <v>0</v>
      </c>
      <c r="AA95" s="13">
        <f ca="1"/>
        <v>0</v>
      </c>
      <c r="AB95" s="13">
        <f ca="1"/>
        <v>0</v>
      </c>
      <c r="AC95" s="13">
        <f ca="1"/>
        <v>0</v>
      </c>
      <c r="AD95" s="13">
        <f ca="1"/>
        <v>0</v>
      </c>
      <c r="AE95" s="13">
        <f ca="1"/>
        <v>0</v>
      </c>
      <c r="AF95" s="13">
        <f ca="1"/>
        <v>0</v>
      </c>
      <c r="AG95" s="13">
        <f ca="1"/>
        <v>0</v>
      </c>
      <c r="AH95" s="13">
        <f ca="1"/>
        <v>0</v>
      </c>
      <c r="AI95" s="13">
        <f ca="1"/>
        <v>0</v>
      </c>
      <c r="AJ95" s="13">
        <f ca="1"/>
        <v>0</v>
      </c>
      <c r="AK95" s="13">
        <f ca="1"/>
        <v>0</v>
      </c>
      <c r="AL95" s="56">
        <f ca="1"/>
        <v>0</v>
      </c>
      <c r="AM95" s="10"/>
    </row>
    <row r="96" spans="2:39" ht="15" hidden="1">
      <c r="B96" s="10"/>
      <c r="C96" s="11" t="str">
        <f>"EL 1: " &amp; INDEX(_doName,2,2)</f>
        <v>EL 1: EL 1</v>
      </c>
      <c r="D96" s="12"/>
      <c r="E96" s="13">
        <f t="array" aca="1" ref="E96:AL96" ca="1">tlccFupolElec1</f>
        <v>0</v>
      </c>
      <c r="F96" s="13">
        <f ca="1"/>
        <v>0</v>
      </c>
      <c r="G96" s="13">
        <f ca="1"/>
        <v>0</v>
      </c>
      <c r="H96" s="13">
        <f ca="1"/>
        <v>0</v>
      </c>
      <c r="I96" s="13">
        <f ca="1"/>
        <v>0</v>
      </c>
      <c r="J96" s="13">
        <f ca="1"/>
        <v>0</v>
      </c>
      <c r="K96" s="13">
        <f ca="1"/>
        <v>0</v>
      </c>
      <c r="L96" s="13">
        <f ca="1"/>
        <v>0</v>
      </c>
      <c r="M96" s="13">
        <f ca="1"/>
        <v>0</v>
      </c>
      <c r="N96" s="13">
        <f ca="1"/>
        <v>0</v>
      </c>
      <c r="O96" s="13">
        <f ca="1"/>
        <v>0</v>
      </c>
      <c r="P96" s="13">
        <f ca="1"/>
        <v>0</v>
      </c>
      <c r="Q96" s="13">
        <f ca="1"/>
        <v>0</v>
      </c>
      <c r="R96" s="13">
        <f ca="1"/>
        <v>0</v>
      </c>
      <c r="S96" s="13">
        <f ca="1"/>
        <v>0</v>
      </c>
      <c r="T96" s="13">
        <f ca="1"/>
        <v>0</v>
      </c>
      <c r="U96" s="13">
        <f ca="1"/>
        <v>0</v>
      </c>
      <c r="V96" s="13">
        <f ca="1"/>
        <v>0</v>
      </c>
      <c r="W96" s="13">
        <f ca="1"/>
        <v>0</v>
      </c>
      <c r="X96" s="13">
        <f ca="1"/>
        <v>0</v>
      </c>
      <c r="Y96" s="13">
        <f ca="1"/>
        <v>0</v>
      </c>
      <c r="Z96" s="13">
        <f ca="1"/>
        <v>0</v>
      </c>
      <c r="AA96" s="13">
        <f ca="1"/>
        <v>0</v>
      </c>
      <c r="AB96" s="13">
        <f ca="1"/>
        <v>0</v>
      </c>
      <c r="AC96" s="13">
        <f ca="1"/>
        <v>0</v>
      </c>
      <c r="AD96" s="13">
        <f ca="1"/>
        <v>0</v>
      </c>
      <c r="AE96" s="13">
        <f ca="1"/>
        <v>0</v>
      </c>
      <c r="AF96" s="13">
        <f ca="1"/>
        <v>0</v>
      </c>
      <c r="AG96" s="13">
        <f ca="1"/>
        <v>0</v>
      </c>
      <c r="AH96" s="13">
        <f ca="1"/>
        <v>0</v>
      </c>
      <c r="AI96" s="13">
        <f ca="1"/>
        <v>0</v>
      </c>
      <c r="AJ96" s="13">
        <f ca="1"/>
        <v>0</v>
      </c>
      <c r="AK96" s="13">
        <f ca="1"/>
        <v>0</v>
      </c>
      <c r="AL96" s="56">
        <f ca="1"/>
        <v>0</v>
      </c>
      <c r="AM96" s="10"/>
    </row>
    <row r="97" spans="2:39" ht="15" hidden="1">
      <c r="B97" s="10"/>
      <c r="C97" s="11" t="str">
        <f>"EL 2: " &amp; INDEX(_doName,2,3)</f>
        <v>EL 2: EL 2</v>
      </c>
      <c r="D97" s="12"/>
      <c r="E97" s="13">
        <f t="array" aca="1" ref="E97:AL97" ca="1">tlccFupolElec2</f>
        <v>0</v>
      </c>
      <c r="F97" s="13">
        <f ca="1"/>
        <v>0</v>
      </c>
      <c r="G97" s="13">
        <f ca="1"/>
        <v>0</v>
      </c>
      <c r="H97" s="13">
        <f ca="1"/>
        <v>0</v>
      </c>
      <c r="I97" s="13">
        <f ca="1"/>
        <v>0</v>
      </c>
      <c r="J97" s="13">
        <f ca="1"/>
        <v>0</v>
      </c>
      <c r="K97" s="13">
        <f ca="1"/>
        <v>0</v>
      </c>
      <c r="L97" s="13">
        <f ca="1"/>
        <v>0</v>
      </c>
      <c r="M97" s="13">
        <f ca="1"/>
        <v>0</v>
      </c>
      <c r="N97" s="13">
        <f ca="1"/>
        <v>0</v>
      </c>
      <c r="O97" s="13">
        <f ca="1"/>
        <v>0</v>
      </c>
      <c r="P97" s="13">
        <f ca="1"/>
        <v>0</v>
      </c>
      <c r="Q97" s="13">
        <f ca="1"/>
        <v>0</v>
      </c>
      <c r="R97" s="13">
        <f ca="1"/>
        <v>0</v>
      </c>
      <c r="S97" s="13">
        <f ca="1"/>
        <v>0</v>
      </c>
      <c r="T97" s="13">
        <f ca="1"/>
        <v>0</v>
      </c>
      <c r="U97" s="13">
        <f ca="1"/>
        <v>0</v>
      </c>
      <c r="V97" s="13">
        <f ca="1"/>
        <v>0</v>
      </c>
      <c r="W97" s="13">
        <f ca="1"/>
        <v>0</v>
      </c>
      <c r="X97" s="13">
        <f ca="1"/>
        <v>0</v>
      </c>
      <c r="Y97" s="13">
        <f ca="1"/>
        <v>0</v>
      </c>
      <c r="Z97" s="13">
        <f ca="1"/>
        <v>0</v>
      </c>
      <c r="AA97" s="13">
        <f ca="1"/>
        <v>0</v>
      </c>
      <c r="AB97" s="13">
        <f ca="1"/>
        <v>0</v>
      </c>
      <c r="AC97" s="13">
        <f ca="1"/>
        <v>0</v>
      </c>
      <c r="AD97" s="13">
        <f ca="1"/>
        <v>0</v>
      </c>
      <c r="AE97" s="13">
        <f ca="1"/>
        <v>0</v>
      </c>
      <c r="AF97" s="13">
        <f ca="1"/>
        <v>0</v>
      </c>
      <c r="AG97" s="13">
        <f ca="1"/>
        <v>0</v>
      </c>
      <c r="AH97" s="13">
        <f ca="1"/>
        <v>0</v>
      </c>
      <c r="AI97" s="13">
        <f ca="1"/>
        <v>0</v>
      </c>
      <c r="AJ97" s="13">
        <f ca="1"/>
        <v>0</v>
      </c>
      <c r="AK97" s="13">
        <f ca="1"/>
        <v>0</v>
      </c>
      <c r="AL97" s="56">
        <f ca="1"/>
        <v>0</v>
      </c>
      <c r="AM97" s="10"/>
    </row>
    <row r="98" spans="2:39" ht="15" hidden="1">
      <c r="B98" s="10"/>
      <c r="C98" s="11" t="str">
        <f>"EL 3: " &amp; INDEX(_doName,2,4)</f>
        <v>EL 3: EL 3</v>
      </c>
      <c r="D98" s="12"/>
      <c r="E98" s="13">
        <f t="array" aca="1" ref="E98:AL98" ca="1">tlccFupolElec3</f>
        <v>0</v>
      </c>
      <c r="F98" s="13">
        <f ca="1"/>
        <v>0</v>
      </c>
      <c r="G98" s="13">
        <f ca="1"/>
        <v>0</v>
      </c>
      <c r="H98" s="13">
        <f ca="1"/>
        <v>0</v>
      </c>
      <c r="I98" s="13">
        <f ca="1"/>
        <v>0</v>
      </c>
      <c r="J98" s="13">
        <f ca="1"/>
        <v>0</v>
      </c>
      <c r="K98" s="13">
        <f ca="1"/>
        <v>0</v>
      </c>
      <c r="L98" s="13">
        <f ca="1"/>
        <v>0</v>
      </c>
      <c r="M98" s="13">
        <f ca="1"/>
        <v>0</v>
      </c>
      <c r="N98" s="13">
        <f ca="1"/>
        <v>0</v>
      </c>
      <c r="O98" s="13">
        <f ca="1"/>
        <v>0</v>
      </c>
      <c r="P98" s="13">
        <f ca="1"/>
        <v>0</v>
      </c>
      <c r="Q98" s="13">
        <f ca="1"/>
        <v>0</v>
      </c>
      <c r="R98" s="13">
        <f ca="1"/>
        <v>0</v>
      </c>
      <c r="S98" s="13">
        <f ca="1"/>
        <v>0</v>
      </c>
      <c r="T98" s="13">
        <f ca="1"/>
        <v>0</v>
      </c>
      <c r="U98" s="13">
        <f ca="1"/>
        <v>0</v>
      </c>
      <c r="V98" s="13">
        <f ca="1"/>
        <v>0</v>
      </c>
      <c r="W98" s="13">
        <f ca="1"/>
        <v>0</v>
      </c>
      <c r="X98" s="13">
        <f ca="1"/>
        <v>0</v>
      </c>
      <c r="Y98" s="13">
        <f ca="1"/>
        <v>0</v>
      </c>
      <c r="Z98" s="13">
        <f ca="1"/>
        <v>0</v>
      </c>
      <c r="AA98" s="13">
        <f ca="1"/>
        <v>0</v>
      </c>
      <c r="AB98" s="13">
        <f ca="1"/>
        <v>0</v>
      </c>
      <c r="AC98" s="13">
        <f ca="1"/>
        <v>0</v>
      </c>
      <c r="AD98" s="13">
        <f ca="1"/>
        <v>0</v>
      </c>
      <c r="AE98" s="13">
        <f ca="1"/>
        <v>0</v>
      </c>
      <c r="AF98" s="13">
        <f ca="1"/>
        <v>0</v>
      </c>
      <c r="AG98" s="13">
        <f ca="1"/>
        <v>0</v>
      </c>
      <c r="AH98" s="13">
        <f ca="1"/>
        <v>0</v>
      </c>
      <c r="AI98" s="13">
        <f ca="1"/>
        <v>0</v>
      </c>
      <c r="AJ98" s="13">
        <f ca="1"/>
        <v>0</v>
      </c>
      <c r="AK98" s="13">
        <f ca="1"/>
        <v>0</v>
      </c>
      <c r="AL98" s="56">
        <f ca="1"/>
        <v>0</v>
      </c>
      <c r="AM98" s="10"/>
    </row>
    <row r="99" spans="2:39" ht="15" hidden="1">
      <c r="B99" s="10"/>
      <c r="C99" s="11" t="str">
        <f>"EL 4: " &amp; INDEX(_doName,2,5)</f>
        <v>EL 4: EL 4</v>
      </c>
      <c r="D99" s="12"/>
      <c r="E99" s="13">
        <f t="array" aca="1" ref="E99:AL99" ca="1">tlccFupolElec4</f>
        <v>0</v>
      </c>
      <c r="F99" s="13">
        <f ca="1"/>
        <v>0</v>
      </c>
      <c r="G99" s="13">
        <f ca="1"/>
        <v>0</v>
      </c>
      <c r="H99" s="13">
        <f ca="1"/>
        <v>0</v>
      </c>
      <c r="I99" s="13">
        <f ca="1"/>
        <v>0</v>
      </c>
      <c r="J99" s="13">
        <f ca="1"/>
        <v>0</v>
      </c>
      <c r="K99" s="13">
        <f ca="1"/>
        <v>0</v>
      </c>
      <c r="L99" s="13">
        <f ca="1"/>
        <v>0</v>
      </c>
      <c r="M99" s="13">
        <f ca="1"/>
        <v>0</v>
      </c>
      <c r="N99" s="13">
        <f ca="1"/>
        <v>0</v>
      </c>
      <c r="O99" s="13">
        <f ca="1"/>
        <v>0</v>
      </c>
      <c r="P99" s="13">
        <f ca="1"/>
        <v>0</v>
      </c>
      <c r="Q99" s="13">
        <f ca="1"/>
        <v>0</v>
      </c>
      <c r="R99" s="13">
        <f ca="1"/>
        <v>0</v>
      </c>
      <c r="S99" s="13">
        <f ca="1"/>
        <v>0</v>
      </c>
      <c r="T99" s="13">
        <f ca="1"/>
        <v>0</v>
      </c>
      <c r="U99" s="13">
        <f ca="1"/>
        <v>0</v>
      </c>
      <c r="V99" s="13">
        <f ca="1"/>
        <v>0</v>
      </c>
      <c r="W99" s="13">
        <f ca="1"/>
        <v>0</v>
      </c>
      <c r="X99" s="13">
        <f ca="1"/>
        <v>0</v>
      </c>
      <c r="Y99" s="13">
        <f ca="1"/>
        <v>0</v>
      </c>
      <c r="Z99" s="13">
        <f ca="1"/>
        <v>0</v>
      </c>
      <c r="AA99" s="13">
        <f ca="1"/>
        <v>0</v>
      </c>
      <c r="AB99" s="13">
        <f ca="1"/>
        <v>0</v>
      </c>
      <c r="AC99" s="13">
        <f ca="1"/>
        <v>0</v>
      </c>
      <c r="AD99" s="13">
        <f ca="1"/>
        <v>0</v>
      </c>
      <c r="AE99" s="13">
        <f ca="1"/>
        <v>0</v>
      </c>
      <c r="AF99" s="13">
        <f ca="1"/>
        <v>0</v>
      </c>
      <c r="AG99" s="13">
        <f ca="1"/>
        <v>0</v>
      </c>
      <c r="AH99" s="13">
        <f ca="1"/>
        <v>0</v>
      </c>
      <c r="AI99" s="13">
        <f ca="1"/>
        <v>0</v>
      </c>
      <c r="AJ99" s="13">
        <f ca="1"/>
        <v>0</v>
      </c>
      <c r="AK99" s="13">
        <f ca="1"/>
        <v>0</v>
      </c>
      <c r="AL99" s="56">
        <f ca="1"/>
        <v>0</v>
      </c>
      <c r="AM99" s="10"/>
    </row>
    <row r="100" spans="2:39" ht="15" hidden="1">
      <c r="B100" s="10"/>
      <c r="C100" s="11" t="str">
        <f>"EL 5: " &amp; INDEX(_doName,2,6)</f>
        <v>EL 5: EL 5</v>
      </c>
      <c r="D100" s="12"/>
      <c r="E100" s="13">
        <f t="array" aca="1" ref="E100:AL100" ca="1">tlccFupolElec5</f>
        <v>549.01349536668602</v>
      </c>
      <c r="F100" s="13">
        <f ca="1"/>
        <v>544.59387007327484</v>
      </c>
      <c r="G100" s="13">
        <f ca="1"/>
        <v>540.68576654163166</v>
      </c>
      <c r="H100" s="13">
        <f ca="1"/>
        <v>536.96235934077561</v>
      </c>
      <c r="I100" s="13">
        <f ca="1"/>
        <v>533.69583926807877</v>
      </c>
      <c r="J100" s="13">
        <f ca="1"/>
        <v>531.1466182984891</v>
      </c>
      <c r="K100" s="13">
        <f ca="1"/>
        <v>529.02200823266321</v>
      </c>
      <c r="L100" s="13">
        <f ca="1"/>
        <v>526.8806854556467</v>
      </c>
      <c r="M100" s="13">
        <f ca="1"/>
        <v>525.15337150987784</v>
      </c>
      <c r="N100" s="13">
        <f ca="1"/>
        <v>523.94514964044822</v>
      </c>
      <c r="O100" s="13">
        <f ca="1"/>
        <v>523.04916020345422</v>
      </c>
      <c r="P100" s="13">
        <f ca="1"/>
        <v>522.28703175465182</v>
      </c>
      <c r="Q100" s="13">
        <f ca="1"/>
        <v>521.71664256089025</v>
      </c>
      <c r="R100" s="13">
        <f ca="1"/>
        <v>521.27497811701016</v>
      </c>
      <c r="S100" s="13">
        <f ca="1"/>
        <v>521.19080165063019</v>
      </c>
      <c r="T100" s="13">
        <f ca="1"/>
        <v>521.26605163842748</v>
      </c>
      <c r="U100" s="13">
        <f ca="1"/>
        <v>521.39309578725465</v>
      </c>
      <c r="V100" s="13">
        <f ca="1"/>
        <v>521.58771560211267</v>
      </c>
      <c r="W100" s="13">
        <f ca="1"/>
        <v>521.77526299371596</v>
      </c>
      <c r="X100" s="13">
        <f ca="1"/>
        <v>521.93103133104808</v>
      </c>
      <c r="Y100" s="13">
        <f ca="1"/>
        <v>522.035221704734</v>
      </c>
      <c r="Z100" s="13">
        <f ca="1"/>
        <v>522.10683876224698</v>
      </c>
      <c r="AA100" s="13">
        <f ca="1"/>
        <v>522.10683876224698</v>
      </c>
      <c r="AB100" s="13">
        <f ca="1"/>
        <v>522.10683876224698</v>
      </c>
      <c r="AC100" s="13">
        <f ca="1"/>
        <v>522.10683876224698</v>
      </c>
      <c r="AD100" s="13">
        <f ca="1"/>
        <v>522.10683876224698</v>
      </c>
      <c r="AE100" s="13">
        <f ca="1"/>
        <v>522.10683876224698</v>
      </c>
      <c r="AF100" s="13">
        <f ca="1"/>
        <v>522.10683876224698</v>
      </c>
      <c r="AG100" s="13">
        <f ca="1"/>
        <v>522.10683876224698</v>
      </c>
      <c r="AH100" s="13">
        <f ca="1"/>
        <v>522.10683876224698</v>
      </c>
      <c r="AI100" s="13">
        <f ca="1"/>
        <v>522.10683876224698</v>
      </c>
      <c r="AJ100" s="13">
        <f ca="1"/>
        <v>522.10683876224698</v>
      </c>
      <c r="AK100" s="13">
        <f ca="1"/>
        <v>522.10683876224698</v>
      </c>
      <c r="AL100" s="56">
        <f ca="1"/>
        <v>522.10683876224698</v>
      </c>
      <c r="AM100" s="10"/>
    </row>
    <row r="101" spans="2:39" ht="15" hidden="1">
      <c r="B101" s="10"/>
      <c r="C101" s="21" t="str">
        <f>"EL 6: " &amp; INDEX(_doName,2,7)</f>
        <v>EL 6: EL 6</v>
      </c>
      <c r="D101" s="18"/>
      <c r="E101" s="58">
        <f t="array" aca="1" ref="E101:AL101" ca="1">tlccFupolElec6</f>
        <v>523.90022516717409</v>
      </c>
      <c r="F101" s="58">
        <f ca="1"/>
        <v>519.68276474787024</v>
      </c>
      <c r="G101" s="58">
        <f ca="1"/>
        <v>515.95342778715133</v>
      </c>
      <c r="H101" s="58">
        <f ca="1"/>
        <v>512.40033867844977</v>
      </c>
      <c r="I101" s="58">
        <f ca="1"/>
        <v>509.28323752148117</v>
      </c>
      <c r="J101" s="58">
        <f ca="1"/>
        <v>506.8506243867584</v>
      </c>
      <c r="K101" s="58">
        <f ca="1"/>
        <v>504.82319937576625</v>
      </c>
      <c r="L101" s="58">
        <f ca="1"/>
        <v>502.77982613539587</v>
      </c>
      <c r="M101" s="58">
        <f ca="1"/>
        <v>501.1315239119354</v>
      </c>
      <c r="N101" s="58">
        <f ca="1"/>
        <v>499.97856917623568</v>
      </c>
      <c r="O101" s="58">
        <f ca="1"/>
        <v>499.12356456933611</v>
      </c>
      <c r="P101" s="58">
        <f ca="1"/>
        <v>498.39629780940493</v>
      </c>
      <c r="Q101" s="58">
        <f ca="1"/>
        <v>497.85199966452046</v>
      </c>
      <c r="R101" s="58">
        <f ca="1"/>
        <v>497.43053807286589</v>
      </c>
      <c r="S101" s="58">
        <f ca="1"/>
        <v>497.35021205162519</v>
      </c>
      <c r="T101" s="58">
        <f ca="1"/>
        <v>497.42201991406125</v>
      </c>
      <c r="U101" s="58">
        <f ca="1"/>
        <v>497.54325274119282</v>
      </c>
      <c r="V101" s="58">
        <f ca="1"/>
        <v>497.72897015194252</v>
      </c>
      <c r="W101" s="58">
        <f ca="1"/>
        <v>497.9079386500207</v>
      </c>
      <c r="X101" s="58">
        <f ca="1"/>
        <v>498.05658174839795</v>
      </c>
      <c r="Y101" s="58">
        <f ca="1"/>
        <v>498.15600619004647</v>
      </c>
      <c r="Z101" s="58">
        <f ca="1"/>
        <v>498.22434730164662</v>
      </c>
      <c r="AA101" s="58">
        <f ca="1"/>
        <v>498.22434730164662</v>
      </c>
      <c r="AB101" s="58">
        <f ca="1"/>
        <v>498.22434730164662</v>
      </c>
      <c r="AC101" s="58">
        <f ca="1"/>
        <v>498.22434730164662</v>
      </c>
      <c r="AD101" s="58">
        <f ca="1"/>
        <v>498.22434730164662</v>
      </c>
      <c r="AE101" s="58">
        <f ca="1"/>
        <v>498.22434730164662</v>
      </c>
      <c r="AF101" s="58">
        <f ca="1"/>
        <v>498.22434730164662</v>
      </c>
      <c r="AG101" s="58">
        <f ca="1"/>
        <v>498.22434730164662</v>
      </c>
      <c r="AH101" s="58">
        <f ca="1"/>
        <v>498.22434730164662</v>
      </c>
      <c r="AI101" s="58">
        <f ca="1"/>
        <v>498.22434730164662</v>
      </c>
      <c r="AJ101" s="58">
        <f ca="1"/>
        <v>498.22434730164662</v>
      </c>
      <c r="AK101" s="58">
        <f ca="1"/>
        <v>498.22434730164662</v>
      </c>
      <c r="AL101" s="59">
        <f ca="1"/>
        <v>498.22434730164662</v>
      </c>
      <c r="AM101" s="10"/>
    </row>
    <row r="102" spans="2:39" ht="15" hidden="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row>
    <row r="103" spans="2:39" ht="15">
      <c r="B103" s="10"/>
      <c r="C103" s="22" t="s">
        <v>82</v>
      </c>
      <c r="D103" s="23"/>
      <c r="E103" s="24">
        <f t="array" ref="E103:AL103">_yS</f>
        <v>2019</v>
      </c>
      <c r="F103" s="24">
        <v>2020</v>
      </c>
      <c r="G103" s="24">
        <v>2021</v>
      </c>
      <c r="H103" s="24">
        <v>2022</v>
      </c>
      <c r="I103" s="24">
        <v>2023</v>
      </c>
      <c r="J103" s="24">
        <v>2024</v>
      </c>
      <c r="K103" s="24">
        <v>2025</v>
      </c>
      <c r="L103" s="24">
        <v>2026</v>
      </c>
      <c r="M103" s="24">
        <v>2027</v>
      </c>
      <c r="N103" s="24">
        <v>2028</v>
      </c>
      <c r="O103" s="24">
        <v>2029</v>
      </c>
      <c r="P103" s="24">
        <v>2030</v>
      </c>
      <c r="Q103" s="24">
        <v>2031</v>
      </c>
      <c r="R103" s="24">
        <v>2032</v>
      </c>
      <c r="S103" s="24">
        <v>2033</v>
      </c>
      <c r="T103" s="24">
        <v>2034</v>
      </c>
      <c r="U103" s="24">
        <v>2035</v>
      </c>
      <c r="V103" s="24">
        <v>2036</v>
      </c>
      <c r="W103" s="24">
        <v>2037</v>
      </c>
      <c r="X103" s="24">
        <v>2038</v>
      </c>
      <c r="Y103" s="24">
        <v>2039</v>
      </c>
      <c r="Z103" s="24">
        <v>2040</v>
      </c>
      <c r="AA103" s="24">
        <v>2041</v>
      </c>
      <c r="AB103" s="24">
        <v>2042</v>
      </c>
      <c r="AC103" s="24">
        <v>2043</v>
      </c>
      <c r="AD103" s="24">
        <v>2044</v>
      </c>
      <c r="AE103" s="24">
        <v>2045</v>
      </c>
      <c r="AF103" s="24">
        <v>2046</v>
      </c>
      <c r="AG103" s="24">
        <v>2047</v>
      </c>
      <c r="AH103" s="24">
        <v>2048</v>
      </c>
      <c r="AI103" s="24">
        <v>2049</v>
      </c>
      <c r="AJ103" s="24">
        <v>2050</v>
      </c>
      <c r="AK103" s="24">
        <v>2051</v>
      </c>
      <c r="AL103" s="25">
        <v>2052</v>
      </c>
      <c r="AM103" s="10"/>
    </row>
    <row r="104" spans="2:39" ht="15">
      <c r="B104" s="10"/>
      <c r="C104" s="27" t="str">
        <f>"BC (CSL 0): " &amp; INDEX(_doName,2,1)</f>
        <v>BC (CSL 0): EL 1</v>
      </c>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5"/>
      <c r="AM104" s="10"/>
    </row>
    <row r="105" spans="2:39" ht="15">
      <c r="B105" s="10"/>
      <c r="C105" s="57" t="str">
        <f>"EL 0: " &amp; INDEX(_doName,2,1)</f>
        <v>EL 0: EL 1</v>
      </c>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3"/>
      <c r="AM105" s="10"/>
    </row>
    <row r="106" spans="2:39" ht="15">
      <c r="B106" s="10"/>
      <c r="C106" s="16" t="s">
        <v>69</v>
      </c>
      <c r="D106" s="12" t="str">
        <f>_yearDol &amp; "$"</f>
        <v>2015$</v>
      </c>
      <c r="E106" s="13">
        <f t="array" ref="E106:AL106">INDEX(mspPan,1,1)*tPIdxAll + INDEX(instPan,1,1) + IF(bESav,SUMPRODUCT(dFactor,tpSurvPan,INDEX(mrPan,1,1)*allOnes),0)</f>
        <v>1673.5319219999999</v>
      </c>
      <c r="F106" s="13">
        <v>1673.5319219999999</v>
      </c>
      <c r="G106" s="13">
        <v>1673.5319219999999</v>
      </c>
      <c r="H106" s="13">
        <v>1673.5319219999999</v>
      </c>
      <c r="I106" s="13">
        <v>1673.5319219999999</v>
      </c>
      <c r="J106" s="13">
        <v>1673.5319219999999</v>
      </c>
      <c r="K106" s="13">
        <v>1673.5319219999999</v>
      </c>
      <c r="L106" s="13">
        <v>1673.5319219999999</v>
      </c>
      <c r="M106" s="13">
        <v>1673.5319219999999</v>
      </c>
      <c r="N106" s="13">
        <v>1673.5319219999999</v>
      </c>
      <c r="O106" s="13">
        <v>1673.5319219999999</v>
      </c>
      <c r="P106" s="13">
        <v>1673.5319219999999</v>
      </c>
      <c r="Q106" s="13">
        <v>1673.5319219999999</v>
      </c>
      <c r="R106" s="13">
        <v>1673.5319219999999</v>
      </c>
      <c r="S106" s="13">
        <v>1673.5319219999999</v>
      </c>
      <c r="T106" s="13">
        <v>1673.5319219999999</v>
      </c>
      <c r="U106" s="13">
        <v>1673.5319219999999</v>
      </c>
      <c r="V106" s="13">
        <v>1673.5319219999999</v>
      </c>
      <c r="W106" s="13">
        <v>1673.5319219999999</v>
      </c>
      <c r="X106" s="13">
        <v>1673.5319219999999</v>
      </c>
      <c r="Y106" s="13">
        <v>1673.5319219999999</v>
      </c>
      <c r="Z106" s="13">
        <v>1673.5319219999999</v>
      </c>
      <c r="AA106" s="13">
        <v>1673.5319219999999</v>
      </c>
      <c r="AB106" s="13">
        <v>1673.5319219999999</v>
      </c>
      <c r="AC106" s="13">
        <v>1673.5319219999999</v>
      </c>
      <c r="AD106" s="13">
        <v>1673.5319219999999</v>
      </c>
      <c r="AE106" s="13">
        <v>1673.5319219999999</v>
      </c>
      <c r="AF106" s="13">
        <v>1673.5319219999999</v>
      </c>
      <c r="AG106" s="13">
        <v>1673.5319219999999</v>
      </c>
      <c r="AH106" s="13">
        <v>1673.5319219999999</v>
      </c>
      <c r="AI106" s="13">
        <v>1673.5319219999999</v>
      </c>
      <c r="AJ106" s="13">
        <v>1673.5319219999999</v>
      </c>
      <c r="AK106" s="13">
        <v>1673.5319219999999</v>
      </c>
      <c r="AL106" s="56">
        <v>1673.5319219999999</v>
      </c>
      <c r="AM106" s="10"/>
    </row>
    <row r="107" spans="2:39" ht="15">
      <c r="B107" s="10"/>
      <c r="C107" s="16" t="str">
        <f>zEO&amp;" Costs"</f>
        <v>Operating Costs</v>
      </c>
      <c r="D107" s="12" t="str">
        <f>_yearDol &amp; "$"</f>
        <v>2015$</v>
      </c>
      <c r="E107" s="13">
        <f t="array" aca="1" ref="E107:AL107" ca="1">(tlccEFuElecbc0) + IF(bOSav,SUMPRODUCT(dFactor,tpSurvPan,INDEX(mrPan,1,1)*allOnes),0)</f>
        <v>3118.0155415003082</v>
      </c>
      <c r="F107" s="13">
        <f ca="1"/>
        <v>3143.719393326689</v>
      </c>
      <c r="G107" s="13">
        <f ca="1"/>
        <v>3168.6018421020831</v>
      </c>
      <c r="H107" s="13">
        <f ca="1"/>
        <v>3190.9048614766216</v>
      </c>
      <c r="I107" s="13">
        <f ca="1"/>
        <v>3211.0007905035668</v>
      </c>
      <c r="J107" s="13">
        <f ca="1"/>
        <v>3231.2259766134753</v>
      </c>
      <c r="K107" s="13">
        <f ca="1"/>
        <v>3251.5812708526378</v>
      </c>
      <c r="L107" s="13">
        <f ca="1"/>
        <v>3272.067530011233</v>
      </c>
      <c r="M107" s="13">
        <f ca="1"/>
        <v>3292.6856166630569</v>
      </c>
      <c r="N107" s="13">
        <f ca="1"/>
        <v>3313.436399205556</v>
      </c>
      <c r="O107" s="13">
        <f ca="1"/>
        <v>3334.3207519001453</v>
      </c>
      <c r="P107" s="13">
        <f ca="1"/>
        <v>3355.3395549127927</v>
      </c>
      <c r="Q107" s="13">
        <f ca="1"/>
        <v>3376.4936943549237</v>
      </c>
      <c r="R107" s="13">
        <f ca="1"/>
        <v>3397.7840623245738</v>
      </c>
      <c r="S107" s="13">
        <f ca="1"/>
        <v>3419.2115569478869</v>
      </c>
      <c r="T107" s="13">
        <f ca="1"/>
        <v>3440.7770824208465</v>
      </c>
      <c r="U107" s="13">
        <f ca="1"/>
        <v>3462.481549051352</v>
      </c>
      <c r="V107" s="13">
        <f ca="1"/>
        <v>3484.3258733015732</v>
      </c>
      <c r="W107" s="13">
        <f ca="1"/>
        <v>3506.3109778306107</v>
      </c>
      <c r="X107" s="13">
        <f ca="1"/>
        <v>3528.4377915374412</v>
      </c>
      <c r="Y107" s="13">
        <f ca="1"/>
        <v>3550.7072496042042</v>
      </c>
      <c r="Z107" s="13">
        <f ca="1"/>
        <v>3573.1202935397559</v>
      </c>
      <c r="AA107" s="13">
        <f ca="1"/>
        <v>3595.6778712235705</v>
      </c>
      <c r="AB107" s="13">
        <f ca="1"/>
        <v>3618.3809369499113</v>
      </c>
      <c r="AC107" s="13">
        <f ca="1"/>
        <v>3641.2304514723592</v>
      </c>
      <c r="AD107" s="13">
        <f ca="1"/>
        <v>3664.2273820486262</v>
      </c>
      <c r="AE107" s="13">
        <f ca="1"/>
        <v>3687.3727024856962</v>
      </c>
      <c r="AF107" s="13">
        <f ca="1"/>
        <v>3710.6673931852974</v>
      </c>
      <c r="AG107" s="13">
        <f ca="1"/>
        <v>3734.1124411896799</v>
      </c>
      <c r="AH107" s="13">
        <f ca="1"/>
        <v>3757.7088402277332</v>
      </c>
      <c r="AI107" s="13">
        <f ca="1"/>
        <v>3781.4575907614249</v>
      </c>
      <c r="AJ107" s="13">
        <f ca="1"/>
        <v>3805.3597000325699</v>
      </c>
      <c r="AK107" s="13">
        <f ca="1"/>
        <v>3829.4161821099351</v>
      </c>
      <c r="AL107" s="56">
        <f ca="1"/>
        <v>3853.6280579366758</v>
      </c>
      <c r="AM107" s="10"/>
    </row>
    <row r="108" spans="2:39" ht="15">
      <c r="B108" s="10"/>
      <c r="C108" s="28" t="str">
        <f>INDEX(_fuel,1)</f>
        <v>Electricity</v>
      </c>
      <c r="D108" s="12" t="str">
        <f>_yearDol &amp; "$"</f>
        <v>2015$</v>
      </c>
      <c r="E108" s="13">
        <f ca="1">SUMPRODUCT(dFactor,tpSurvPan,INDEX(elecPan,1,1)*allOnes,OFFSET(tPrcElec,0,0,1,_maxLT))</f>
        <v>3118.0155415003082</v>
      </c>
      <c r="F108" s="13">
        <f ca="1">SUMPRODUCT(dFactor,tpSurvPan,INDEX(elecPan,1,1)*allOnes,OFFSET(tPrcElec,0,1,1,_maxLT))</f>
        <v>3143.719393326689</v>
      </c>
      <c r="G108" s="13">
        <f ca="1">SUMPRODUCT(dFactor,tpSurvPan,INDEX(elecPan,1,1)*allOnes,OFFSET(tPrcElec,0,2,1,_maxLT))</f>
        <v>3168.6018421020831</v>
      </c>
      <c r="H108" s="13">
        <f ca="1">SUMPRODUCT(dFactor,tpSurvPan,INDEX(elecPan,1,1)*allOnes,OFFSET(tPrcElec,0,3,1,_maxLT))</f>
        <v>3190.9048614766216</v>
      </c>
      <c r="I108" s="13">
        <f ca="1">SUMPRODUCT(dFactor,tpSurvPan,INDEX(elecPan,1,1)*allOnes,OFFSET(tPrcElec,0,4,1,_maxLT))</f>
        <v>3211.0007905035668</v>
      </c>
      <c r="J108" s="13">
        <f ca="1">SUMPRODUCT(dFactor,tpSurvPan,INDEX(elecPan,1,1)*allOnes,OFFSET(tPrcElec,0,5,1,_maxLT))</f>
        <v>3231.2259766134753</v>
      </c>
      <c r="K108" s="13">
        <f ca="1">SUMPRODUCT(dFactor,tpSurvPan,INDEX(elecPan,1,1)*allOnes,OFFSET(tPrcElec,0,6,1,_maxLT))</f>
        <v>3251.5812708526378</v>
      </c>
      <c r="L108" s="13">
        <f ca="1">SUMPRODUCT(dFactor,tpSurvPan,INDEX(elecPan,1,1)*allOnes,OFFSET(tPrcElec,0,7,1,_maxLT))</f>
        <v>3272.067530011233</v>
      </c>
      <c r="M108" s="13">
        <f ca="1">SUMPRODUCT(dFactor,tpSurvPan,INDEX(elecPan,1,1)*allOnes,OFFSET(tPrcElec,0,8,1,_maxLT))</f>
        <v>3292.6856166630569</v>
      </c>
      <c r="N108" s="13">
        <f ca="1">SUMPRODUCT(dFactor,tpSurvPan,INDEX(elecPan,1,1)*allOnes,OFFSET(tPrcElec,0,9,1,_maxLT))</f>
        <v>3313.436399205556</v>
      </c>
      <c r="O108" s="13">
        <f ca="1">SUMPRODUCT(dFactor,tpSurvPan,INDEX(elecPan,1,1)*allOnes,OFFSET(tPrcElec,0,10,1,_maxLT))</f>
        <v>3334.3207519001453</v>
      </c>
      <c r="P108" s="13">
        <f ca="1">SUMPRODUCT(dFactor,tpSurvPan,INDEX(elecPan,1,1)*allOnes,OFFSET(tPrcElec,0,11,1,_maxLT))</f>
        <v>3355.3395549127927</v>
      </c>
      <c r="Q108" s="13">
        <f ca="1">SUMPRODUCT(dFactor,tpSurvPan,INDEX(elecPan,1,1)*allOnes,OFFSET(tPrcElec,0,12,1,_maxLT))</f>
        <v>3376.4936943549237</v>
      </c>
      <c r="R108" s="13">
        <f ca="1">SUMPRODUCT(dFactor,tpSurvPan,INDEX(elecPan,1,1)*allOnes,OFFSET(tPrcElec,0,13,1,_maxLT))</f>
        <v>3397.7840623245738</v>
      </c>
      <c r="S108" s="13">
        <f ca="1">SUMPRODUCT(dFactor,tpSurvPan,INDEX(elecPan,1,1)*allOnes,OFFSET(tPrcElec,0,14,1,_maxLT))</f>
        <v>3419.2115569478869</v>
      </c>
      <c r="T108" s="13">
        <f ca="1">SUMPRODUCT(dFactor,tpSurvPan,INDEX(elecPan,1,1)*allOnes,OFFSET(tPrcElec,0,15,1,_maxLT))</f>
        <v>3440.7770824208465</v>
      </c>
      <c r="U108" s="13">
        <f ca="1">SUMPRODUCT(dFactor,tpSurvPan,INDEX(elecPan,1,1)*allOnes,OFFSET(tPrcElec,0,16,1,_maxLT))</f>
        <v>3462.481549051352</v>
      </c>
      <c r="V108" s="13">
        <f ca="1">SUMPRODUCT(dFactor,tpSurvPan,INDEX(elecPan,1,1)*allOnes,OFFSET(tPrcElec,0,17,1,_maxLT))</f>
        <v>3484.3258733015732</v>
      </c>
      <c r="W108" s="13">
        <f ca="1">SUMPRODUCT(dFactor,tpSurvPan,INDEX(elecPan,1,1)*allOnes,OFFSET(tPrcElec,0,18,1,_maxLT))</f>
        <v>3506.3109778306107</v>
      </c>
      <c r="X108" s="13">
        <f ca="1">SUMPRODUCT(dFactor,tpSurvPan,INDEX(elecPan,1,1)*allOnes,OFFSET(tPrcElec,0,19,1,_maxLT))</f>
        <v>3528.4377915374412</v>
      </c>
      <c r="Y108" s="13">
        <f ca="1">SUMPRODUCT(dFactor,tpSurvPan,INDEX(elecPan,1,1)*allOnes,OFFSET(tPrcElec,0,20,1,_maxLT))</f>
        <v>3550.7072496042042</v>
      </c>
      <c r="Z108" s="13">
        <f ca="1">SUMPRODUCT(dFactor,tpSurvPan,INDEX(elecPan,1,1)*allOnes,OFFSET(tPrcElec,0,21,1,_maxLT))</f>
        <v>3573.1202935397559</v>
      </c>
      <c r="AA108" s="13">
        <f ca="1">SUMPRODUCT(dFactor,tpSurvPan,INDEX(elecPan,1,1)*allOnes,OFFSET(tPrcElec,0,22,1,_maxLT))</f>
        <v>3595.6778712235705</v>
      </c>
      <c r="AB108" s="13">
        <f ca="1">SUMPRODUCT(dFactor,tpSurvPan,INDEX(elecPan,1,1)*allOnes,OFFSET(tPrcElec,0,23,1,_maxLT))</f>
        <v>3618.3809369499113</v>
      </c>
      <c r="AC108" s="13">
        <f ca="1">SUMPRODUCT(dFactor,tpSurvPan,INDEX(elecPan,1,1)*allOnes,OFFSET(tPrcElec,0,24,1,_maxLT))</f>
        <v>3641.2304514723592</v>
      </c>
      <c r="AD108" s="13">
        <f ca="1">SUMPRODUCT(dFactor,tpSurvPan,INDEX(elecPan,1,1)*allOnes,OFFSET(tPrcElec,0,25,1,_maxLT))</f>
        <v>3664.2273820486262</v>
      </c>
      <c r="AE108" s="13">
        <f ca="1">SUMPRODUCT(dFactor,tpSurvPan,INDEX(elecPan,1,1)*allOnes,OFFSET(tPrcElec,0,26,1,_maxLT))</f>
        <v>3687.3727024856962</v>
      </c>
      <c r="AF108" s="13">
        <f ca="1">SUMPRODUCT(dFactor,tpSurvPan,INDEX(elecPan,1,1)*allOnes,OFFSET(tPrcElec,0,27,1,_maxLT))</f>
        <v>3710.6673931852974</v>
      </c>
      <c r="AG108" s="13">
        <f ca="1">SUMPRODUCT(dFactor,tpSurvPan,INDEX(elecPan,1,1)*allOnes,OFFSET(tPrcElec,0,28,1,_maxLT))</f>
        <v>3734.1124411896799</v>
      </c>
      <c r="AH108" s="13">
        <f ca="1">SUMPRODUCT(dFactor,tpSurvPan,INDEX(elecPan,1,1)*allOnes,OFFSET(tPrcElec,0,29,1,_maxLT))</f>
        <v>3757.7088402277332</v>
      </c>
      <c r="AI108" s="13">
        <f ca="1">SUMPRODUCT(dFactor,tpSurvPan,INDEX(elecPan,1,1)*allOnes,OFFSET(tPrcElec,0,30,1,_maxLT))</f>
        <v>3781.4575907614249</v>
      </c>
      <c r="AJ108" s="13">
        <f ca="1">SUMPRODUCT(dFactor,tpSurvPan,INDEX(elecPan,1,1)*allOnes,OFFSET(tPrcElec,0,31,1,_maxLT))</f>
        <v>3805.3597000325699</v>
      </c>
      <c r="AK108" s="13">
        <f ca="1">SUMPRODUCT(dFactor,tpSurvPan,INDEX(elecPan,1,1)*allOnes,OFFSET(tPrcElec,0,32,1,_maxLT))</f>
        <v>3829.4161821099351</v>
      </c>
      <c r="AL108" s="56">
        <f ca="1">SUMPRODUCT(dFactor,tpSurvPan,INDEX(elecPan,1,1)*allOnes,OFFSET(tPrcElec,0,33,1,_maxLT))</f>
        <v>3853.6280579366758</v>
      </c>
      <c r="AM108" s="10"/>
    </row>
    <row r="109" spans="2:39" ht="15">
      <c r="B109" s="10"/>
      <c r="C109" s="16" t="s">
        <v>79</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5"/>
      <c r="AM109" s="10"/>
    </row>
    <row r="110" spans="2:39" ht="15">
      <c r="B110" s="10"/>
      <c r="C110" s="28" t="str">
        <f>INDEX(_fuel,1)</f>
        <v>Electricity</v>
      </c>
      <c r="D110" s="12" t="s">
        <v>83</v>
      </c>
      <c r="E110" s="39">
        <f ca="1">SUMPRODUCT(OFFSET(tConvElecPan,0,0,1,_maxLT),INDEX(elecPan,1,1)*allOnes,tpSurvPan)</f>
        <v>580.47408754842502</v>
      </c>
      <c r="F110" s="39">
        <f ca="1">SUMPRODUCT(OFFSET(tConvElecPan,0,1,1,_maxLT),INDEX(elecPan,1,1)*allOnes,tpSurvPan)</f>
        <v>575.80120066832148</v>
      </c>
      <c r="G110" s="39">
        <f ca="1">SUMPRODUCT(OFFSET(tConvElecPan,0,2,1,_maxLT),INDEX(elecPan,1,1)*allOnes,tpSurvPan)</f>
        <v>571.66914772113455</v>
      </c>
      <c r="H110" s="39">
        <f ca="1">SUMPRODUCT(OFFSET(tConvElecPan,0,3,1,_maxLT),INDEX(elecPan,1,1)*allOnes,tpSurvPan)</f>
        <v>567.73237491731743</v>
      </c>
      <c r="I110" s="39">
        <f ca="1">SUMPRODUCT(OFFSET(tConvElecPan,0,4,1,_maxLT),INDEX(elecPan,1,1)*allOnes,tpSurvPan)</f>
        <v>564.27867063744213</v>
      </c>
      <c r="J110" s="39">
        <f ca="1">SUMPRODUCT(OFFSET(tConvElecPan,0,5,1,_maxLT),INDEX(elecPan,1,1)*allOnes,tpSurvPan)</f>
        <v>561.58336946767099</v>
      </c>
      <c r="K110" s="39">
        <f ca="1">SUMPRODUCT(OFFSET(tConvElecPan,0,6,1,_maxLT),INDEX(elecPan,1,1)*allOnes,tpSurvPan)</f>
        <v>559.33701104521947</v>
      </c>
      <c r="L110" s="39">
        <f ca="1">SUMPRODUCT(OFFSET(tConvElecPan,0,7,1,_maxLT),INDEX(elecPan,1,1)*allOnes,tpSurvPan)</f>
        <v>557.07298220872406</v>
      </c>
      <c r="M110" s="39">
        <f ca="1">SUMPRODUCT(OFFSET(tConvElecPan,0,8,1,_maxLT),INDEX(elecPan,1,1)*allOnes,tpSurvPan)</f>
        <v>555.2466865073585</v>
      </c>
      <c r="N110" s="39">
        <f ca="1">SUMPRODUCT(OFFSET(tConvElecPan,0,9,1,_maxLT),INDEX(elecPan,1,1)*allOnes,tpSurvPan)</f>
        <v>553.9692288617232</v>
      </c>
      <c r="O110" s="39">
        <f ca="1">SUMPRODUCT(OFFSET(tConvElecPan,0,10,1,_maxLT),INDEX(elecPan,1,1)*allOnes,tpSurvPan)</f>
        <v>553.02189577195145</v>
      </c>
      <c r="P110" s="39">
        <f ca="1">SUMPRODUCT(OFFSET(tConvElecPan,0,11,1,_maxLT),INDEX(elecPan,1,1)*allOnes,tpSurvPan)</f>
        <v>552.21609442162639</v>
      </c>
      <c r="Q110" s="39">
        <f ca="1">SUMPRODUCT(OFFSET(tConvElecPan,0,12,1,_maxLT),INDEX(elecPan,1,1)*allOnes,tpSurvPan)</f>
        <v>551.61301972566628</v>
      </c>
      <c r="R110" s="39">
        <f ca="1">SUMPRODUCT(OFFSET(tConvElecPan,0,13,1,_maxLT),INDEX(elecPan,1,1)*allOnes,tpSurvPan)</f>
        <v>551.14604620456441</v>
      </c>
      <c r="S110" s="39">
        <f ca="1">SUMPRODUCT(OFFSET(tConvElecPan,0,14,1,_maxLT),INDEX(elecPan,1,1)*allOnes,tpSurvPan)</f>
        <v>551.05704610178486</v>
      </c>
      <c r="T110" s="39">
        <f ca="1">SUMPRODUCT(OFFSET(tConvElecPan,0,15,1,_maxLT),INDEX(elecPan,1,1)*allOnes,tpSurvPan)</f>
        <v>551.13660820430755</v>
      </c>
      <c r="U110" s="39">
        <f ca="1">SUMPRODUCT(OFFSET(tConvElecPan,0,16,1,_maxLT),INDEX(elecPan,1,1)*allOnes,tpSurvPan)</f>
        <v>551.27093247318453</v>
      </c>
      <c r="V110" s="39">
        <f ca="1">SUMPRODUCT(OFFSET(tConvElecPan,0,17,1,_maxLT),INDEX(elecPan,1,1)*allOnes,tpSurvPan)</f>
        <v>551.47670475456198</v>
      </c>
      <c r="W110" s="39">
        <f ca="1">SUMPRODUCT(OFFSET(tConvElecPan,0,18,1,_maxLT),INDEX(elecPan,1,1)*allOnes,tpSurvPan)</f>
        <v>551.67499933553631</v>
      </c>
      <c r="X110" s="39">
        <f ca="1">SUMPRODUCT(OFFSET(tConvElecPan,0,19,1,_maxLT),INDEX(elecPan,1,1)*allOnes,tpSurvPan)</f>
        <v>551.83969379977964</v>
      </c>
      <c r="Y110" s="39">
        <f ca="1">SUMPRODUCT(OFFSET(tConvElecPan,0,20,1,_maxLT),INDEX(elecPan,1,1)*allOnes,tpSurvPan)</f>
        <v>551.9498546839967</v>
      </c>
      <c r="Z110" s="39">
        <f ca="1">SUMPRODUCT(OFFSET(tConvElecPan,0,21,1,_maxLT),INDEX(elecPan,1,1)*allOnes,tpSurvPan)</f>
        <v>552.02557567530857</v>
      </c>
      <c r="AA110" s="39">
        <f ca="1">SUMPRODUCT(OFFSET(tConvElecPan,0,22,1,_maxLT),INDEX(elecPan,1,1)*allOnes,tpSurvPan)</f>
        <v>552.02557567530857</v>
      </c>
      <c r="AB110" s="39">
        <f ca="1">SUMPRODUCT(OFFSET(tConvElecPan,0,23,1,_maxLT),INDEX(elecPan,1,1)*allOnes,tpSurvPan)</f>
        <v>552.02557567530857</v>
      </c>
      <c r="AC110" s="39">
        <f ca="1">SUMPRODUCT(OFFSET(tConvElecPan,0,24,1,_maxLT),INDEX(elecPan,1,1)*allOnes,tpSurvPan)</f>
        <v>552.02557567530857</v>
      </c>
      <c r="AD110" s="39">
        <f ca="1">SUMPRODUCT(OFFSET(tConvElecPan,0,25,1,_maxLT),INDEX(elecPan,1,1)*allOnes,tpSurvPan)</f>
        <v>552.02557567530857</v>
      </c>
      <c r="AE110" s="39">
        <f ca="1">SUMPRODUCT(OFFSET(tConvElecPan,0,26,1,_maxLT),INDEX(elecPan,1,1)*allOnes,tpSurvPan)</f>
        <v>552.02557567530857</v>
      </c>
      <c r="AF110" s="39">
        <f ca="1">SUMPRODUCT(OFFSET(tConvElecPan,0,27,1,_maxLT),INDEX(elecPan,1,1)*allOnes,tpSurvPan)</f>
        <v>552.02557567530857</v>
      </c>
      <c r="AG110" s="39">
        <f ca="1">SUMPRODUCT(OFFSET(tConvElecPan,0,28,1,_maxLT),INDEX(elecPan,1,1)*allOnes,tpSurvPan)</f>
        <v>552.02557567530857</v>
      </c>
      <c r="AH110" s="39">
        <f ca="1">SUMPRODUCT(OFFSET(tConvElecPan,0,29,1,_maxLT),INDEX(elecPan,1,1)*allOnes,tpSurvPan)</f>
        <v>552.02557567530857</v>
      </c>
      <c r="AI110" s="39">
        <f ca="1">SUMPRODUCT(OFFSET(tConvElecPan,0,30,1,_maxLT),INDEX(elecPan,1,1)*allOnes,tpSurvPan)</f>
        <v>552.02557567530857</v>
      </c>
      <c r="AJ110" s="39">
        <f ca="1">SUMPRODUCT(OFFSET(tConvElecPan,0,31,1,_maxLT),INDEX(elecPan,1,1)*allOnes,tpSurvPan)</f>
        <v>552.02557567530857</v>
      </c>
      <c r="AK110" s="39">
        <f ca="1">SUMPRODUCT(OFFSET(tConvElecPan,0,32,1,_maxLT),INDEX(elecPan,1,1)*allOnes,tpSurvPan)</f>
        <v>552.02557567530857</v>
      </c>
      <c r="AL110" s="40">
        <f ca="1">SUMPRODUCT(OFFSET(tConvElecPan,0,33,1,_maxLT),INDEX(elecPan,1,1)*allOnes,tpSurvPan)</f>
        <v>552.02557567530857</v>
      </c>
      <c r="AM110" s="10"/>
    </row>
    <row r="111" spans="2:39" ht="15">
      <c r="B111" s="10"/>
      <c r="C111" s="57" t="str">
        <f>"EL 1: " &amp; INDEX(_doName,2,2)</f>
        <v>EL 1: EL 1</v>
      </c>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3"/>
      <c r="AM111" s="10"/>
    </row>
    <row r="112" spans="2:39" ht="15">
      <c r="B112" s="10"/>
      <c r="C112" s="16" t="s">
        <v>69</v>
      </c>
      <c r="D112" s="12" t="str">
        <f>_yearDol &amp; "$"</f>
        <v>2015$</v>
      </c>
      <c r="E112" s="13">
        <f t="array" ref="E112:AL112">INDEX(mspPan,1,2)*tPIdxAll + INDEX(instPan,1,2) + IF(bESav,SUMPRODUCT(dFactor,tpSurvPan,INDEX(mrPan,1,2)*allOnes),0)</f>
        <v>1696.3370890000001</v>
      </c>
      <c r="F112" s="13">
        <v>1696.3370890000001</v>
      </c>
      <c r="G112" s="13">
        <v>1696.3370890000001</v>
      </c>
      <c r="H112" s="13">
        <v>1696.3370890000001</v>
      </c>
      <c r="I112" s="13">
        <v>1696.3370890000001</v>
      </c>
      <c r="J112" s="13">
        <v>1696.3370890000001</v>
      </c>
      <c r="K112" s="13">
        <v>1696.3370890000001</v>
      </c>
      <c r="L112" s="13">
        <v>1696.3370890000001</v>
      </c>
      <c r="M112" s="13">
        <v>1696.3370890000001</v>
      </c>
      <c r="N112" s="13">
        <v>1696.3370890000001</v>
      </c>
      <c r="O112" s="13">
        <v>1696.3370890000001</v>
      </c>
      <c r="P112" s="13">
        <v>1696.3370890000001</v>
      </c>
      <c r="Q112" s="13">
        <v>1696.3370890000001</v>
      </c>
      <c r="R112" s="13">
        <v>1696.3370890000001</v>
      </c>
      <c r="S112" s="13">
        <v>1696.3370890000001</v>
      </c>
      <c r="T112" s="13">
        <v>1696.3370890000001</v>
      </c>
      <c r="U112" s="13">
        <v>1696.3370890000001</v>
      </c>
      <c r="V112" s="13">
        <v>1696.3370890000001</v>
      </c>
      <c r="W112" s="13">
        <v>1696.3370890000001</v>
      </c>
      <c r="X112" s="13">
        <v>1696.3370890000001</v>
      </c>
      <c r="Y112" s="13">
        <v>1696.3370890000001</v>
      </c>
      <c r="Z112" s="13">
        <v>1696.3370890000001</v>
      </c>
      <c r="AA112" s="13">
        <v>1696.3370890000001</v>
      </c>
      <c r="AB112" s="13">
        <v>1696.3370890000001</v>
      </c>
      <c r="AC112" s="13">
        <v>1696.3370890000001</v>
      </c>
      <c r="AD112" s="13">
        <v>1696.3370890000001</v>
      </c>
      <c r="AE112" s="13">
        <v>1696.3370890000001</v>
      </c>
      <c r="AF112" s="13">
        <v>1696.3370890000001</v>
      </c>
      <c r="AG112" s="13">
        <v>1696.3370890000001</v>
      </c>
      <c r="AH112" s="13">
        <v>1696.3370890000001</v>
      </c>
      <c r="AI112" s="13">
        <v>1696.3370890000001</v>
      </c>
      <c r="AJ112" s="13">
        <v>1696.3370890000001</v>
      </c>
      <c r="AK112" s="13">
        <v>1696.3370890000001</v>
      </c>
      <c r="AL112" s="56">
        <v>1696.3370890000001</v>
      </c>
      <c r="AM112" s="10"/>
    </row>
    <row r="113" spans="2:39" ht="15">
      <c r="B113" s="10"/>
      <c r="C113" s="16" t="str">
        <f>zEO&amp;" Costs"</f>
        <v>Operating Costs</v>
      </c>
      <c r="D113" s="12" t="str">
        <f>_yearDol &amp; "$"</f>
        <v>2015$</v>
      </c>
      <c r="E113" s="13">
        <f t="array" aca="1" ref="E113:AL113" ca="1">(tlccEFuElecbc1) + IF(bOSav,SUMPRODUCT(dFactor,tpSurvPan,INDEX(mrPan,1,2)*allOnes),0)</f>
        <v>3065.9361333978973</v>
      </c>
      <c r="F113" s="13">
        <f ca="1"/>
        <v>3091.2106604273813</v>
      </c>
      <c r="G113" s="13">
        <f ca="1"/>
        <v>3115.6775040888469</v>
      </c>
      <c r="H113" s="13">
        <f ca="1"/>
        <v>3137.6080018923863</v>
      </c>
      <c r="I113" s="13">
        <f ca="1"/>
        <v>3157.3682738082425</v>
      </c>
      <c r="J113" s="13">
        <f ca="1"/>
        <v>3177.2556438593947</v>
      </c>
      <c r="K113" s="13">
        <f ca="1"/>
        <v>3197.2709488773312</v>
      </c>
      <c r="L113" s="13">
        <f ca="1"/>
        <v>3217.4150313414834</v>
      </c>
      <c r="M113" s="13">
        <f ca="1"/>
        <v>3237.6887394182995</v>
      </c>
      <c r="N113" s="13">
        <f ca="1"/>
        <v>3258.0929270006113</v>
      </c>
      <c r="O113" s="13">
        <f ca="1"/>
        <v>3278.6284537472657</v>
      </c>
      <c r="P113" s="13">
        <f ca="1"/>
        <v>3299.2961851230511</v>
      </c>
      <c r="Q113" s="13">
        <f ca="1"/>
        <v>3320.0969924388969</v>
      </c>
      <c r="R113" s="13">
        <f ca="1"/>
        <v>3341.0317528923638</v>
      </c>
      <c r="S113" s="13">
        <f ca="1"/>
        <v>3362.1013496084183</v>
      </c>
      <c r="T113" s="13">
        <f ca="1"/>
        <v>3383.3066716804951</v>
      </c>
      <c r="U113" s="13">
        <f ca="1"/>
        <v>3404.6486142118601</v>
      </c>
      <c r="V113" s="13">
        <f ca="1"/>
        <v>3426.1280783572461</v>
      </c>
      <c r="W113" s="13">
        <f ca="1"/>
        <v>3447.7459713648182</v>
      </c>
      <c r="X113" s="13">
        <f ca="1"/>
        <v>3469.5032066183981</v>
      </c>
      <c r="Y113" s="13">
        <f ca="1"/>
        <v>3491.4007036800135</v>
      </c>
      <c r="Z113" s="13">
        <f ca="1"/>
        <v>3513.4393883327475</v>
      </c>
      <c r="AA113" s="13">
        <f ca="1"/>
        <v>3535.6201926238805</v>
      </c>
      <c r="AB113" s="13">
        <f ca="1"/>
        <v>3557.9440549083529</v>
      </c>
      <c r="AC113" s="13">
        <f ca="1"/>
        <v>3580.4119198925232</v>
      </c>
      <c r="AD113" s="13">
        <f ca="1"/>
        <v>3603.0247386782494</v>
      </c>
      <c r="AE113" s="13">
        <f ca="1"/>
        <v>3625.7834688072653</v>
      </c>
      <c r="AF113" s="13">
        <f ca="1"/>
        <v>3648.6890743059057</v>
      </c>
      <c r="AG113" s="13">
        <f ca="1"/>
        <v>3671.742525730107</v>
      </c>
      <c r="AH113" s="13">
        <f ca="1"/>
        <v>3694.9448002107633</v>
      </c>
      <c r="AI113" s="13">
        <f ca="1"/>
        <v>3718.2968814993833</v>
      </c>
      <c r="AJ113" s="13">
        <f ca="1"/>
        <v>3741.7997600140839</v>
      </c>
      <c r="AK113" s="13">
        <f ca="1"/>
        <v>3765.4544328859015</v>
      </c>
      <c r="AL113" s="56">
        <f ca="1"/>
        <v>3789.2619040054433</v>
      </c>
      <c r="AM113" s="10"/>
    </row>
    <row r="114" spans="2:39" ht="15">
      <c r="B114" s="10"/>
      <c r="C114" s="28" t="str">
        <f>INDEX(_fuel,1)</f>
        <v>Electricity</v>
      </c>
      <c r="D114" s="12" t="str">
        <f>_yearDol &amp; "$"</f>
        <v>2015$</v>
      </c>
      <c r="E114" s="13">
        <f ca="1">SUMPRODUCT(dFactor,tpSurvPan,INDEX(elecPan,1,2)*allOnes,OFFSET(tPrcElec,0,0,1,_maxLT))</f>
        <v>3065.9361333978973</v>
      </c>
      <c r="F114" s="13">
        <f ca="1">SUMPRODUCT(dFactor,tpSurvPan,INDEX(elecPan,1,2)*allOnes,OFFSET(tPrcElec,0,1,1,_maxLT))</f>
        <v>3091.2106604273813</v>
      </c>
      <c r="G114" s="13">
        <f ca="1">SUMPRODUCT(dFactor,tpSurvPan,INDEX(elecPan,1,2)*allOnes,OFFSET(tPrcElec,0,2,1,_maxLT))</f>
        <v>3115.6775040888469</v>
      </c>
      <c r="H114" s="13">
        <f ca="1">SUMPRODUCT(dFactor,tpSurvPan,INDEX(elecPan,1,2)*allOnes,OFFSET(tPrcElec,0,3,1,_maxLT))</f>
        <v>3137.6080018923863</v>
      </c>
      <c r="I114" s="13">
        <f ca="1">SUMPRODUCT(dFactor,tpSurvPan,INDEX(elecPan,1,2)*allOnes,OFFSET(tPrcElec,0,4,1,_maxLT))</f>
        <v>3157.3682738082425</v>
      </c>
      <c r="J114" s="13">
        <f ca="1">SUMPRODUCT(dFactor,tpSurvPan,INDEX(elecPan,1,2)*allOnes,OFFSET(tPrcElec,0,5,1,_maxLT))</f>
        <v>3177.2556438593947</v>
      </c>
      <c r="K114" s="13">
        <f ca="1">SUMPRODUCT(dFactor,tpSurvPan,INDEX(elecPan,1,2)*allOnes,OFFSET(tPrcElec,0,6,1,_maxLT))</f>
        <v>3197.2709488773312</v>
      </c>
      <c r="L114" s="13">
        <f ca="1">SUMPRODUCT(dFactor,tpSurvPan,INDEX(elecPan,1,2)*allOnes,OFFSET(tPrcElec,0,7,1,_maxLT))</f>
        <v>3217.4150313414834</v>
      </c>
      <c r="M114" s="13">
        <f ca="1">SUMPRODUCT(dFactor,tpSurvPan,INDEX(elecPan,1,2)*allOnes,OFFSET(tPrcElec,0,8,1,_maxLT))</f>
        <v>3237.6887394182995</v>
      </c>
      <c r="N114" s="13">
        <f ca="1">SUMPRODUCT(dFactor,tpSurvPan,INDEX(elecPan,1,2)*allOnes,OFFSET(tPrcElec,0,9,1,_maxLT))</f>
        <v>3258.0929270006113</v>
      </c>
      <c r="O114" s="13">
        <f ca="1">SUMPRODUCT(dFactor,tpSurvPan,INDEX(elecPan,1,2)*allOnes,OFFSET(tPrcElec,0,10,1,_maxLT))</f>
        <v>3278.6284537472657</v>
      </c>
      <c r="P114" s="13">
        <f ca="1">SUMPRODUCT(dFactor,tpSurvPan,INDEX(elecPan,1,2)*allOnes,OFFSET(tPrcElec,0,11,1,_maxLT))</f>
        <v>3299.2961851230511</v>
      </c>
      <c r="Q114" s="13">
        <f ca="1">SUMPRODUCT(dFactor,tpSurvPan,INDEX(elecPan,1,2)*allOnes,OFFSET(tPrcElec,0,12,1,_maxLT))</f>
        <v>3320.0969924388969</v>
      </c>
      <c r="R114" s="13">
        <f ca="1">SUMPRODUCT(dFactor,tpSurvPan,INDEX(elecPan,1,2)*allOnes,OFFSET(tPrcElec,0,13,1,_maxLT))</f>
        <v>3341.0317528923638</v>
      </c>
      <c r="S114" s="13">
        <f ca="1">SUMPRODUCT(dFactor,tpSurvPan,INDEX(elecPan,1,2)*allOnes,OFFSET(tPrcElec,0,14,1,_maxLT))</f>
        <v>3362.1013496084183</v>
      </c>
      <c r="T114" s="13">
        <f ca="1">SUMPRODUCT(dFactor,tpSurvPan,INDEX(elecPan,1,2)*allOnes,OFFSET(tPrcElec,0,15,1,_maxLT))</f>
        <v>3383.3066716804951</v>
      </c>
      <c r="U114" s="13">
        <f ca="1">SUMPRODUCT(dFactor,tpSurvPan,INDEX(elecPan,1,2)*allOnes,OFFSET(tPrcElec,0,16,1,_maxLT))</f>
        <v>3404.6486142118601</v>
      </c>
      <c r="V114" s="13">
        <f ca="1">SUMPRODUCT(dFactor,tpSurvPan,INDEX(elecPan,1,2)*allOnes,OFFSET(tPrcElec,0,17,1,_maxLT))</f>
        <v>3426.1280783572461</v>
      </c>
      <c r="W114" s="13">
        <f ca="1">SUMPRODUCT(dFactor,tpSurvPan,INDEX(elecPan,1,2)*allOnes,OFFSET(tPrcElec,0,18,1,_maxLT))</f>
        <v>3447.7459713648182</v>
      </c>
      <c r="X114" s="13">
        <f ca="1">SUMPRODUCT(dFactor,tpSurvPan,INDEX(elecPan,1,2)*allOnes,OFFSET(tPrcElec,0,19,1,_maxLT))</f>
        <v>3469.5032066183981</v>
      </c>
      <c r="Y114" s="13">
        <f ca="1">SUMPRODUCT(dFactor,tpSurvPan,INDEX(elecPan,1,2)*allOnes,OFFSET(tPrcElec,0,20,1,_maxLT))</f>
        <v>3491.4007036800135</v>
      </c>
      <c r="Z114" s="13">
        <f ca="1">SUMPRODUCT(dFactor,tpSurvPan,INDEX(elecPan,1,2)*allOnes,OFFSET(tPrcElec,0,21,1,_maxLT))</f>
        <v>3513.4393883327475</v>
      </c>
      <c r="AA114" s="13">
        <f ca="1">SUMPRODUCT(dFactor,tpSurvPan,INDEX(elecPan,1,2)*allOnes,OFFSET(tPrcElec,0,22,1,_maxLT))</f>
        <v>3535.6201926238805</v>
      </c>
      <c r="AB114" s="13">
        <f ca="1">SUMPRODUCT(dFactor,tpSurvPan,INDEX(elecPan,1,2)*allOnes,OFFSET(tPrcElec,0,23,1,_maxLT))</f>
        <v>3557.9440549083529</v>
      </c>
      <c r="AC114" s="13">
        <f ca="1">SUMPRODUCT(dFactor,tpSurvPan,INDEX(elecPan,1,2)*allOnes,OFFSET(tPrcElec,0,24,1,_maxLT))</f>
        <v>3580.4119198925232</v>
      </c>
      <c r="AD114" s="13">
        <f ca="1">SUMPRODUCT(dFactor,tpSurvPan,INDEX(elecPan,1,2)*allOnes,OFFSET(tPrcElec,0,25,1,_maxLT))</f>
        <v>3603.0247386782494</v>
      </c>
      <c r="AE114" s="13">
        <f ca="1">SUMPRODUCT(dFactor,tpSurvPan,INDEX(elecPan,1,2)*allOnes,OFFSET(tPrcElec,0,26,1,_maxLT))</f>
        <v>3625.7834688072653</v>
      </c>
      <c r="AF114" s="13">
        <f ca="1">SUMPRODUCT(dFactor,tpSurvPan,INDEX(elecPan,1,2)*allOnes,OFFSET(tPrcElec,0,27,1,_maxLT))</f>
        <v>3648.6890743059057</v>
      </c>
      <c r="AG114" s="13">
        <f ca="1">SUMPRODUCT(dFactor,tpSurvPan,INDEX(elecPan,1,2)*allOnes,OFFSET(tPrcElec,0,28,1,_maxLT))</f>
        <v>3671.742525730107</v>
      </c>
      <c r="AH114" s="13">
        <f ca="1">SUMPRODUCT(dFactor,tpSurvPan,INDEX(elecPan,1,2)*allOnes,OFFSET(tPrcElec,0,29,1,_maxLT))</f>
        <v>3694.9448002107633</v>
      </c>
      <c r="AI114" s="13">
        <f ca="1">SUMPRODUCT(dFactor,tpSurvPan,INDEX(elecPan,1,2)*allOnes,OFFSET(tPrcElec,0,30,1,_maxLT))</f>
        <v>3718.2968814993833</v>
      </c>
      <c r="AJ114" s="13">
        <f ca="1">SUMPRODUCT(dFactor,tpSurvPan,INDEX(elecPan,1,2)*allOnes,OFFSET(tPrcElec,0,31,1,_maxLT))</f>
        <v>3741.7997600140839</v>
      </c>
      <c r="AK114" s="13">
        <f ca="1">SUMPRODUCT(dFactor,tpSurvPan,INDEX(elecPan,1,2)*allOnes,OFFSET(tPrcElec,0,32,1,_maxLT))</f>
        <v>3765.4544328859015</v>
      </c>
      <c r="AL114" s="56">
        <f ca="1">SUMPRODUCT(dFactor,tpSurvPan,INDEX(elecPan,1,2)*allOnes,OFFSET(tPrcElec,0,33,1,_maxLT))</f>
        <v>3789.2619040054433</v>
      </c>
      <c r="AM114" s="10"/>
    </row>
    <row r="115" spans="2:39" ht="15">
      <c r="B115" s="10"/>
      <c r="C115" s="16" t="s">
        <v>79</v>
      </c>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5"/>
      <c r="AM115" s="10"/>
    </row>
    <row r="116" spans="2:39" ht="15">
      <c r="B116" s="10"/>
      <c r="C116" s="28" t="str">
        <f>INDEX(_fuel,1)</f>
        <v>Electricity</v>
      </c>
      <c r="D116" s="12" t="s">
        <v>83</v>
      </c>
      <c r="E116" s="39">
        <f ca="1">SUMPRODUCT(OFFSET(tConvElecPan,0,0,1,_maxLT),INDEX(elecPan,1,2)*allOnes,tpSurvPan)</f>
        <v>570.77857881989473</v>
      </c>
      <c r="F116" s="39">
        <f ca="1">SUMPRODUCT(OFFSET(tConvElecPan,0,1,1,_maxLT),INDEX(elecPan,1,2)*allOnes,tpSurvPan)</f>
        <v>566.18374196218724</v>
      </c>
      <c r="G116" s="39">
        <f ca="1">SUMPRODUCT(OFFSET(tConvElecPan,0,2,1,_maxLT),INDEX(elecPan,1,2)*allOnes,tpSurvPan)</f>
        <v>562.12070562793008</v>
      </c>
      <c r="H116" s="39">
        <f ca="1">SUMPRODUCT(OFFSET(tConvElecPan,0,3,1,_maxLT),INDEX(elecPan,1,2)*allOnes,tpSurvPan)</f>
        <v>558.24968772325565</v>
      </c>
      <c r="I116" s="39">
        <f ca="1">SUMPRODUCT(OFFSET(tConvElecPan,0,4,1,_maxLT),INDEX(elecPan,1,2)*allOnes,tpSurvPan)</f>
        <v>554.8536697737602</v>
      </c>
      <c r="J116" s="39">
        <f ca="1">SUMPRODUCT(OFFSET(tConvElecPan,0,5,1,_maxLT),INDEX(elecPan,1,2)*allOnes,tpSurvPan)</f>
        <v>552.2033875231416</v>
      </c>
      <c r="K116" s="39">
        <f ca="1">SUMPRODUCT(OFFSET(tConvElecPan,0,6,1,_maxLT),INDEX(elecPan,1,2)*allOnes,tpSurvPan)</f>
        <v>549.99454944511126</v>
      </c>
      <c r="L116" s="39">
        <f ca="1">SUMPRODUCT(OFFSET(tConvElecPan,0,7,1,_maxLT),INDEX(elecPan,1,2)*allOnes,tpSurvPan)</f>
        <v>547.76833609739788</v>
      </c>
      <c r="M116" s="39">
        <f ca="1">SUMPRODUCT(OFFSET(tConvElecPan,0,8,1,_maxLT),INDEX(elecPan,1,2)*allOnes,tpSurvPan)</f>
        <v>545.97254454133918</v>
      </c>
      <c r="N116" s="39">
        <f ca="1">SUMPRODUCT(OFFSET(tConvElecPan,0,9,1,_maxLT),INDEX(elecPan,1,2)*allOnes,tpSurvPan)</f>
        <v>544.716423940749</v>
      </c>
      <c r="O116" s="39">
        <f ca="1">SUMPRODUCT(OFFSET(tConvElecPan,0,10,1,_maxLT),INDEX(elecPan,1,2)*allOnes,tpSurvPan)</f>
        <v>543.78491391084799</v>
      </c>
      <c r="P116" s="39">
        <f ca="1">SUMPRODUCT(OFFSET(tConvElecPan,0,11,1,_maxLT),INDEX(elecPan,1,2)*allOnes,tpSurvPan)</f>
        <v>542.99257165231199</v>
      </c>
      <c r="Q116" s="39">
        <f ca="1">SUMPRODUCT(OFFSET(tConvElecPan,0,12,1,_maxLT),INDEX(elecPan,1,2)*allOnes,tpSurvPan)</f>
        <v>542.39956995720422</v>
      </c>
      <c r="R116" s="39">
        <f ca="1">SUMPRODUCT(OFFSET(tConvElecPan,0,13,1,_maxLT),INDEX(elecPan,1,2)*allOnes,tpSurvPan)</f>
        <v>541.94039617419048</v>
      </c>
      <c r="S116" s="39">
        <f ca="1">SUMPRODUCT(OFFSET(tConvElecPan,0,14,1,_maxLT),INDEX(elecPan,1,2)*allOnes,tpSurvPan)</f>
        <v>541.85288261713606</v>
      </c>
      <c r="T116" s="39">
        <f ca="1">SUMPRODUCT(OFFSET(tConvElecPan,0,15,1,_maxLT),INDEX(elecPan,1,2)*allOnes,tpSurvPan)</f>
        <v>541.93111581441372</v>
      </c>
      <c r="U116" s="39">
        <f ca="1">SUMPRODUCT(OFFSET(tConvElecPan,0,16,1,_maxLT),INDEX(elecPan,1,2)*allOnes,tpSurvPan)</f>
        <v>542.06319649972818</v>
      </c>
      <c r="V116" s="39">
        <f ca="1">SUMPRODUCT(OFFSET(tConvElecPan,0,17,1,_maxLT),INDEX(elecPan,1,2)*allOnes,tpSurvPan)</f>
        <v>542.26553181984764</v>
      </c>
      <c r="W116" s="39">
        <f ca="1">SUMPRODUCT(OFFSET(tConvElecPan,0,18,1,_maxLT),INDEX(elecPan,1,2)*allOnes,tpSurvPan)</f>
        <v>542.46051433766195</v>
      </c>
      <c r="X116" s="39">
        <f ca="1">SUMPRODUCT(OFFSET(tConvElecPan,0,19,1,_maxLT),INDEX(elecPan,1,2)*allOnes,tpSurvPan)</f>
        <v>542.62245795281513</v>
      </c>
      <c r="Y116" s="39">
        <f ca="1">SUMPRODUCT(OFFSET(tConvElecPan,0,20,1,_maxLT),INDEX(elecPan,1,2)*allOnes,tpSurvPan)</f>
        <v>542.73077884824136</v>
      </c>
      <c r="Z116" s="39">
        <f ca="1">SUMPRODUCT(OFFSET(tConvElecPan,0,21,1,_maxLT),INDEX(elecPan,1,2)*allOnes,tpSurvPan)</f>
        <v>542.80523509139653</v>
      </c>
      <c r="AA116" s="39">
        <f ca="1">SUMPRODUCT(OFFSET(tConvElecPan,0,22,1,_maxLT),INDEX(elecPan,1,2)*allOnes,tpSurvPan)</f>
        <v>542.80523509139653</v>
      </c>
      <c r="AB116" s="39">
        <f ca="1">SUMPRODUCT(OFFSET(tConvElecPan,0,23,1,_maxLT),INDEX(elecPan,1,2)*allOnes,tpSurvPan)</f>
        <v>542.80523509139653</v>
      </c>
      <c r="AC116" s="39">
        <f ca="1">SUMPRODUCT(OFFSET(tConvElecPan,0,24,1,_maxLT),INDEX(elecPan,1,2)*allOnes,tpSurvPan)</f>
        <v>542.80523509139653</v>
      </c>
      <c r="AD116" s="39">
        <f ca="1">SUMPRODUCT(OFFSET(tConvElecPan,0,25,1,_maxLT),INDEX(elecPan,1,2)*allOnes,tpSurvPan)</f>
        <v>542.80523509139653</v>
      </c>
      <c r="AE116" s="39">
        <f ca="1">SUMPRODUCT(OFFSET(tConvElecPan,0,26,1,_maxLT),INDEX(elecPan,1,2)*allOnes,tpSurvPan)</f>
        <v>542.80523509139653</v>
      </c>
      <c r="AF116" s="39">
        <f ca="1">SUMPRODUCT(OFFSET(tConvElecPan,0,27,1,_maxLT),INDEX(elecPan,1,2)*allOnes,tpSurvPan)</f>
        <v>542.80523509139653</v>
      </c>
      <c r="AG116" s="39">
        <f ca="1">SUMPRODUCT(OFFSET(tConvElecPan,0,28,1,_maxLT),INDEX(elecPan,1,2)*allOnes,tpSurvPan)</f>
        <v>542.80523509139653</v>
      </c>
      <c r="AH116" s="39">
        <f ca="1">SUMPRODUCT(OFFSET(tConvElecPan,0,29,1,_maxLT),INDEX(elecPan,1,2)*allOnes,tpSurvPan)</f>
        <v>542.80523509139653</v>
      </c>
      <c r="AI116" s="39">
        <f ca="1">SUMPRODUCT(OFFSET(tConvElecPan,0,30,1,_maxLT),INDEX(elecPan,1,2)*allOnes,tpSurvPan)</f>
        <v>542.80523509139653</v>
      </c>
      <c r="AJ116" s="39">
        <f ca="1">SUMPRODUCT(OFFSET(tConvElecPan,0,31,1,_maxLT),INDEX(elecPan,1,2)*allOnes,tpSurvPan)</f>
        <v>542.80523509139653</v>
      </c>
      <c r="AK116" s="39">
        <f ca="1">SUMPRODUCT(OFFSET(tConvElecPan,0,32,1,_maxLT),INDEX(elecPan,1,2)*allOnes,tpSurvPan)</f>
        <v>542.80523509139653</v>
      </c>
      <c r="AL116" s="40">
        <f ca="1">SUMPRODUCT(OFFSET(tConvElecPan,0,33,1,_maxLT),INDEX(elecPan,1,2)*allOnes,tpSurvPan)</f>
        <v>542.80523509139653</v>
      </c>
      <c r="AM116" s="10"/>
    </row>
    <row r="117" spans="2:39" ht="15">
      <c r="B117" s="10"/>
      <c r="C117" s="57" t="str">
        <f>"EL 2: " &amp; INDEX(_doName,2,3)</f>
        <v>EL 2: EL 2</v>
      </c>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3"/>
      <c r="AM117" s="10"/>
    </row>
    <row r="118" spans="2:39" ht="15">
      <c r="B118" s="10"/>
      <c r="C118" s="16" t="s">
        <v>69</v>
      </c>
      <c r="D118" s="12" t="str">
        <f>_yearDol &amp; "$"</f>
        <v>2015$</v>
      </c>
      <c r="E118" s="13">
        <f t="array" ref="E118:AL118">INDEX(mspPan,1,3)*tPIdxAll + INDEX(instPan,1,3) + IF(bESav,SUMPRODUCT(dFactor,tpSurvPan,INDEX(mrPan,1,3)*allOnes),0)</f>
        <v>1710.433331</v>
      </c>
      <c r="F118" s="13">
        <v>1710.433331</v>
      </c>
      <c r="G118" s="13">
        <v>1710.433331</v>
      </c>
      <c r="H118" s="13">
        <v>1710.433331</v>
      </c>
      <c r="I118" s="13">
        <v>1710.433331</v>
      </c>
      <c r="J118" s="13">
        <v>1710.433331</v>
      </c>
      <c r="K118" s="13">
        <v>1710.433331</v>
      </c>
      <c r="L118" s="13">
        <v>1710.433331</v>
      </c>
      <c r="M118" s="13">
        <v>1710.433331</v>
      </c>
      <c r="N118" s="13">
        <v>1710.433331</v>
      </c>
      <c r="O118" s="13">
        <v>1710.433331</v>
      </c>
      <c r="P118" s="13">
        <v>1710.433331</v>
      </c>
      <c r="Q118" s="13">
        <v>1710.433331</v>
      </c>
      <c r="R118" s="13">
        <v>1710.433331</v>
      </c>
      <c r="S118" s="13">
        <v>1710.433331</v>
      </c>
      <c r="T118" s="13">
        <v>1710.433331</v>
      </c>
      <c r="U118" s="13">
        <v>1710.433331</v>
      </c>
      <c r="V118" s="13">
        <v>1710.433331</v>
      </c>
      <c r="W118" s="13">
        <v>1710.433331</v>
      </c>
      <c r="X118" s="13">
        <v>1710.433331</v>
      </c>
      <c r="Y118" s="13">
        <v>1710.433331</v>
      </c>
      <c r="Z118" s="13">
        <v>1710.433331</v>
      </c>
      <c r="AA118" s="13">
        <v>1710.433331</v>
      </c>
      <c r="AB118" s="13">
        <v>1710.433331</v>
      </c>
      <c r="AC118" s="13">
        <v>1710.433331</v>
      </c>
      <c r="AD118" s="13">
        <v>1710.433331</v>
      </c>
      <c r="AE118" s="13">
        <v>1710.433331</v>
      </c>
      <c r="AF118" s="13">
        <v>1710.433331</v>
      </c>
      <c r="AG118" s="13">
        <v>1710.433331</v>
      </c>
      <c r="AH118" s="13">
        <v>1710.433331</v>
      </c>
      <c r="AI118" s="13">
        <v>1710.433331</v>
      </c>
      <c r="AJ118" s="13">
        <v>1710.433331</v>
      </c>
      <c r="AK118" s="13">
        <v>1710.433331</v>
      </c>
      <c r="AL118" s="56">
        <v>1710.433331</v>
      </c>
      <c r="AM118" s="10"/>
    </row>
    <row r="119" spans="2:39" ht="15">
      <c r="B119" s="10"/>
      <c r="C119" s="16" t="str">
        <f>zEO&amp;" Costs"</f>
        <v>Operating Costs</v>
      </c>
      <c r="D119" s="12" t="str">
        <f>_yearDol &amp; "$"</f>
        <v>2015$</v>
      </c>
      <c r="E119" s="13">
        <f t="array" aca="1" ref="E119:AL119" ca="1">(tlccEFuElecbc2) + IF(bOSav,SUMPRODUCT(dFactor,tpSurvPan,INDEX(mrPan,1,3)*allOnes),0)</f>
        <v>3047.5062574775466</v>
      </c>
      <c r="F119" s="13">
        <f ca="1"/>
        <v>3072.6288549244082</v>
      </c>
      <c r="G119" s="13">
        <f ca="1"/>
        <v>3096.9486241286022</v>
      </c>
      <c r="H119" s="13">
        <f ca="1"/>
        <v>3118.7472938914366</v>
      </c>
      <c r="I119" s="13">
        <f ca="1"/>
        <v>3138.3887833722683</v>
      </c>
      <c r="J119" s="13">
        <f ca="1"/>
        <v>3158.1566069793735</v>
      </c>
      <c r="K119" s="13">
        <f ca="1"/>
        <v>3178.0515965139007</v>
      </c>
      <c r="L119" s="13">
        <f ca="1"/>
        <v>3198.074589390993</v>
      </c>
      <c r="M119" s="13">
        <f ca="1"/>
        <v>3218.226428678624</v>
      </c>
      <c r="N119" s="13">
        <f ca="1"/>
        <v>3238.507963136723</v>
      </c>
      <c r="O119" s="13">
        <f ca="1"/>
        <v>3258.9200472565781</v>
      </c>
      <c r="P119" s="13">
        <f ca="1"/>
        <v>3279.4635413005217</v>
      </c>
      <c r="Q119" s="13">
        <f ca="1"/>
        <v>3300.1393113418803</v>
      </c>
      <c r="R119" s="13">
        <f ca="1"/>
        <v>3320.9482293052265</v>
      </c>
      <c r="S119" s="13">
        <f ca="1"/>
        <v>3341.8911730069085</v>
      </c>
      <c r="T119" s="13">
        <f ca="1"/>
        <v>3362.9690261958654</v>
      </c>
      <c r="U119" s="13">
        <f ca="1"/>
        <v>3384.1826785947414</v>
      </c>
      <c r="V119" s="13">
        <f ca="1"/>
        <v>3405.5330259412754</v>
      </c>
      <c r="W119" s="13">
        <f ca="1"/>
        <v>3427.0209700300011</v>
      </c>
      <c r="X119" s="13">
        <f ca="1"/>
        <v>3448.6474187542299</v>
      </c>
      <c r="Y119" s="13">
        <f ca="1"/>
        <v>3470.4132861483454</v>
      </c>
      <c r="Z119" s="13">
        <f ca="1"/>
        <v>3492.3194924303889</v>
      </c>
      <c r="AA119" s="13">
        <f ca="1"/>
        <v>3514.3669640449389</v>
      </c>
      <c r="AB119" s="13">
        <f ca="1"/>
        <v>3536.5566337063215</v>
      </c>
      <c r="AC119" s="13">
        <f ca="1"/>
        <v>3558.8894404421035</v>
      </c>
      <c r="AD119" s="13">
        <f ca="1"/>
        <v>3581.3663296368954</v>
      </c>
      <c r="AE119" s="13">
        <f ca="1"/>
        <v>3603.9882530764939</v>
      </c>
      <c r="AF119" s="13">
        <f ca="1"/>
        <v>3626.7561689922941</v>
      </c>
      <c r="AG119" s="13">
        <f ca="1"/>
        <v>3649.6710421060557</v>
      </c>
      <c r="AH119" s="13">
        <f ca="1"/>
        <v>3672.7338436749683</v>
      </c>
      <c r="AI119" s="13">
        <f ca="1"/>
        <v>3695.9455515370378</v>
      </c>
      <c r="AJ119" s="13">
        <f ca="1"/>
        <v>3719.3071501568038</v>
      </c>
      <c r="AK119" s="13">
        <f ca="1"/>
        <v>3742.8196306713799</v>
      </c>
      <c r="AL119" s="56">
        <f ca="1"/>
        <v>3766.4839909368065</v>
      </c>
      <c r="AM119" s="10"/>
    </row>
    <row r="120" spans="2:39" ht="15">
      <c r="B120" s="10"/>
      <c r="C120" s="28" t="str">
        <f>INDEX(_fuel,1)</f>
        <v>Electricity</v>
      </c>
      <c r="D120" s="12" t="str">
        <f>_yearDol &amp; "$"</f>
        <v>2015$</v>
      </c>
      <c r="E120" s="13">
        <f ca="1">SUMPRODUCT(dFactor,tpSurvPan,INDEX(elecPan,1,3)*allOnes,OFFSET(tPrcElec,0,0,1,_maxLT))</f>
        <v>3047.5062574775466</v>
      </c>
      <c r="F120" s="13">
        <f ca="1">SUMPRODUCT(dFactor,tpSurvPan,INDEX(elecPan,1,3)*allOnes,OFFSET(tPrcElec,0,1,1,_maxLT))</f>
        <v>3072.6288549244082</v>
      </c>
      <c r="G120" s="13">
        <f ca="1">SUMPRODUCT(dFactor,tpSurvPan,INDEX(elecPan,1,3)*allOnes,OFFSET(tPrcElec,0,2,1,_maxLT))</f>
        <v>3096.9486241286022</v>
      </c>
      <c r="H120" s="13">
        <f ca="1">SUMPRODUCT(dFactor,tpSurvPan,INDEX(elecPan,1,3)*allOnes,OFFSET(tPrcElec,0,3,1,_maxLT))</f>
        <v>3118.7472938914366</v>
      </c>
      <c r="I120" s="13">
        <f ca="1">SUMPRODUCT(dFactor,tpSurvPan,INDEX(elecPan,1,3)*allOnes,OFFSET(tPrcElec,0,4,1,_maxLT))</f>
        <v>3138.3887833722683</v>
      </c>
      <c r="J120" s="13">
        <f ca="1">SUMPRODUCT(dFactor,tpSurvPan,INDEX(elecPan,1,3)*allOnes,OFFSET(tPrcElec,0,5,1,_maxLT))</f>
        <v>3158.1566069793735</v>
      </c>
      <c r="K120" s="13">
        <f ca="1">SUMPRODUCT(dFactor,tpSurvPan,INDEX(elecPan,1,3)*allOnes,OFFSET(tPrcElec,0,6,1,_maxLT))</f>
        <v>3178.0515965139007</v>
      </c>
      <c r="L120" s="13">
        <f ca="1">SUMPRODUCT(dFactor,tpSurvPan,INDEX(elecPan,1,3)*allOnes,OFFSET(tPrcElec,0,7,1,_maxLT))</f>
        <v>3198.074589390993</v>
      </c>
      <c r="M120" s="13">
        <f ca="1">SUMPRODUCT(dFactor,tpSurvPan,INDEX(elecPan,1,3)*allOnes,OFFSET(tPrcElec,0,8,1,_maxLT))</f>
        <v>3218.226428678624</v>
      </c>
      <c r="N120" s="13">
        <f ca="1">SUMPRODUCT(dFactor,tpSurvPan,INDEX(elecPan,1,3)*allOnes,OFFSET(tPrcElec,0,9,1,_maxLT))</f>
        <v>3238.507963136723</v>
      </c>
      <c r="O120" s="13">
        <f ca="1">SUMPRODUCT(dFactor,tpSurvPan,INDEX(elecPan,1,3)*allOnes,OFFSET(tPrcElec,0,10,1,_maxLT))</f>
        <v>3258.9200472565781</v>
      </c>
      <c r="P120" s="13">
        <f ca="1">SUMPRODUCT(dFactor,tpSurvPan,INDEX(elecPan,1,3)*allOnes,OFFSET(tPrcElec,0,11,1,_maxLT))</f>
        <v>3279.4635413005217</v>
      </c>
      <c r="Q120" s="13">
        <f ca="1">SUMPRODUCT(dFactor,tpSurvPan,INDEX(elecPan,1,3)*allOnes,OFFSET(tPrcElec,0,12,1,_maxLT))</f>
        <v>3300.1393113418803</v>
      </c>
      <c r="R120" s="13">
        <f ca="1">SUMPRODUCT(dFactor,tpSurvPan,INDEX(elecPan,1,3)*allOnes,OFFSET(tPrcElec,0,13,1,_maxLT))</f>
        <v>3320.9482293052265</v>
      </c>
      <c r="S120" s="13">
        <f ca="1">SUMPRODUCT(dFactor,tpSurvPan,INDEX(elecPan,1,3)*allOnes,OFFSET(tPrcElec,0,14,1,_maxLT))</f>
        <v>3341.8911730069085</v>
      </c>
      <c r="T120" s="13">
        <f ca="1">SUMPRODUCT(dFactor,tpSurvPan,INDEX(elecPan,1,3)*allOnes,OFFSET(tPrcElec,0,15,1,_maxLT))</f>
        <v>3362.9690261958654</v>
      </c>
      <c r="U120" s="13">
        <f ca="1">SUMPRODUCT(dFactor,tpSurvPan,INDEX(elecPan,1,3)*allOnes,OFFSET(tPrcElec,0,16,1,_maxLT))</f>
        <v>3384.1826785947414</v>
      </c>
      <c r="V120" s="13">
        <f ca="1">SUMPRODUCT(dFactor,tpSurvPan,INDEX(elecPan,1,3)*allOnes,OFFSET(tPrcElec,0,17,1,_maxLT))</f>
        <v>3405.5330259412754</v>
      </c>
      <c r="W120" s="13">
        <f ca="1">SUMPRODUCT(dFactor,tpSurvPan,INDEX(elecPan,1,3)*allOnes,OFFSET(tPrcElec,0,18,1,_maxLT))</f>
        <v>3427.0209700300011</v>
      </c>
      <c r="X120" s="13">
        <f ca="1">SUMPRODUCT(dFactor,tpSurvPan,INDEX(elecPan,1,3)*allOnes,OFFSET(tPrcElec,0,19,1,_maxLT))</f>
        <v>3448.6474187542299</v>
      </c>
      <c r="Y120" s="13">
        <f ca="1">SUMPRODUCT(dFactor,tpSurvPan,INDEX(elecPan,1,3)*allOnes,OFFSET(tPrcElec,0,20,1,_maxLT))</f>
        <v>3470.4132861483454</v>
      </c>
      <c r="Z120" s="13">
        <f ca="1">SUMPRODUCT(dFactor,tpSurvPan,INDEX(elecPan,1,3)*allOnes,OFFSET(tPrcElec,0,21,1,_maxLT))</f>
        <v>3492.3194924303889</v>
      </c>
      <c r="AA120" s="13">
        <f ca="1">SUMPRODUCT(dFactor,tpSurvPan,INDEX(elecPan,1,3)*allOnes,OFFSET(tPrcElec,0,22,1,_maxLT))</f>
        <v>3514.3669640449389</v>
      </c>
      <c r="AB120" s="13">
        <f ca="1">SUMPRODUCT(dFactor,tpSurvPan,INDEX(elecPan,1,3)*allOnes,OFFSET(tPrcElec,0,23,1,_maxLT))</f>
        <v>3536.5566337063215</v>
      </c>
      <c r="AC120" s="13">
        <f ca="1">SUMPRODUCT(dFactor,tpSurvPan,INDEX(elecPan,1,3)*allOnes,OFFSET(tPrcElec,0,24,1,_maxLT))</f>
        <v>3558.8894404421035</v>
      </c>
      <c r="AD120" s="13">
        <f ca="1">SUMPRODUCT(dFactor,tpSurvPan,INDEX(elecPan,1,3)*allOnes,OFFSET(tPrcElec,0,25,1,_maxLT))</f>
        <v>3581.3663296368954</v>
      </c>
      <c r="AE120" s="13">
        <f ca="1">SUMPRODUCT(dFactor,tpSurvPan,INDEX(elecPan,1,3)*allOnes,OFFSET(tPrcElec,0,26,1,_maxLT))</f>
        <v>3603.9882530764939</v>
      </c>
      <c r="AF120" s="13">
        <f ca="1">SUMPRODUCT(dFactor,tpSurvPan,INDEX(elecPan,1,3)*allOnes,OFFSET(tPrcElec,0,27,1,_maxLT))</f>
        <v>3626.7561689922941</v>
      </c>
      <c r="AG120" s="13">
        <f ca="1">SUMPRODUCT(dFactor,tpSurvPan,INDEX(elecPan,1,3)*allOnes,OFFSET(tPrcElec,0,28,1,_maxLT))</f>
        <v>3649.6710421060557</v>
      </c>
      <c r="AH120" s="13">
        <f ca="1">SUMPRODUCT(dFactor,tpSurvPan,INDEX(elecPan,1,3)*allOnes,OFFSET(tPrcElec,0,29,1,_maxLT))</f>
        <v>3672.7338436749683</v>
      </c>
      <c r="AI120" s="13">
        <f ca="1">SUMPRODUCT(dFactor,tpSurvPan,INDEX(elecPan,1,3)*allOnes,OFFSET(tPrcElec,0,30,1,_maxLT))</f>
        <v>3695.9455515370378</v>
      </c>
      <c r="AJ120" s="13">
        <f ca="1">SUMPRODUCT(dFactor,tpSurvPan,INDEX(elecPan,1,3)*allOnes,OFFSET(tPrcElec,0,31,1,_maxLT))</f>
        <v>3719.3071501568038</v>
      </c>
      <c r="AK120" s="13">
        <f ca="1">SUMPRODUCT(dFactor,tpSurvPan,INDEX(elecPan,1,3)*allOnes,OFFSET(tPrcElec,0,32,1,_maxLT))</f>
        <v>3742.8196306713799</v>
      </c>
      <c r="AL120" s="56">
        <f ca="1">SUMPRODUCT(dFactor,tpSurvPan,INDEX(elecPan,1,3)*allOnes,OFFSET(tPrcElec,0,33,1,_maxLT))</f>
        <v>3766.4839909368065</v>
      </c>
      <c r="AM120" s="10"/>
    </row>
    <row r="121" spans="2:39" ht="15">
      <c r="B121" s="10"/>
      <c r="C121" s="16" t="s">
        <v>79</v>
      </c>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5"/>
      <c r="AM121" s="10"/>
    </row>
    <row r="122" spans="2:39" ht="15">
      <c r="B122" s="10"/>
      <c r="C122" s="28" t="str">
        <f>INDEX(_fuel,1)</f>
        <v>Electricity</v>
      </c>
      <c r="D122" s="12" t="s">
        <v>83</v>
      </c>
      <c r="E122" s="39">
        <f ca="1">SUMPRODUCT(OFFSET(tConvElecPan,0,0,1,_maxLT),INDEX(elecPan,1,3)*allOnes,tpSurvPan)</f>
        <v>567.3475294020501</v>
      </c>
      <c r="F122" s="39">
        <f ca="1">SUMPRODUCT(OFFSET(tConvElecPan,0,1,1,_maxLT),INDEX(elecPan,1,3)*allOnes,tpSurvPan)</f>
        <v>562.78031290871979</v>
      </c>
      <c r="G122" s="39">
        <f ca="1">SUMPRODUCT(OFFSET(tConvElecPan,0,2,1,_maxLT),INDEX(elecPan,1,3)*allOnes,tpSurvPan)</f>
        <v>558.74170019329961</v>
      </c>
      <c r="H122" s="39">
        <f ca="1">SUMPRODUCT(OFFSET(tConvElecPan,0,3,1,_maxLT),INDEX(elecPan,1,3)*allOnes,tpSurvPan)</f>
        <v>554.89395165124881</v>
      </c>
      <c r="I122" s="39">
        <f ca="1">SUMPRODUCT(OFFSET(tConvElecPan,0,4,1,_maxLT),INDEX(elecPan,1,3)*allOnes,tpSurvPan)</f>
        <v>551.51834775694215</v>
      </c>
      <c r="J122" s="39">
        <f ca="1">SUMPRODUCT(OFFSET(tConvElecPan,0,5,1,_maxLT),INDEX(elecPan,1,3)*allOnes,tpSurvPan)</f>
        <v>548.88399681438329</v>
      </c>
      <c r="K122" s="39">
        <f ca="1">SUMPRODUCT(OFFSET(tConvElecPan,0,6,1,_maxLT),INDEX(elecPan,1,3)*allOnes,tpSurvPan)</f>
        <v>546.68843644662968</v>
      </c>
      <c r="L122" s="39">
        <f ca="1">SUMPRODUCT(OFFSET(tConvElecPan,0,7,1,_maxLT),INDEX(elecPan,1,3)*allOnes,tpSurvPan)</f>
        <v>544.47560525496431</v>
      </c>
      <c r="M122" s="39">
        <f ca="1">SUMPRODUCT(OFFSET(tConvElecPan,0,8,1,_maxLT),INDEX(elecPan,1,3)*allOnes,tpSurvPan)</f>
        <v>542.69060851462166</v>
      </c>
      <c r="N122" s="39">
        <f ca="1">SUMPRODUCT(OFFSET(tConvElecPan,0,9,1,_maxLT),INDEX(elecPan,1,3)*allOnes,tpSurvPan)</f>
        <v>541.4420386736698</v>
      </c>
      <c r="O122" s="39">
        <f ca="1">SUMPRODUCT(OFFSET(tConvElecPan,0,10,1,_maxLT),INDEX(elecPan,1,3)*allOnes,tpSurvPan)</f>
        <v>540.51612811274754</v>
      </c>
      <c r="P122" s="39">
        <f ca="1">SUMPRODUCT(OFFSET(tConvElecPan,0,11,1,_maxLT),INDEX(elecPan,1,3)*allOnes,tpSurvPan)</f>
        <v>539.7285487614854</v>
      </c>
      <c r="Q122" s="39">
        <f ca="1">SUMPRODUCT(OFFSET(tConvElecPan,0,12,1,_maxLT),INDEX(elecPan,1,3)*allOnes,tpSurvPan)</f>
        <v>539.13911170281688</v>
      </c>
      <c r="R122" s="39">
        <f ca="1">SUMPRODUCT(OFFSET(tConvElecPan,0,13,1,_maxLT),INDEX(elecPan,1,3)*allOnes,tpSurvPan)</f>
        <v>538.68269809336141</v>
      </c>
      <c r="S122" s="39">
        <f ca="1">SUMPRODUCT(OFFSET(tConvElecPan,0,14,1,_maxLT),INDEX(elecPan,1,3)*allOnes,tpSurvPan)</f>
        <v>538.59571059553571</v>
      </c>
      <c r="T122" s="39">
        <f ca="1">SUMPRODUCT(OFFSET(tConvElecPan,0,15,1,_maxLT),INDEX(elecPan,1,3)*allOnes,tpSurvPan)</f>
        <v>538.67347351944318</v>
      </c>
      <c r="U122" s="39">
        <f ca="1">SUMPRODUCT(OFFSET(tConvElecPan,0,16,1,_maxLT),INDEX(elecPan,1,3)*allOnes,tpSurvPan)</f>
        <v>538.80476024476104</v>
      </c>
      <c r="V122" s="39">
        <f ca="1">SUMPRODUCT(OFFSET(tConvElecPan,0,17,1,_maxLT),INDEX(elecPan,1,3)*allOnes,tpSurvPan)</f>
        <v>539.00587929204175</v>
      </c>
      <c r="W122" s="39">
        <f ca="1">SUMPRODUCT(OFFSET(tConvElecPan,0,18,1,_maxLT),INDEX(elecPan,1,3)*allOnes,tpSurvPan)</f>
        <v>539.19968973599237</v>
      </c>
      <c r="X122" s="39">
        <f ca="1">SUMPRODUCT(OFFSET(tConvElecPan,0,19,1,_maxLT),INDEX(elecPan,1,3)*allOnes,tpSurvPan)</f>
        <v>539.3606598798782</v>
      </c>
      <c r="Y122" s="39">
        <f ca="1">SUMPRODUCT(OFFSET(tConvElecPan,0,20,1,_maxLT),INDEX(elecPan,1,3)*allOnes,tpSurvPan)</f>
        <v>539.46832963954182</v>
      </c>
      <c r="Z122" s="39">
        <f ca="1">SUMPRODUCT(OFFSET(tConvElecPan,0,21,1,_maxLT),INDEX(elecPan,1,3)*allOnes,tpSurvPan)</f>
        <v>539.54233831325553</v>
      </c>
      <c r="AA122" s="39">
        <f ca="1">SUMPRODUCT(OFFSET(tConvElecPan,0,22,1,_maxLT),INDEX(elecPan,1,3)*allOnes,tpSurvPan)</f>
        <v>539.54233831325553</v>
      </c>
      <c r="AB122" s="39">
        <f ca="1">SUMPRODUCT(OFFSET(tConvElecPan,0,23,1,_maxLT),INDEX(elecPan,1,3)*allOnes,tpSurvPan)</f>
        <v>539.54233831325553</v>
      </c>
      <c r="AC122" s="39">
        <f ca="1">SUMPRODUCT(OFFSET(tConvElecPan,0,24,1,_maxLT),INDEX(elecPan,1,3)*allOnes,tpSurvPan)</f>
        <v>539.54233831325553</v>
      </c>
      <c r="AD122" s="39">
        <f ca="1">SUMPRODUCT(OFFSET(tConvElecPan,0,25,1,_maxLT),INDEX(elecPan,1,3)*allOnes,tpSurvPan)</f>
        <v>539.54233831325553</v>
      </c>
      <c r="AE122" s="39">
        <f ca="1">SUMPRODUCT(OFFSET(tConvElecPan,0,26,1,_maxLT),INDEX(elecPan,1,3)*allOnes,tpSurvPan)</f>
        <v>539.54233831325553</v>
      </c>
      <c r="AF122" s="39">
        <f ca="1">SUMPRODUCT(OFFSET(tConvElecPan,0,27,1,_maxLT),INDEX(elecPan,1,3)*allOnes,tpSurvPan)</f>
        <v>539.54233831325553</v>
      </c>
      <c r="AG122" s="39">
        <f ca="1">SUMPRODUCT(OFFSET(tConvElecPan,0,28,1,_maxLT),INDEX(elecPan,1,3)*allOnes,tpSurvPan)</f>
        <v>539.54233831325553</v>
      </c>
      <c r="AH122" s="39">
        <f ca="1">SUMPRODUCT(OFFSET(tConvElecPan,0,29,1,_maxLT),INDEX(elecPan,1,3)*allOnes,tpSurvPan)</f>
        <v>539.54233831325553</v>
      </c>
      <c r="AI122" s="39">
        <f ca="1">SUMPRODUCT(OFFSET(tConvElecPan,0,30,1,_maxLT),INDEX(elecPan,1,3)*allOnes,tpSurvPan)</f>
        <v>539.54233831325553</v>
      </c>
      <c r="AJ122" s="39">
        <f ca="1">SUMPRODUCT(OFFSET(tConvElecPan,0,31,1,_maxLT),INDEX(elecPan,1,3)*allOnes,tpSurvPan)</f>
        <v>539.54233831325553</v>
      </c>
      <c r="AK122" s="39">
        <f ca="1">SUMPRODUCT(OFFSET(tConvElecPan,0,32,1,_maxLT),INDEX(elecPan,1,3)*allOnes,tpSurvPan)</f>
        <v>539.54233831325553</v>
      </c>
      <c r="AL122" s="40">
        <f ca="1">SUMPRODUCT(OFFSET(tConvElecPan,0,33,1,_maxLT),INDEX(elecPan,1,3)*allOnes,tpSurvPan)</f>
        <v>539.54233831325553</v>
      </c>
      <c r="AM122" s="10"/>
    </row>
    <row r="123" spans="2:39" ht="15">
      <c r="B123" s="10"/>
      <c r="C123" s="57" t="str">
        <f>"EL 3: " &amp; INDEX(_doName,2,4)</f>
        <v>EL 3: EL 3</v>
      </c>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3"/>
      <c r="AM123" s="10"/>
    </row>
    <row r="124" spans="2:39" ht="15">
      <c r="B124" s="10"/>
      <c r="C124" s="16" t="s">
        <v>69</v>
      </c>
      <c r="D124" s="12" t="str">
        <f>_yearDol &amp; "$"</f>
        <v>2015$</v>
      </c>
      <c r="E124" s="13">
        <f t="array" ref="E124:AL124">INDEX(mspPan,1,4)*tPIdxAll + INDEX(instPan,1,4) + IF(bESav,SUMPRODUCT(dFactor,tpSurvPan,INDEX(mrPan,1,4)*allOnes),0)</f>
        <v>1729.822977</v>
      </c>
      <c r="F124" s="13">
        <v>1729.822977</v>
      </c>
      <c r="G124" s="13">
        <v>1729.822977</v>
      </c>
      <c r="H124" s="13">
        <v>1729.822977</v>
      </c>
      <c r="I124" s="13">
        <v>1729.822977</v>
      </c>
      <c r="J124" s="13">
        <v>1729.822977</v>
      </c>
      <c r="K124" s="13">
        <v>1729.822977</v>
      </c>
      <c r="L124" s="13">
        <v>1729.822977</v>
      </c>
      <c r="M124" s="13">
        <v>1729.822977</v>
      </c>
      <c r="N124" s="13">
        <v>1729.822977</v>
      </c>
      <c r="O124" s="13">
        <v>1729.822977</v>
      </c>
      <c r="P124" s="13">
        <v>1729.822977</v>
      </c>
      <c r="Q124" s="13">
        <v>1729.822977</v>
      </c>
      <c r="R124" s="13">
        <v>1729.822977</v>
      </c>
      <c r="S124" s="13">
        <v>1729.822977</v>
      </c>
      <c r="T124" s="13">
        <v>1729.822977</v>
      </c>
      <c r="U124" s="13">
        <v>1729.822977</v>
      </c>
      <c r="V124" s="13">
        <v>1729.822977</v>
      </c>
      <c r="W124" s="13">
        <v>1729.822977</v>
      </c>
      <c r="X124" s="13">
        <v>1729.822977</v>
      </c>
      <c r="Y124" s="13">
        <v>1729.822977</v>
      </c>
      <c r="Z124" s="13">
        <v>1729.822977</v>
      </c>
      <c r="AA124" s="13">
        <v>1729.822977</v>
      </c>
      <c r="AB124" s="13">
        <v>1729.822977</v>
      </c>
      <c r="AC124" s="13">
        <v>1729.822977</v>
      </c>
      <c r="AD124" s="13">
        <v>1729.822977</v>
      </c>
      <c r="AE124" s="13">
        <v>1729.822977</v>
      </c>
      <c r="AF124" s="13">
        <v>1729.822977</v>
      </c>
      <c r="AG124" s="13">
        <v>1729.822977</v>
      </c>
      <c r="AH124" s="13">
        <v>1729.822977</v>
      </c>
      <c r="AI124" s="13">
        <v>1729.822977</v>
      </c>
      <c r="AJ124" s="13">
        <v>1729.822977</v>
      </c>
      <c r="AK124" s="13">
        <v>1729.822977</v>
      </c>
      <c r="AL124" s="56">
        <v>1729.822977</v>
      </c>
      <c r="AM124" s="10"/>
    </row>
    <row r="125" spans="2:39" ht="15">
      <c r="B125" s="10"/>
      <c r="C125" s="16" t="str">
        <f>zEO&amp;" Costs"</f>
        <v>Operating Costs</v>
      </c>
      <c r="D125" s="12" t="str">
        <f>_yearDol &amp; "$"</f>
        <v>2015$</v>
      </c>
      <c r="E125" s="13">
        <f t="array" aca="1" ref="E125:AL125" ca="1">(tlccEFuElecbc3) + IF(bOSav,SUMPRODUCT(dFactor,tpSurvPan,INDEX(mrPan,1,4)*allOnes),0)</f>
        <v>3020.3406172216214</v>
      </c>
      <c r="F125" s="13">
        <f ca="1"/>
        <v>3045.2392704377321</v>
      </c>
      <c r="G125" s="13">
        <f ca="1"/>
        <v>3069.3422518667794</v>
      </c>
      <c r="H125" s="13">
        <f ca="1"/>
        <v>3090.9466070750891</v>
      </c>
      <c r="I125" s="13">
        <f ca="1"/>
        <v>3110.413011226392</v>
      </c>
      <c r="J125" s="13">
        <f ca="1"/>
        <v>3130.0046233545413</v>
      </c>
      <c r="K125" s="13">
        <f ca="1"/>
        <v>3149.7222678459639</v>
      </c>
      <c r="L125" s="13">
        <f ca="1"/>
        <v>3169.5667746510426</v>
      </c>
      <c r="M125" s="13">
        <f ca="1"/>
        <v>3189.5389793225854</v>
      </c>
      <c r="N125" s="13">
        <f ca="1"/>
        <v>3209.6397230546359</v>
      </c>
      <c r="O125" s="13">
        <f ca="1"/>
        <v>3229.8698527214988</v>
      </c>
      <c r="P125" s="13">
        <f ca="1"/>
        <v>3250.2302209170757</v>
      </c>
      <c r="Q125" s="13">
        <f ca="1"/>
        <v>3270.7216859944751</v>
      </c>
      <c r="R125" s="13">
        <f ca="1"/>
        <v>3291.3451121058756</v>
      </c>
      <c r="S125" s="13">
        <f ca="1"/>
        <v>3312.1013692427291</v>
      </c>
      <c r="T125" s="13">
        <f ca="1"/>
        <v>3332.9913332761885</v>
      </c>
      <c r="U125" s="13">
        <f ca="1"/>
        <v>3354.0158859978551</v>
      </c>
      <c r="V125" s="13">
        <f ca="1"/>
        <v>3375.1759151608148</v>
      </c>
      <c r="W125" s="13">
        <f ca="1"/>
        <v>3396.4723145209523</v>
      </c>
      <c r="X125" s="13">
        <f ca="1"/>
        <v>3417.9059838785724</v>
      </c>
      <c r="Y125" s="13">
        <f ca="1"/>
        <v>3439.4778291203052</v>
      </c>
      <c r="Z125" s="13">
        <f ca="1"/>
        <v>3461.1887622613081</v>
      </c>
      <c r="AA125" s="13">
        <f ca="1"/>
        <v>3483.0397014877913</v>
      </c>
      <c r="AB125" s="13">
        <f ca="1"/>
        <v>3505.0315711998069</v>
      </c>
      <c r="AC125" s="13">
        <f ca="1"/>
        <v>3527.1653020543804</v>
      </c>
      <c r="AD125" s="13">
        <f ca="1"/>
        <v>3549.4418310089181</v>
      </c>
      <c r="AE125" s="13">
        <f ca="1"/>
        <v>3571.8621013649322</v>
      </c>
      <c r="AF125" s="13">
        <f ca="1"/>
        <v>3594.4270628120985</v>
      </c>
      <c r="AG125" s="13">
        <f ca="1"/>
        <v>3617.1376714725925</v>
      </c>
      <c r="AH125" s="13">
        <f ca="1"/>
        <v>3639.9948899457563</v>
      </c>
      <c r="AI125" s="13">
        <f ca="1"/>
        <v>3662.9996873531022</v>
      </c>
      <c r="AJ125" s="13">
        <f ca="1"/>
        <v>3686.1530393835965</v>
      </c>
      <c r="AK125" s="13">
        <f ca="1"/>
        <v>3709.4559283392978</v>
      </c>
      <c r="AL125" s="56">
        <f ca="1"/>
        <v>3732.9093431813048</v>
      </c>
      <c r="AM125" s="10"/>
    </row>
    <row r="126" spans="2:39" ht="15">
      <c r="B126" s="10"/>
      <c r="C126" s="28" t="str">
        <f>INDEX(_fuel,1)</f>
        <v>Electricity</v>
      </c>
      <c r="D126" s="12" t="str">
        <f>_yearDol &amp; "$"</f>
        <v>2015$</v>
      </c>
      <c r="E126" s="13">
        <f ca="1">SUMPRODUCT(dFactor,tpSurvPan,INDEX(elecPan,1,4)*allOnes,OFFSET(tPrcElec,0,0,1,_maxLT))</f>
        <v>3020.3406172216214</v>
      </c>
      <c r="F126" s="13">
        <f ca="1">SUMPRODUCT(dFactor,tpSurvPan,INDEX(elecPan,1,4)*allOnes,OFFSET(tPrcElec,0,1,1,_maxLT))</f>
        <v>3045.2392704377321</v>
      </c>
      <c r="G126" s="13">
        <f ca="1">SUMPRODUCT(dFactor,tpSurvPan,INDEX(elecPan,1,4)*allOnes,OFFSET(tPrcElec,0,2,1,_maxLT))</f>
        <v>3069.3422518667794</v>
      </c>
      <c r="H126" s="13">
        <f ca="1">SUMPRODUCT(dFactor,tpSurvPan,INDEX(elecPan,1,4)*allOnes,OFFSET(tPrcElec,0,3,1,_maxLT))</f>
        <v>3090.9466070750891</v>
      </c>
      <c r="I126" s="13">
        <f ca="1">SUMPRODUCT(dFactor,tpSurvPan,INDEX(elecPan,1,4)*allOnes,OFFSET(tPrcElec,0,4,1,_maxLT))</f>
        <v>3110.413011226392</v>
      </c>
      <c r="J126" s="13">
        <f ca="1">SUMPRODUCT(dFactor,tpSurvPan,INDEX(elecPan,1,4)*allOnes,OFFSET(tPrcElec,0,5,1,_maxLT))</f>
        <v>3130.0046233545413</v>
      </c>
      <c r="K126" s="13">
        <f ca="1">SUMPRODUCT(dFactor,tpSurvPan,INDEX(elecPan,1,4)*allOnes,OFFSET(tPrcElec,0,6,1,_maxLT))</f>
        <v>3149.7222678459639</v>
      </c>
      <c r="L126" s="13">
        <f ca="1">SUMPRODUCT(dFactor,tpSurvPan,INDEX(elecPan,1,4)*allOnes,OFFSET(tPrcElec,0,7,1,_maxLT))</f>
        <v>3169.5667746510426</v>
      </c>
      <c r="M126" s="13">
        <f ca="1">SUMPRODUCT(dFactor,tpSurvPan,INDEX(elecPan,1,4)*allOnes,OFFSET(tPrcElec,0,8,1,_maxLT))</f>
        <v>3189.5389793225854</v>
      </c>
      <c r="N126" s="13">
        <f ca="1">SUMPRODUCT(dFactor,tpSurvPan,INDEX(elecPan,1,4)*allOnes,OFFSET(tPrcElec,0,9,1,_maxLT))</f>
        <v>3209.6397230546359</v>
      </c>
      <c r="O126" s="13">
        <f ca="1">SUMPRODUCT(dFactor,tpSurvPan,INDEX(elecPan,1,4)*allOnes,OFFSET(tPrcElec,0,10,1,_maxLT))</f>
        <v>3229.8698527214988</v>
      </c>
      <c r="P126" s="13">
        <f ca="1">SUMPRODUCT(dFactor,tpSurvPan,INDEX(elecPan,1,4)*allOnes,OFFSET(tPrcElec,0,11,1,_maxLT))</f>
        <v>3250.2302209170757</v>
      </c>
      <c r="Q126" s="13">
        <f ca="1">SUMPRODUCT(dFactor,tpSurvPan,INDEX(elecPan,1,4)*allOnes,OFFSET(tPrcElec,0,12,1,_maxLT))</f>
        <v>3270.7216859944751</v>
      </c>
      <c r="R126" s="13">
        <f ca="1">SUMPRODUCT(dFactor,tpSurvPan,INDEX(elecPan,1,4)*allOnes,OFFSET(tPrcElec,0,13,1,_maxLT))</f>
        <v>3291.3451121058756</v>
      </c>
      <c r="S126" s="13">
        <f ca="1">SUMPRODUCT(dFactor,tpSurvPan,INDEX(elecPan,1,4)*allOnes,OFFSET(tPrcElec,0,14,1,_maxLT))</f>
        <v>3312.1013692427291</v>
      </c>
      <c r="T126" s="13">
        <f ca="1">SUMPRODUCT(dFactor,tpSurvPan,INDEX(elecPan,1,4)*allOnes,OFFSET(tPrcElec,0,15,1,_maxLT))</f>
        <v>3332.9913332761885</v>
      </c>
      <c r="U126" s="13">
        <f ca="1">SUMPRODUCT(dFactor,tpSurvPan,INDEX(elecPan,1,4)*allOnes,OFFSET(tPrcElec,0,16,1,_maxLT))</f>
        <v>3354.0158859978551</v>
      </c>
      <c r="V126" s="13">
        <f ca="1">SUMPRODUCT(dFactor,tpSurvPan,INDEX(elecPan,1,4)*allOnes,OFFSET(tPrcElec,0,17,1,_maxLT))</f>
        <v>3375.1759151608148</v>
      </c>
      <c r="W126" s="13">
        <f ca="1">SUMPRODUCT(dFactor,tpSurvPan,INDEX(elecPan,1,4)*allOnes,OFFSET(tPrcElec,0,18,1,_maxLT))</f>
        <v>3396.4723145209523</v>
      </c>
      <c r="X126" s="13">
        <f ca="1">SUMPRODUCT(dFactor,tpSurvPan,INDEX(elecPan,1,4)*allOnes,OFFSET(tPrcElec,0,19,1,_maxLT))</f>
        <v>3417.9059838785724</v>
      </c>
      <c r="Y126" s="13">
        <f ca="1">SUMPRODUCT(dFactor,tpSurvPan,INDEX(elecPan,1,4)*allOnes,OFFSET(tPrcElec,0,20,1,_maxLT))</f>
        <v>3439.4778291203052</v>
      </c>
      <c r="Z126" s="13">
        <f ca="1">SUMPRODUCT(dFactor,tpSurvPan,INDEX(elecPan,1,4)*allOnes,OFFSET(tPrcElec,0,21,1,_maxLT))</f>
        <v>3461.1887622613081</v>
      </c>
      <c r="AA126" s="13">
        <f ca="1">SUMPRODUCT(dFactor,tpSurvPan,INDEX(elecPan,1,4)*allOnes,OFFSET(tPrcElec,0,22,1,_maxLT))</f>
        <v>3483.0397014877913</v>
      </c>
      <c r="AB126" s="13">
        <f ca="1">SUMPRODUCT(dFactor,tpSurvPan,INDEX(elecPan,1,4)*allOnes,OFFSET(tPrcElec,0,23,1,_maxLT))</f>
        <v>3505.0315711998069</v>
      </c>
      <c r="AC126" s="13">
        <f ca="1">SUMPRODUCT(dFactor,tpSurvPan,INDEX(elecPan,1,4)*allOnes,OFFSET(tPrcElec,0,24,1,_maxLT))</f>
        <v>3527.1653020543804</v>
      </c>
      <c r="AD126" s="13">
        <f ca="1">SUMPRODUCT(dFactor,tpSurvPan,INDEX(elecPan,1,4)*allOnes,OFFSET(tPrcElec,0,25,1,_maxLT))</f>
        <v>3549.4418310089181</v>
      </c>
      <c r="AE126" s="13">
        <f ca="1">SUMPRODUCT(dFactor,tpSurvPan,INDEX(elecPan,1,4)*allOnes,OFFSET(tPrcElec,0,26,1,_maxLT))</f>
        <v>3571.8621013649322</v>
      </c>
      <c r="AF126" s="13">
        <f ca="1">SUMPRODUCT(dFactor,tpSurvPan,INDEX(elecPan,1,4)*allOnes,OFFSET(tPrcElec,0,27,1,_maxLT))</f>
        <v>3594.4270628120985</v>
      </c>
      <c r="AG126" s="13">
        <f ca="1">SUMPRODUCT(dFactor,tpSurvPan,INDEX(elecPan,1,4)*allOnes,OFFSET(tPrcElec,0,28,1,_maxLT))</f>
        <v>3617.1376714725925</v>
      </c>
      <c r="AH126" s="13">
        <f ca="1">SUMPRODUCT(dFactor,tpSurvPan,INDEX(elecPan,1,4)*allOnes,OFFSET(tPrcElec,0,29,1,_maxLT))</f>
        <v>3639.9948899457563</v>
      </c>
      <c r="AI126" s="13">
        <f ca="1">SUMPRODUCT(dFactor,tpSurvPan,INDEX(elecPan,1,4)*allOnes,OFFSET(tPrcElec,0,30,1,_maxLT))</f>
        <v>3662.9996873531022</v>
      </c>
      <c r="AJ126" s="13">
        <f ca="1">SUMPRODUCT(dFactor,tpSurvPan,INDEX(elecPan,1,4)*allOnes,OFFSET(tPrcElec,0,31,1,_maxLT))</f>
        <v>3686.1530393835965</v>
      </c>
      <c r="AK126" s="13">
        <f ca="1">SUMPRODUCT(dFactor,tpSurvPan,INDEX(elecPan,1,4)*allOnes,OFFSET(tPrcElec,0,32,1,_maxLT))</f>
        <v>3709.4559283392978</v>
      </c>
      <c r="AL126" s="56">
        <f ca="1">SUMPRODUCT(dFactor,tpSurvPan,INDEX(elecPan,1,4)*allOnes,OFFSET(tPrcElec,0,33,1,_maxLT))</f>
        <v>3732.9093431813048</v>
      </c>
      <c r="AM126" s="10"/>
    </row>
    <row r="127" spans="2:39" ht="15">
      <c r="B127" s="10"/>
      <c r="C127" s="16" t="s">
        <v>79</v>
      </c>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5"/>
      <c r="AM127" s="10"/>
    </row>
    <row r="128" spans="2:39" ht="15">
      <c r="B128" s="10"/>
      <c r="C128" s="28" t="str">
        <f>INDEX(_fuel,1)</f>
        <v>Electricity</v>
      </c>
      <c r="D128" s="12" t="s">
        <v>83</v>
      </c>
      <c r="E128" s="39">
        <f ca="1">SUMPRODUCT(OFFSET(tConvElecPan,0,0,1,_maxLT),INDEX(elecPan,1,4)*allOnes,tpSurvPan)</f>
        <v>562.29016197384271</v>
      </c>
      <c r="F128" s="39">
        <f ca="1">SUMPRODUCT(OFFSET(tConvElecPan,0,1,1,_maxLT),INDEX(elecPan,1,4)*allOnes,tpSurvPan)</f>
        <v>557.76365790232455</v>
      </c>
      <c r="G128" s="39">
        <f ca="1">SUMPRODUCT(OFFSET(tConvElecPan,0,2,1,_maxLT),INDEX(elecPan,1,4)*allOnes,tpSurvPan)</f>
        <v>553.76104560524323</v>
      </c>
      <c r="H128" s="39">
        <f ca="1">SUMPRODUCT(OFFSET(tConvElecPan,0,3,1,_maxLT),INDEX(elecPan,1,4)*allOnes,tpSurvPan)</f>
        <v>549.94759610767585</v>
      </c>
      <c r="I128" s="39">
        <f ca="1">SUMPRODUCT(OFFSET(tConvElecPan,0,4,1,_maxLT),INDEX(elecPan,1,4)*allOnes,tpSurvPan)</f>
        <v>546.60208253420569</v>
      </c>
      <c r="J128" s="39">
        <f ca="1">SUMPRODUCT(OFFSET(tConvElecPan,0,5,1,_maxLT),INDEX(elecPan,1,4)*allOnes,tpSurvPan)</f>
        <v>543.99121434244944</v>
      </c>
      <c r="K128" s="39">
        <f ca="1">SUMPRODUCT(OFFSET(tConvElecPan,0,6,1,_maxLT),INDEX(elecPan,1,4)*allOnes,tpSurvPan)</f>
        <v>541.81522532191264</v>
      </c>
      <c r="L128" s="39">
        <f ca="1">SUMPRODUCT(OFFSET(tConvElecPan,0,7,1,_maxLT),INDEX(elecPan,1,4)*allOnes,tpSurvPan)</f>
        <v>539.62211943054888</v>
      </c>
      <c r="M128" s="39">
        <f ca="1">SUMPRODUCT(OFFSET(tConvElecPan,0,8,1,_maxLT),INDEX(elecPan,1,4)*allOnes,tpSurvPan)</f>
        <v>537.85303425041616</v>
      </c>
      <c r="N128" s="39">
        <f ca="1">SUMPRODUCT(OFFSET(tConvElecPan,0,9,1,_maxLT),INDEX(elecPan,1,4)*allOnes,tpSurvPan)</f>
        <v>536.61559423046151</v>
      </c>
      <c r="O128" s="39">
        <f ca="1">SUMPRODUCT(OFFSET(tConvElecPan,0,10,1,_maxLT),INDEX(elecPan,1,4)*allOnes,tpSurvPan)</f>
        <v>535.69793728777074</v>
      </c>
      <c r="P128" s="39">
        <f ca="1">SUMPRODUCT(OFFSET(tConvElecPan,0,11,1,_maxLT),INDEX(elecPan,1,4)*allOnes,tpSurvPan)</f>
        <v>534.91737846264425</v>
      </c>
      <c r="Q128" s="39">
        <f ca="1">SUMPRODUCT(OFFSET(tConvElecPan,0,12,1,_maxLT),INDEX(elecPan,1,4)*allOnes,tpSurvPan)</f>
        <v>534.33319567869626</v>
      </c>
      <c r="R128" s="39">
        <f ca="1">SUMPRODUCT(OFFSET(tConvElecPan,0,13,1,_maxLT),INDEX(elecPan,1,4)*allOnes,tpSurvPan)</f>
        <v>533.88085056553746</v>
      </c>
      <c r="S128" s="39">
        <f ca="1">SUMPRODUCT(OFFSET(tConvElecPan,0,14,1,_maxLT),INDEX(elecPan,1,4)*allOnes,tpSurvPan)</f>
        <v>533.79463847910483</v>
      </c>
      <c r="T128" s="39">
        <f ca="1">SUMPRODUCT(OFFSET(tConvElecPan,0,15,1,_maxLT),INDEX(elecPan,1,4)*allOnes,tpSurvPan)</f>
        <v>533.87170821998404</v>
      </c>
      <c r="U128" s="39">
        <f ca="1">SUMPRODUCT(OFFSET(tConvElecPan,0,16,1,_maxLT),INDEX(elecPan,1,4)*allOnes,tpSurvPan)</f>
        <v>534.00182464813145</v>
      </c>
      <c r="V128" s="39">
        <f ca="1">SUMPRODUCT(OFFSET(tConvElecPan,0,17,1,_maxLT),INDEX(elecPan,1,4)*allOnes,tpSurvPan)</f>
        <v>534.20115090904017</v>
      </c>
      <c r="W128" s="39">
        <f ca="1">SUMPRODUCT(OFFSET(tConvElecPan,0,18,1,_maxLT),INDEX(elecPan,1,4)*allOnes,tpSurvPan)</f>
        <v>534.39323371591524</v>
      </c>
      <c r="X128" s="39">
        <f ca="1">SUMPRODUCT(OFFSET(tConvElecPan,0,19,1,_maxLT),INDEX(elecPan,1,4)*allOnes,tpSurvPan)</f>
        <v>534.55276896298665</v>
      </c>
      <c r="Y128" s="39">
        <f ca="1">SUMPRODUCT(OFFSET(tConvElecPan,0,20,1,_maxLT),INDEX(elecPan,1,4)*allOnes,tpSurvPan)</f>
        <v>534.65947894842498</v>
      </c>
      <c r="Z128" s="39">
        <f ca="1">SUMPRODUCT(OFFSET(tConvElecPan,0,21,1,_maxLT),INDEX(elecPan,1,4)*allOnes,tpSurvPan)</f>
        <v>534.73282790470546</v>
      </c>
      <c r="AA128" s="39">
        <f ca="1">SUMPRODUCT(OFFSET(tConvElecPan,0,22,1,_maxLT),INDEX(elecPan,1,4)*allOnes,tpSurvPan)</f>
        <v>534.73282790470546</v>
      </c>
      <c r="AB128" s="39">
        <f ca="1">SUMPRODUCT(OFFSET(tConvElecPan,0,23,1,_maxLT),INDEX(elecPan,1,4)*allOnes,tpSurvPan)</f>
        <v>534.73282790470546</v>
      </c>
      <c r="AC128" s="39">
        <f ca="1">SUMPRODUCT(OFFSET(tConvElecPan,0,24,1,_maxLT),INDEX(elecPan,1,4)*allOnes,tpSurvPan)</f>
        <v>534.73282790470546</v>
      </c>
      <c r="AD128" s="39">
        <f ca="1">SUMPRODUCT(OFFSET(tConvElecPan,0,25,1,_maxLT),INDEX(elecPan,1,4)*allOnes,tpSurvPan)</f>
        <v>534.73282790470546</v>
      </c>
      <c r="AE128" s="39">
        <f ca="1">SUMPRODUCT(OFFSET(tConvElecPan,0,26,1,_maxLT),INDEX(elecPan,1,4)*allOnes,tpSurvPan)</f>
        <v>534.73282790470546</v>
      </c>
      <c r="AF128" s="39">
        <f ca="1">SUMPRODUCT(OFFSET(tConvElecPan,0,27,1,_maxLT),INDEX(elecPan,1,4)*allOnes,tpSurvPan)</f>
        <v>534.73282790470546</v>
      </c>
      <c r="AG128" s="39">
        <f ca="1">SUMPRODUCT(OFFSET(tConvElecPan,0,28,1,_maxLT),INDEX(elecPan,1,4)*allOnes,tpSurvPan)</f>
        <v>534.73282790470546</v>
      </c>
      <c r="AH128" s="39">
        <f ca="1">SUMPRODUCT(OFFSET(tConvElecPan,0,29,1,_maxLT),INDEX(elecPan,1,4)*allOnes,tpSurvPan)</f>
        <v>534.73282790470546</v>
      </c>
      <c r="AI128" s="39">
        <f ca="1">SUMPRODUCT(OFFSET(tConvElecPan,0,30,1,_maxLT),INDEX(elecPan,1,4)*allOnes,tpSurvPan)</f>
        <v>534.73282790470546</v>
      </c>
      <c r="AJ128" s="39">
        <f ca="1">SUMPRODUCT(OFFSET(tConvElecPan,0,31,1,_maxLT),INDEX(elecPan,1,4)*allOnes,tpSurvPan)</f>
        <v>534.73282790470546</v>
      </c>
      <c r="AK128" s="39">
        <f ca="1">SUMPRODUCT(OFFSET(tConvElecPan,0,32,1,_maxLT),INDEX(elecPan,1,4)*allOnes,tpSurvPan)</f>
        <v>534.73282790470546</v>
      </c>
      <c r="AL128" s="40">
        <f ca="1">SUMPRODUCT(OFFSET(tConvElecPan,0,33,1,_maxLT),INDEX(elecPan,1,4)*allOnes,tpSurvPan)</f>
        <v>534.73282790470546</v>
      </c>
      <c r="AM128" s="10"/>
    </row>
    <row r="129" spans="2:39" ht="15">
      <c r="B129" s="10"/>
      <c r="C129" s="57" t="str">
        <f>"EL 4: " &amp; INDEX(_doName,2,5)</f>
        <v>EL 4: EL 4</v>
      </c>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3"/>
      <c r="AM129" s="10"/>
    </row>
    <row r="130" spans="2:39" ht="15">
      <c r="B130" s="10"/>
      <c r="C130" s="16" t="s">
        <v>69</v>
      </c>
      <c r="D130" s="12" t="str">
        <f>_yearDol &amp; "$"</f>
        <v>2015$</v>
      </c>
      <c r="E130" s="13">
        <f t="array" ref="E130:AL130">INDEX(mspPan,1,5)*tPIdxAll + INDEX(instPan,1,5) + IF(bESav,SUMPRODUCT(dFactor,tpSurvPan,INDEX(mrPan,1,5)*allOnes),0)</f>
        <v>1753.7208619999999</v>
      </c>
      <c r="F130" s="13">
        <v>1753.7208619999999</v>
      </c>
      <c r="G130" s="13">
        <v>1753.7208619999999</v>
      </c>
      <c r="H130" s="13">
        <v>1753.7208619999999</v>
      </c>
      <c r="I130" s="13">
        <v>1753.7208619999999</v>
      </c>
      <c r="J130" s="13">
        <v>1753.7208619999999</v>
      </c>
      <c r="K130" s="13">
        <v>1753.7208619999999</v>
      </c>
      <c r="L130" s="13">
        <v>1753.7208619999999</v>
      </c>
      <c r="M130" s="13">
        <v>1753.7208619999999</v>
      </c>
      <c r="N130" s="13">
        <v>1753.7208619999999</v>
      </c>
      <c r="O130" s="13">
        <v>1753.7208619999999</v>
      </c>
      <c r="P130" s="13">
        <v>1753.7208619999999</v>
      </c>
      <c r="Q130" s="13">
        <v>1753.7208619999999</v>
      </c>
      <c r="R130" s="13">
        <v>1753.7208619999999</v>
      </c>
      <c r="S130" s="13">
        <v>1753.7208619999999</v>
      </c>
      <c r="T130" s="13">
        <v>1753.7208619999999</v>
      </c>
      <c r="U130" s="13">
        <v>1753.7208619999999</v>
      </c>
      <c r="V130" s="13">
        <v>1753.7208619999999</v>
      </c>
      <c r="W130" s="13">
        <v>1753.7208619999999</v>
      </c>
      <c r="X130" s="13">
        <v>1753.7208619999999</v>
      </c>
      <c r="Y130" s="13">
        <v>1753.7208619999999</v>
      </c>
      <c r="Z130" s="13">
        <v>1753.7208619999999</v>
      </c>
      <c r="AA130" s="13">
        <v>1753.7208619999999</v>
      </c>
      <c r="AB130" s="13">
        <v>1753.7208619999999</v>
      </c>
      <c r="AC130" s="13">
        <v>1753.7208619999999</v>
      </c>
      <c r="AD130" s="13">
        <v>1753.7208619999999</v>
      </c>
      <c r="AE130" s="13">
        <v>1753.7208619999999</v>
      </c>
      <c r="AF130" s="13">
        <v>1753.7208619999999</v>
      </c>
      <c r="AG130" s="13">
        <v>1753.7208619999999</v>
      </c>
      <c r="AH130" s="13">
        <v>1753.7208619999999</v>
      </c>
      <c r="AI130" s="13">
        <v>1753.7208619999999</v>
      </c>
      <c r="AJ130" s="13">
        <v>1753.7208619999999</v>
      </c>
      <c r="AK130" s="13">
        <v>1753.7208619999999</v>
      </c>
      <c r="AL130" s="56">
        <v>1753.7208619999999</v>
      </c>
      <c r="AM130" s="10"/>
    </row>
    <row r="131" spans="2:39" ht="15">
      <c r="B131" s="10"/>
      <c r="C131" s="16" t="str">
        <f>zEO&amp;" Costs"</f>
        <v>Operating Costs</v>
      </c>
      <c r="D131" s="12" t="str">
        <f>_yearDol &amp; "$"</f>
        <v>2015$</v>
      </c>
      <c r="E131" s="13">
        <f t="array" aca="1" ref="E131:AL131" ca="1">(tlccEFuElecbc4) + IF(bOSav,SUMPRODUCT(dFactor,tpSurvPan,INDEX(mrPan,1,5)*allOnes),0)</f>
        <v>2995.003677380324</v>
      </c>
      <c r="F131" s="13">
        <f ca="1"/>
        <v>3019.6934615453533</v>
      </c>
      <c r="G131" s="13">
        <f ca="1"/>
        <v>3043.5942486301656</v>
      </c>
      <c r="H131" s="13">
        <f ca="1"/>
        <v>3065.0173698925087</v>
      </c>
      <c r="I131" s="13">
        <f ca="1"/>
        <v>3084.3204748754665</v>
      </c>
      <c r="J131" s="13">
        <f ca="1"/>
        <v>3103.7477374944715</v>
      </c>
      <c r="K131" s="13">
        <f ca="1"/>
        <v>3123.29997522037</v>
      </c>
      <c r="L131" s="13">
        <f ca="1"/>
        <v>3142.9780110412671</v>
      </c>
      <c r="M131" s="13">
        <f ca="1"/>
        <v>3162.7826735007243</v>
      </c>
      <c r="N131" s="13">
        <f ca="1"/>
        <v>3182.7147967361989</v>
      </c>
      <c r="O131" s="13">
        <f ca="1"/>
        <v>3202.7752205177635</v>
      </c>
      <c r="P131" s="13">
        <f ca="1"/>
        <v>3222.9647902871066</v>
      </c>
      <c r="Q131" s="13">
        <f ca="1"/>
        <v>3243.2843571968015</v>
      </c>
      <c r="R131" s="13">
        <f ca="1"/>
        <v>3263.7347781498715</v>
      </c>
      <c r="S131" s="13">
        <f ca="1"/>
        <v>3284.3169158395976</v>
      </c>
      <c r="T131" s="13">
        <f ca="1"/>
        <v>3305.0316387896546</v>
      </c>
      <c r="U131" s="13">
        <f ca="1"/>
        <v>3325.8798213945015</v>
      </c>
      <c r="V131" s="13">
        <f ca="1"/>
        <v>3346.8623439600642</v>
      </c>
      <c r="W131" s="13">
        <f ca="1"/>
        <v>3367.9800927447177</v>
      </c>
      <c r="X131" s="13">
        <f ca="1"/>
        <v>3389.2339600005503</v>
      </c>
      <c r="Y131" s="13">
        <f ca="1"/>
        <v>3410.6248440149147</v>
      </c>
      <c r="Z131" s="13">
        <f ca="1"/>
        <v>3432.1536491522897</v>
      </c>
      <c r="AA131" s="13">
        <f ca="1"/>
        <v>3453.8212858964307</v>
      </c>
      <c r="AB131" s="13">
        <f ca="1"/>
        <v>3475.6286708928146</v>
      </c>
      <c r="AC131" s="13">
        <f ca="1"/>
        <v>3497.5767269913918</v>
      </c>
      <c r="AD131" s="13">
        <f ca="1"/>
        <v>3519.666383289652</v>
      </c>
      <c r="AE131" s="13">
        <f ca="1"/>
        <v>3541.8985751759769</v>
      </c>
      <c r="AF131" s="13">
        <f ca="1"/>
        <v>3564.2742443733055</v>
      </c>
      <c r="AG131" s="13">
        <f ca="1"/>
        <v>3586.7943389831262</v>
      </c>
      <c r="AH131" s="13">
        <f ca="1"/>
        <v>3609.4598135297642</v>
      </c>
      <c r="AI131" s="13">
        <f ca="1"/>
        <v>3632.2716290049925</v>
      </c>
      <c r="AJ131" s="13">
        <f ca="1"/>
        <v>3655.2307529129448</v>
      </c>
      <c r="AK131" s="13">
        <f ca="1"/>
        <v>3678.3381593153745</v>
      </c>
      <c r="AL131" s="56">
        <f ca="1"/>
        <v>3701.5948288772206</v>
      </c>
      <c r="AM131" s="10"/>
    </row>
    <row r="132" spans="2:39" ht="15">
      <c r="B132" s="10"/>
      <c r="C132" s="28" t="str">
        <f>INDEX(_fuel,1)</f>
        <v>Electricity</v>
      </c>
      <c r="D132" s="12" t="str">
        <f>_yearDol &amp; "$"</f>
        <v>2015$</v>
      </c>
      <c r="E132" s="13">
        <f ca="1">SUMPRODUCT(dFactor,tpSurvPan,INDEX(elecPan,1,5)*allOnes,OFFSET(tPrcElec,0,0,1,_maxLT))</f>
        <v>2995.003677380324</v>
      </c>
      <c r="F132" s="13">
        <f ca="1">SUMPRODUCT(dFactor,tpSurvPan,INDEX(elecPan,1,5)*allOnes,OFFSET(tPrcElec,0,1,1,_maxLT))</f>
        <v>3019.6934615453533</v>
      </c>
      <c r="G132" s="13">
        <f ca="1">SUMPRODUCT(dFactor,tpSurvPan,INDEX(elecPan,1,5)*allOnes,OFFSET(tPrcElec,0,2,1,_maxLT))</f>
        <v>3043.5942486301656</v>
      </c>
      <c r="H132" s="13">
        <f ca="1">SUMPRODUCT(dFactor,tpSurvPan,INDEX(elecPan,1,5)*allOnes,OFFSET(tPrcElec,0,3,1,_maxLT))</f>
        <v>3065.0173698925087</v>
      </c>
      <c r="I132" s="13">
        <f ca="1">SUMPRODUCT(dFactor,tpSurvPan,INDEX(elecPan,1,5)*allOnes,OFFSET(tPrcElec,0,4,1,_maxLT))</f>
        <v>3084.3204748754665</v>
      </c>
      <c r="J132" s="13">
        <f ca="1">SUMPRODUCT(dFactor,tpSurvPan,INDEX(elecPan,1,5)*allOnes,OFFSET(tPrcElec,0,5,1,_maxLT))</f>
        <v>3103.7477374944715</v>
      </c>
      <c r="K132" s="13">
        <f ca="1">SUMPRODUCT(dFactor,tpSurvPan,INDEX(elecPan,1,5)*allOnes,OFFSET(tPrcElec,0,6,1,_maxLT))</f>
        <v>3123.29997522037</v>
      </c>
      <c r="L132" s="13">
        <f ca="1">SUMPRODUCT(dFactor,tpSurvPan,INDEX(elecPan,1,5)*allOnes,OFFSET(tPrcElec,0,7,1,_maxLT))</f>
        <v>3142.9780110412671</v>
      </c>
      <c r="M132" s="13">
        <f ca="1">SUMPRODUCT(dFactor,tpSurvPan,INDEX(elecPan,1,5)*allOnes,OFFSET(tPrcElec,0,8,1,_maxLT))</f>
        <v>3162.7826735007243</v>
      </c>
      <c r="N132" s="13">
        <f ca="1">SUMPRODUCT(dFactor,tpSurvPan,INDEX(elecPan,1,5)*allOnes,OFFSET(tPrcElec,0,9,1,_maxLT))</f>
        <v>3182.7147967361989</v>
      </c>
      <c r="O132" s="13">
        <f ca="1">SUMPRODUCT(dFactor,tpSurvPan,INDEX(elecPan,1,5)*allOnes,OFFSET(tPrcElec,0,10,1,_maxLT))</f>
        <v>3202.7752205177635</v>
      </c>
      <c r="P132" s="13">
        <f ca="1">SUMPRODUCT(dFactor,tpSurvPan,INDEX(elecPan,1,5)*allOnes,OFFSET(tPrcElec,0,11,1,_maxLT))</f>
        <v>3222.9647902871066</v>
      </c>
      <c r="Q132" s="13">
        <f ca="1">SUMPRODUCT(dFactor,tpSurvPan,INDEX(elecPan,1,5)*allOnes,OFFSET(tPrcElec,0,12,1,_maxLT))</f>
        <v>3243.2843571968015</v>
      </c>
      <c r="R132" s="13">
        <f ca="1">SUMPRODUCT(dFactor,tpSurvPan,INDEX(elecPan,1,5)*allOnes,OFFSET(tPrcElec,0,13,1,_maxLT))</f>
        <v>3263.7347781498715</v>
      </c>
      <c r="S132" s="13">
        <f ca="1">SUMPRODUCT(dFactor,tpSurvPan,INDEX(elecPan,1,5)*allOnes,OFFSET(tPrcElec,0,14,1,_maxLT))</f>
        <v>3284.3169158395976</v>
      </c>
      <c r="T132" s="13">
        <f ca="1">SUMPRODUCT(dFactor,tpSurvPan,INDEX(elecPan,1,5)*allOnes,OFFSET(tPrcElec,0,15,1,_maxLT))</f>
        <v>3305.0316387896546</v>
      </c>
      <c r="U132" s="13">
        <f ca="1">SUMPRODUCT(dFactor,tpSurvPan,INDEX(elecPan,1,5)*allOnes,OFFSET(tPrcElec,0,16,1,_maxLT))</f>
        <v>3325.8798213945015</v>
      </c>
      <c r="V132" s="13">
        <f ca="1">SUMPRODUCT(dFactor,tpSurvPan,INDEX(elecPan,1,5)*allOnes,OFFSET(tPrcElec,0,17,1,_maxLT))</f>
        <v>3346.8623439600642</v>
      </c>
      <c r="W132" s="13">
        <f ca="1">SUMPRODUCT(dFactor,tpSurvPan,INDEX(elecPan,1,5)*allOnes,OFFSET(tPrcElec,0,18,1,_maxLT))</f>
        <v>3367.9800927447177</v>
      </c>
      <c r="X132" s="13">
        <f ca="1">SUMPRODUCT(dFactor,tpSurvPan,INDEX(elecPan,1,5)*allOnes,OFFSET(tPrcElec,0,19,1,_maxLT))</f>
        <v>3389.2339600005503</v>
      </c>
      <c r="Y132" s="13">
        <f ca="1">SUMPRODUCT(dFactor,tpSurvPan,INDEX(elecPan,1,5)*allOnes,OFFSET(tPrcElec,0,20,1,_maxLT))</f>
        <v>3410.6248440149147</v>
      </c>
      <c r="Z132" s="13">
        <f ca="1">SUMPRODUCT(dFactor,tpSurvPan,INDEX(elecPan,1,5)*allOnes,OFFSET(tPrcElec,0,21,1,_maxLT))</f>
        <v>3432.1536491522897</v>
      </c>
      <c r="AA132" s="13">
        <f ca="1">SUMPRODUCT(dFactor,tpSurvPan,INDEX(elecPan,1,5)*allOnes,OFFSET(tPrcElec,0,22,1,_maxLT))</f>
        <v>3453.8212858964307</v>
      </c>
      <c r="AB132" s="13">
        <f ca="1">SUMPRODUCT(dFactor,tpSurvPan,INDEX(elecPan,1,5)*allOnes,OFFSET(tPrcElec,0,23,1,_maxLT))</f>
        <v>3475.6286708928146</v>
      </c>
      <c r="AC132" s="13">
        <f ca="1">SUMPRODUCT(dFactor,tpSurvPan,INDEX(elecPan,1,5)*allOnes,OFFSET(tPrcElec,0,24,1,_maxLT))</f>
        <v>3497.5767269913918</v>
      </c>
      <c r="AD132" s="13">
        <f ca="1">SUMPRODUCT(dFactor,tpSurvPan,INDEX(elecPan,1,5)*allOnes,OFFSET(tPrcElec,0,25,1,_maxLT))</f>
        <v>3519.666383289652</v>
      </c>
      <c r="AE132" s="13">
        <f ca="1">SUMPRODUCT(dFactor,tpSurvPan,INDEX(elecPan,1,5)*allOnes,OFFSET(tPrcElec,0,26,1,_maxLT))</f>
        <v>3541.8985751759769</v>
      </c>
      <c r="AF132" s="13">
        <f ca="1">SUMPRODUCT(dFactor,tpSurvPan,INDEX(elecPan,1,5)*allOnes,OFFSET(tPrcElec,0,27,1,_maxLT))</f>
        <v>3564.2742443733055</v>
      </c>
      <c r="AG132" s="13">
        <f ca="1">SUMPRODUCT(dFactor,tpSurvPan,INDEX(elecPan,1,5)*allOnes,OFFSET(tPrcElec,0,28,1,_maxLT))</f>
        <v>3586.7943389831262</v>
      </c>
      <c r="AH132" s="13">
        <f ca="1">SUMPRODUCT(dFactor,tpSurvPan,INDEX(elecPan,1,5)*allOnes,OFFSET(tPrcElec,0,29,1,_maxLT))</f>
        <v>3609.4598135297642</v>
      </c>
      <c r="AI132" s="13">
        <f ca="1">SUMPRODUCT(dFactor,tpSurvPan,INDEX(elecPan,1,5)*allOnes,OFFSET(tPrcElec,0,30,1,_maxLT))</f>
        <v>3632.2716290049925</v>
      </c>
      <c r="AJ132" s="13">
        <f ca="1">SUMPRODUCT(dFactor,tpSurvPan,INDEX(elecPan,1,5)*allOnes,OFFSET(tPrcElec,0,31,1,_maxLT))</f>
        <v>3655.2307529129448</v>
      </c>
      <c r="AK132" s="13">
        <f ca="1">SUMPRODUCT(dFactor,tpSurvPan,INDEX(elecPan,1,5)*allOnes,OFFSET(tPrcElec,0,32,1,_maxLT))</f>
        <v>3678.3381593153745</v>
      </c>
      <c r="AL132" s="56">
        <f ca="1">SUMPRODUCT(dFactor,tpSurvPan,INDEX(elecPan,1,5)*allOnes,OFFSET(tPrcElec,0,33,1,_maxLT))</f>
        <v>3701.5948288772206</v>
      </c>
      <c r="AM132" s="10"/>
    </row>
    <row r="133" spans="2:39" ht="15">
      <c r="B133" s="10"/>
      <c r="C133" s="16" t="s">
        <v>79</v>
      </c>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5"/>
      <c r="AM133" s="10"/>
    </row>
    <row r="134" spans="2:39" ht="15">
      <c r="B134" s="10"/>
      <c r="C134" s="28" t="str">
        <f>INDEX(_fuel,1)</f>
        <v>Electricity</v>
      </c>
      <c r="D134" s="12" t="s">
        <v>83</v>
      </c>
      <c r="E134" s="39">
        <f ca="1">SUMPRODUCT(OFFSET(tConvElecPan,0,0,1,_maxLT),INDEX(elecPan,1,5)*allOnes,tpSurvPan)</f>
        <v>557.57323967506284</v>
      </c>
      <c r="F134" s="39">
        <f ca="1">SUMPRODUCT(OFFSET(tConvElecPan,0,1,1,_maxLT),INDEX(elecPan,1,5)*allOnes,tpSurvPan)</f>
        <v>553.08470740073085</v>
      </c>
      <c r="G134" s="39">
        <f ca="1">SUMPRODUCT(OFFSET(tConvElecPan,0,2,1,_maxLT),INDEX(elecPan,1,5)*allOnes,tpSurvPan)</f>
        <v>549.11567209374198</v>
      </c>
      <c r="H134" s="39">
        <f ca="1">SUMPRODUCT(OFFSET(tConvElecPan,0,3,1,_maxLT),INDEX(elecPan,1,5)*allOnes,tpSurvPan)</f>
        <v>545.33421274323166</v>
      </c>
      <c r="I134" s="39">
        <f ca="1">SUMPRODUCT(OFFSET(tConvElecPan,0,4,1,_maxLT),INDEX(elecPan,1,5)*allOnes,tpSurvPan)</f>
        <v>542.01676391042884</v>
      </c>
      <c r="J134" s="39">
        <f ca="1">SUMPRODUCT(OFFSET(tConvElecPan,0,5,1,_maxLT),INDEX(elecPan,1,5)*allOnes,tpSurvPan)</f>
        <v>539.42779768891091</v>
      </c>
      <c r="K134" s="39">
        <f ca="1">SUMPRODUCT(OFFSET(tConvElecPan,0,6,1,_maxLT),INDEX(elecPan,1,5)*allOnes,tpSurvPan)</f>
        <v>537.27006253768752</v>
      </c>
      <c r="L134" s="39">
        <f ca="1">SUMPRODUCT(OFFSET(tConvElecPan,0,7,1,_maxLT),INDEX(elecPan,1,5)*allOnes,tpSurvPan)</f>
        <v>535.09535410511296</v>
      </c>
      <c r="M134" s="39">
        <f ca="1">SUMPRODUCT(OFFSET(tConvElecPan,0,8,1,_maxLT),INDEX(elecPan,1,5)*allOnes,tpSurvPan)</f>
        <v>533.3411093719576</v>
      </c>
      <c r="N134" s="39">
        <f ca="1">SUMPRODUCT(OFFSET(tConvElecPan,0,9,1,_maxLT),INDEX(elecPan,1,5)*allOnes,tpSurvPan)</f>
        <v>532.11404995052362</v>
      </c>
      <c r="O134" s="39">
        <f ca="1">SUMPRODUCT(OFFSET(tConvElecPan,0,10,1,_maxLT),INDEX(elecPan,1,5)*allOnes,tpSurvPan)</f>
        <v>531.20409101997723</v>
      </c>
      <c r="P134" s="39">
        <f ca="1">SUMPRODUCT(OFFSET(tConvElecPan,0,11,1,_maxLT),INDEX(elecPan,1,5)*allOnes,tpSurvPan)</f>
        <v>530.43008012255223</v>
      </c>
      <c r="Q134" s="39">
        <f ca="1">SUMPRODUCT(OFFSET(tConvElecPan,0,12,1,_maxLT),INDEX(elecPan,1,5)*allOnes,tpSurvPan)</f>
        <v>529.85079791305225</v>
      </c>
      <c r="R134" s="39">
        <f ca="1">SUMPRODUCT(OFFSET(tConvElecPan,0,13,1,_maxLT),INDEX(elecPan,1,5)*allOnes,tpSurvPan)</f>
        <v>529.40224741857116</v>
      </c>
      <c r="S134" s="39">
        <f ca="1">SUMPRODUCT(OFFSET(tConvElecPan,0,14,1,_maxLT),INDEX(elecPan,1,5)*allOnes,tpSurvPan)</f>
        <v>529.3167585454197</v>
      </c>
      <c r="T134" s="39">
        <f ca="1">SUMPRODUCT(OFFSET(tConvElecPan,0,15,1,_maxLT),INDEX(elecPan,1,5)*allOnes,tpSurvPan)</f>
        <v>529.39318176604309</v>
      </c>
      <c r="U134" s="39">
        <f ca="1">SUMPRODUCT(OFFSET(tConvElecPan,0,16,1,_maxLT),INDEX(elecPan,1,5)*allOnes,tpSurvPan)</f>
        <v>529.52220667752727</v>
      </c>
      <c r="V134" s="39">
        <f ca="1">SUMPRODUCT(OFFSET(tConvElecPan,0,17,1,_maxLT),INDEX(elecPan,1,5)*allOnes,tpSurvPan)</f>
        <v>529.71986083647084</v>
      </c>
      <c r="W134" s="39">
        <f ca="1">SUMPRODUCT(OFFSET(tConvElecPan,0,18,1,_maxLT),INDEX(elecPan,1,5)*allOnes,tpSurvPan)</f>
        <v>529.91033230504365</v>
      </c>
      <c r="X134" s="39">
        <f ca="1">SUMPRODUCT(OFFSET(tConvElecPan,0,19,1,_maxLT),INDEX(elecPan,1,5)*allOnes,tpSurvPan)</f>
        <v>530.06852924777468</v>
      </c>
      <c r="Y134" s="39">
        <f ca="1">SUMPRODUCT(OFFSET(tConvElecPan,0,20,1,_maxLT),INDEX(elecPan,1,5)*allOnes,tpSurvPan)</f>
        <v>530.17434406779159</v>
      </c>
      <c r="Z134" s="39">
        <f ca="1">SUMPRODUCT(OFFSET(tConvElecPan,0,21,1,_maxLT),INDEX(elecPan,1,5)*allOnes,tpSurvPan)</f>
        <v>530.24707771661895</v>
      </c>
      <c r="AA134" s="39">
        <f ca="1">SUMPRODUCT(OFFSET(tConvElecPan,0,22,1,_maxLT),INDEX(elecPan,1,5)*allOnes,tpSurvPan)</f>
        <v>530.24707771661895</v>
      </c>
      <c r="AB134" s="39">
        <f ca="1">SUMPRODUCT(OFFSET(tConvElecPan,0,23,1,_maxLT),INDEX(elecPan,1,5)*allOnes,tpSurvPan)</f>
        <v>530.24707771661895</v>
      </c>
      <c r="AC134" s="39">
        <f ca="1">SUMPRODUCT(OFFSET(tConvElecPan,0,24,1,_maxLT),INDEX(elecPan,1,5)*allOnes,tpSurvPan)</f>
        <v>530.24707771661895</v>
      </c>
      <c r="AD134" s="39">
        <f ca="1">SUMPRODUCT(OFFSET(tConvElecPan,0,25,1,_maxLT),INDEX(elecPan,1,5)*allOnes,tpSurvPan)</f>
        <v>530.24707771661895</v>
      </c>
      <c r="AE134" s="39">
        <f ca="1">SUMPRODUCT(OFFSET(tConvElecPan,0,26,1,_maxLT),INDEX(elecPan,1,5)*allOnes,tpSurvPan)</f>
        <v>530.24707771661895</v>
      </c>
      <c r="AF134" s="39">
        <f ca="1">SUMPRODUCT(OFFSET(tConvElecPan,0,27,1,_maxLT),INDEX(elecPan,1,5)*allOnes,tpSurvPan)</f>
        <v>530.24707771661895</v>
      </c>
      <c r="AG134" s="39">
        <f ca="1">SUMPRODUCT(OFFSET(tConvElecPan,0,28,1,_maxLT),INDEX(elecPan,1,5)*allOnes,tpSurvPan)</f>
        <v>530.24707771661895</v>
      </c>
      <c r="AH134" s="39">
        <f ca="1">SUMPRODUCT(OFFSET(tConvElecPan,0,29,1,_maxLT),INDEX(elecPan,1,5)*allOnes,tpSurvPan)</f>
        <v>530.24707771661895</v>
      </c>
      <c r="AI134" s="39">
        <f ca="1">SUMPRODUCT(OFFSET(tConvElecPan,0,30,1,_maxLT),INDEX(elecPan,1,5)*allOnes,tpSurvPan)</f>
        <v>530.24707771661895</v>
      </c>
      <c r="AJ134" s="39">
        <f ca="1">SUMPRODUCT(OFFSET(tConvElecPan,0,31,1,_maxLT),INDEX(elecPan,1,5)*allOnes,tpSurvPan)</f>
        <v>530.24707771661895</v>
      </c>
      <c r="AK134" s="39">
        <f ca="1">SUMPRODUCT(OFFSET(tConvElecPan,0,32,1,_maxLT),INDEX(elecPan,1,5)*allOnes,tpSurvPan)</f>
        <v>530.24707771661895</v>
      </c>
      <c r="AL134" s="40">
        <f ca="1">SUMPRODUCT(OFFSET(tConvElecPan,0,33,1,_maxLT),INDEX(elecPan,1,5)*allOnes,tpSurvPan)</f>
        <v>530.24707771661895</v>
      </c>
      <c r="AM134" s="10"/>
    </row>
    <row r="135" spans="2:39" ht="15">
      <c r="B135" s="10"/>
      <c r="C135" s="57" t="str">
        <f>"EL 5: " &amp; INDEX(_doName,2,6)</f>
        <v>EL 5: EL 5</v>
      </c>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3"/>
      <c r="AM135" s="10"/>
    </row>
    <row r="136" spans="2:39" ht="15">
      <c r="B136" s="10"/>
      <c r="C136" s="16" t="s">
        <v>69</v>
      </c>
      <c r="D136" s="12" t="str">
        <f>_yearDol &amp; "$"</f>
        <v>2015$</v>
      </c>
      <c r="E136" s="13">
        <f t="array" ref="E136:AL136">INDEX(mspPan,1,6)*tPIdxAll + INDEX(instPan,1,6) + IF(bESav,SUMPRODUCT(dFactor,tpSurvPan,INDEX(mrPan,1,6)*allOnes),0)</f>
        <v>1779.9263209999999</v>
      </c>
      <c r="F136" s="13">
        <v>1779.9263209999999</v>
      </c>
      <c r="G136" s="13">
        <v>1779.9263209999999</v>
      </c>
      <c r="H136" s="13">
        <v>1779.9263209999999</v>
      </c>
      <c r="I136" s="13">
        <v>1779.9263209999999</v>
      </c>
      <c r="J136" s="13">
        <v>1779.9263209999999</v>
      </c>
      <c r="K136" s="13">
        <v>1779.9263209999999</v>
      </c>
      <c r="L136" s="13">
        <v>1779.9263209999999</v>
      </c>
      <c r="M136" s="13">
        <v>1779.9263209999999</v>
      </c>
      <c r="N136" s="13">
        <v>1779.9263209999999</v>
      </c>
      <c r="O136" s="13">
        <v>1779.9263209999999</v>
      </c>
      <c r="P136" s="13">
        <v>1779.9263209999999</v>
      </c>
      <c r="Q136" s="13">
        <v>1779.9263209999999</v>
      </c>
      <c r="R136" s="13">
        <v>1779.9263209999999</v>
      </c>
      <c r="S136" s="13">
        <v>1779.9263209999999</v>
      </c>
      <c r="T136" s="13">
        <v>1779.9263209999999</v>
      </c>
      <c r="U136" s="13">
        <v>1779.9263209999999</v>
      </c>
      <c r="V136" s="13">
        <v>1779.9263209999999</v>
      </c>
      <c r="W136" s="13">
        <v>1779.9263209999999</v>
      </c>
      <c r="X136" s="13">
        <v>1779.9263209999999</v>
      </c>
      <c r="Y136" s="13">
        <v>1779.9263209999999</v>
      </c>
      <c r="Z136" s="13">
        <v>1779.9263209999999</v>
      </c>
      <c r="AA136" s="13">
        <v>1779.9263209999999</v>
      </c>
      <c r="AB136" s="13">
        <v>1779.9263209999999</v>
      </c>
      <c r="AC136" s="13">
        <v>1779.9263209999999</v>
      </c>
      <c r="AD136" s="13">
        <v>1779.9263209999999</v>
      </c>
      <c r="AE136" s="13">
        <v>1779.9263209999999</v>
      </c>
      <c r="AF136" s="13">
        <v>1779.9263209999999</v>
      </c>
      <c r="AG136" s="13">
        <v>1779.9263209999999</v>
      </c>
      <c r="AH136" s="13">
        <v>1779.9263209999999</v>
      </c>
      <c r="AI136" s="13">
        <v>1779.9263209999999</v>
      </c>
      <c r="AJ136" s="13">
        <v>1779.9263209999999</v>
      </c>
      <c r="AK136" s="13">
        <v>1779.9263209999999</v>
      </c>
      <c r="AL136" s="56">
        <v>1779.9263209999999</v>
      </c>
      <c r="AM136" s="10"/>
    </row>
    <row r="137" spans="2:39" ht="15">
      <c r="B137" s="10"/>
      <c r="C137" s="16" t="str">
        <f>zEO&amp;" Costs"</f>
        <v>Operating Costs</v>
      </c>
      <c r="D137" s="12" t="str">
        <f>_yearDol &amp; "$"</f>
        <v>2015$</v>
      </c>
      <c r="E137" s="13">
        <f t="array" aca="1" ref="E137:AL137" ca="1">(tlccEFuElecbc5) + IF(bOSav,SUMPRODUCT(dFactor,tpSurvPan,INDEX(mrPan,1,6)*allOnes),0)</f>
        <v>2949.0250258654792</v>
      </c>
      <c r="F137" s="13">
        <f ca="1"/>
        <v>2973.3357777806709</v>
      </c>
      <c r="G137" s="13">
        <f ca="1"/>
        <v>2996.8696451289234</v>
      </c>
      <c r="H137" s="13">
        <f ca="1"/>
        <v>3017.9638832468731</v>
      </c>
      <c r="I137" s="13">
        <f ca="1"/>
        <v>3036.9706511188392</v>
      </c>
      <c r="J137" s="13">
        <f ca="1"/>
        <v>3056.0996705855605</v>
      </c>
      <c r="K137" s="13">
        <f ca="1"/>
        <v>3075.3517465682426</v>
      </c>
      <c r="L137" s="13">
        <f ca="1"/>
        <v>3094.7276894206616</v>
      </c>
      <c r="M137" s="13">
        <f ca="1"/>
        <v>3114.228314966751</v>
      </c>
      <c r="N137" s="13">
        <f ca="1"/>
        <v>3133.8544445384737</v>
      </c>
      <c r="O137" s="13">
        <f ca="1"/>
        <v>3153.6069050139317</v>
      </c>
      <c r="P137" s="13">
        <f ca="1"/>
        <v>3173.4865288557689</v>
      </c>
      <c r="Q137" s="13">
        <f ca="1"/>
        <v>3193.4941541498615</v>
      </c>
      <c r="R137" s="13">
        <f ca="1"/>
        <v>3213.6306246442246</v>
      </c>
      <c r="S137" s="13">
        <f ca="1"/>
        <v>3233.8967897882699</v>
      </c>
      <c r="T137" s="13">
        <f ca="1"/>
        <v>3254.293504772279</v>
      </c>
      <c r="U137" s="13">
        <f ca="1"/>
        <v>3274.8216305671967</v>
      </c>
      <c r="V137" s="13">
        <f ca="1"/>
        <v>3295.4820339646835</v>
      </c>
      <c r="W137" s="13">
        <f ca="1"/>
        <v>3316.2755876174651</v>
      </c>
      <c r="X137" s="13">
        <f ca="1"/>
        <v>3337.2031700799653</v>
      </c>
      <c r="Y137" s="13">
        <f ca="1"/>
        <v>3358.2656658492265</v>
      </c>
      <c r="Z137" s="13">
        <f ca="1"/>
        <v>3379.4639654061211</v>
      </c>
      <c r="AA137" s="13">
        <f ca="1"/>
        <v>3400.798965256844</v>
      </c>
      <c r="AB137" s="13">
        <f ca="1"/>
        <v>3422.2715679747389</v>
      </c>
      <c r="AC137" s="13">
        <f ca="1"/>
        <v>3443.8826822423571</v>
      </c>
      <c r="AD137" s="13">
        <f ca="1"/>
        <v>3465.6332228938859</v>
      </c>
      <c r="AE137" s="13">
        <f ca="1"/>
        <v>3487.5241109578205</v>
      </c>
      <c r="AF137" s="13">
        <f ca="1"/>
        <v>3509.5562736999818</v>
      </c>
      <c r="AG137" s="13">
        <f ca="1"/>
        <v>3531.7306446668035</v>
      </c>
      <c r="AH137" s="13">
        <f ca="1"/>
        <v>3554.0481637289572</v>
      </c>
      <c r="AI137" s="13">
        <f ca="1"/>
        <v>3576.5097771252754</v>
      </c>
      <c r="AJ137" s="13">
        <f ca="1"/>
        <v>3599.1164375069811</v>
      </c>
      <c r="AK137" s="13">
        <f ca="1"/>
        <v>3621.869103982242</v>
      </c>
      <c r="AL137" s="56">
        <f ca="1"/>
        <v>3644.7687421610326</v>
      </c>
      <c r="AM137" s="10"/>
    </row>
    <row r="138" spans="2:39" ht="15">
      <c r="B138" s="10"/>
      <c r="C138" s="28" t="str">
        <f>INDEX(_fuel,1)</f>
        <v>Electricity</v>
      </c>
      <c r="D138" s="12" t="str">
        <f>_yearDol &amp; "$"</f>
        <v>2015$</v>
      </c>
      <c r="E138" s="13">
        <f ca="1">SUMPRODUCT(dFactor,tpSurvPan,INDEX(elecPan,1,6)*allOnes,OFFSET(tPrcElec,0,0,1,_maxLT))</f>
        <v>2949.0250258654792</v>
      </c>
      <c r="F138" s="13">
        <f ca="1">SUMPRODUCT(dFactor,tpSurvPan,INDEX(elecPan,1,6)*allOnes,OFFSET(tPrcElec,0,1,1,_maxLT))</f>
        <v>2973.3357777806709</v>
      </c>
      <c r="G138" s="13">
        <f ca="1">SUMPRODUCT(dFactor,tpSurvPan,INDEX(elecPan,1,6)*allOnes,OFFSET(tPrcElec,0,2,1,_maxLT))</f>
        <v>2996.8696451289234</v>
      </c>
      <c r="H138" s="13">
        <f ca="1">SUMPRODUCT(dFactor,tpSurvPan,INDEX(elecPan,1,6)*allOnes,OFFSET(tPrcElec,0,3,1,_maxLT))</f>
        <v>3017.9638832468731</v>
      </c>
      <c r="I138" s="13">
        <f ca="1">SUMPRODUCT(dFactor,tpSurvPan,INDEX(elecPan,1,6)*allOnes,OFFSET(tPrcElec,0,4,1,_maxLT))</f>
        <v>3036.9706511188392</v>
      </c>
      <c r="J138" s="13">
        <f ca="1">SUMPRODUCT(dFactor,tpSurvPan,INDEX(elecPan,1,6)*allOnes,OFFSET(tPrcElec,0,5,1,_maxLT))</f>
        <v>3056.0996705855605</v>
      </c>
      <c r="K138" s="13">
        <f ca="1">SUMPRODUCT(dFactor,tpSurvPan,INDEX(elecPan,1,6)*allOnes,OFFSET(tPrcElec,0,6,1,_maxLT))</f>
        <v>3075.3517465682426</v>
      </c>
      <c r="L138" s="13">
        <f ca="1">SUMPRODUCT(dFactor,tpSurvPan,INDEX(elecPan,1,6)*allOnes,OFFSET(tPrcElec,0,7,1,_maxLT))</f>
        <v>3094.7276894206616</v>
      </c>
      <c r="M138" s="13">
        <f ca="1">SUMPRODUCT(dFactor,tpSurvPan,INDEX(elecPan,1,6)*allOnes,OFFSET(tPrcElec,0,8,1,_maxLT))</f>
        <v>3114.228314966751</v>
      </c>
      <c r="N138" s="13">
        <f ca="1">SUMPRODUCT(dFactor,tpSurvPan,INDEX(elecPan,1,6)*allOnes,OFFSET(tPrcElec,0,9,1,_maxLT))</f>
        <v>3133.8544445384737</v>
      </c>
      <c r="O138" s="13">
        <f ca="1">SUMPRODUCT(dFactor,tpSurvPan,INDEX(elecPan,1,6)*allOnes,OFFSET(tPrcElec,0,10,1,_maxLT))</f>
        <v>3153.6069050139317</v>
      </c>
      <c r="P138" s="13">
        <f ca="1">SUMPRODUCT(dFactor,tpSurvPan,INDEX(elecPan,1,6)*allOnes,OFFSET(tPrcElec,0,11,1,_maxLT))</f>
        <v>3173.4865288557689</v>
      </c>
      <c r="Q138" s="13">
        <f ca="1">SUMPRODUCT(dFactor,tpSurvPan,INDEX(elecPan,1,6)*allOnes,OFFSET(tPrcElec,0,12,1,_maxLT))</f>
        <v>3193.4941541498615</v>
      </c>
      <c r="R138" s="13">
        <f ca="1">SUMPRODUCT(dFactor,tpSurvPan,INDEX(elecPan,1,6)*allOnes,OFFSET(tPrcElec,0,13,1,_maxLT))</f>
        <v>3213.6306246442246</v>
      </c>
      <c r="S138" s="13">
        <f ca="1">SUMPRODUCT(dFactor,tpSurvPan,INDEX(elecPan,1,6)*allOnes,OFFSET(tPrcElec,0,14,1,_maxLT))</f>
        <v>3233.8967897882699</v>
      </c>
      <c r="T138" s="13">
        <f ca="1">SUMPRODUCT(dFactor,tpSurvPan,INDEX(elecPan,1,6)*allOnes,OFFSET(tPrcElec,0,15,1,_maxLT))</f>
        <v>3254.293504772279</v>
      </c>
      <c r="U138" s="13">
        <f ca="1">SUMPRODUCT(dFactor,tpSurvPan,INDEX(elecPan,1,6)*allOnes,OFFSET(tPrcElec,0,16,1,_maxLT))</f>
        <v>3274.8216305671967</v>
      </c>
      <c r="V138" s="13">
        <f ca="1">SUMPRODUCT(dFactor,tpSurvPan,INDEX(elecPan,1,6)*allOnes,OFFSET(tPrcElec,0,17,1,_maxLT))</f>
        <v>3295.4820339646835</v>
      </c>
      <c r="W138" s="13">
        <f ca="1">SUMPRODUCT(dFactor,tpSurvPan,INDEX(elecPan,1,6)*allOnes,OFFSET(tPrcElec,0,18,1,_maxLT))</f>
        <v>3316.2755876174651</v>
      </c>
      <c r="X138" s="13">
        <f ca="1">SUMPRODUCT(dFactor,tpSurvPan,INDEX(elecPan,1,6)*allOnes,OFFSET(tPrcElec,0,19,1,_maxLT))</f>
        <v>3337.2031700799653</v>
      </c>
      <c r="Y138" s="13">
        <f ca="1">SUMPRODUCT(dFactor,tpSurvPan,INDEX(elecPan,1,6)*allOnes,OFFSET(tPrcElec,0,20,1,_maxLT))</f>
        <v>3358.2656658492265</v>
      </c>
      <c r="Z138" s="13">
        <f ca="1">SUMPRODUCT(dFactor,tpSurvPan,INDEX(elecPan,1,6)*allOnes,OFFSET(tPrcElec,0,21,1,_maxLT))</f>
        <v>3379.4639654061211</v>
      </c>
      <c r="AA138" s="13">
        <f ca="1">SUMPRODUCT(dFactor,tpSurvPan,INDEX(elecPan,1,6)*allOnes,OFFSET(tPrcElec,0,22,1,_maxLT))</f>
        <v>3400.798965256844</v>
      </c>
      <c r="AB138" s="13">
        <f ca="1">SUMPRODUCT(dFactor,tpSurvPan,INDEX(elecPan,1,6)*allOnes,OFFSET(tPrcElec,0,23,1,_maxLT))</f>
        <v>3422.2715679747389</v>
      </c>
      <c r="AC138" s="13">
        <f ca="1">SUMPRODUCT(dFactor,tpSurvPan,INDEX(elecPan,1,6)*allOnes,OFFSET(tPrcElec,0,24,1,_maxLT))</f>
        <v>3443.8826822423571</v>
      </c>
      <c r="AD138" s="13">
        <f ca="1">SUMPRODUCT(dFactor,tpSurvPan,INDEX(elecPan,1,6)*allOnes,OFFSET(tPrcElec,0,25,1,_maxLT))</f>
        <v>3465.6332228938859</v>
      </c>
      <c r="AE138" s="13">
        <f ca="1">SUMPRODUCT(dFactor,tpSurvPan,INDEX(elecPan,1,6)*allOnes,OFFSET(tPrcElec,0,26,1,_maxLT))</f>
        <v>3487.5241109578205</v>
      </c>
      <c r="AF138" s="13">
        <f ca="1">SUMPRODUCT(dFactor,tpSurvPan,INDEX(elecPan,1,6)*allOnes,OFFSET(tPrcElec,0,27,1,_maxLT))</f>
        <v>3509.5562736999818</v>
      </c>
      <c r="AG138" s="13">
        <f ca="1">SUMPRODUCT(dFactor,tpSurvPan,INDEX(elecPan,1,6)*allOnes,OFFSET(tPrcElec,0,28,1,_maxLT))</f>
        <v>3531.7306446668035</v>
      </c>
      <c r="AH138" s="13">
        <f ca="1">SUMPRODUCT(dFactor,tpSurvPan,INDEX(elecPan,1,6)*allOnes,OFFSET(tPrcElec,0,29,1,_maxLT))</f>
        <v>3554.0481637289572</v>
      </c>
      <c r="AI138" s="13">
        <f ca="1">SUMPRODUCT(dFactor,tpSurvPan,INDEX(elecPan,1,6)*allOnes,OFFSET(tPrcElec,0,30,1,_maxLT))</f>
        <v>3576.5097771252754</v>
      </c>
      <c r="AJ138" s="13">
        <f ca="1">SUMPRODUCT(dFactor,tpSurvPan,INDEX(elecPan,1,6)*allOnes,OFFSET(tPrcElec,0,31,1,_maxLT))</f>
        <v>3599.1164375069811</v>
      </c>
      <c r="AK138" s="13">
        <f ca="1">SUMPRODUCT(dFactor,tpSurvPan,INDEX(elecPan,1,6)*allOnes,OFFSET(tPrcElec,0,32,1,_maxLT))</f>
        <v>3621.869103982242</v>
      </c>
      <c r="AL138" s="56">
        <f ca="1">SUMPRODUCT(dFactor,tpSurvPan,INDEX(elecPan,1,6)*allOnes,OFFSET(tPrcElec,0,33,1,_maxLT))</f>
        <v>3644.7687421610326</v>
      </c>
      <c r="AM138" s="10"/>
    </row>
    <row r="139" spans="2:39" ht="15">
      <c r="B139" s="10"/>
      <c r="C139" s="16" t="s">
        <v>79</v>
      </c>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5"/>
      <c r="AM139" s="10"/>
    </row>
    <row r="140" spans="2:39" ht="15">
      <c r="B140" s="10"/>
      <c r="C140" s="28" t="str">
        <f>INDEX(_fuel,1)</f>
        <v>Electricity</v>
      </c>
      <c r="D140" s="12" t="s">
        <v>83</v>
      </c>
      <c r="E140" s="39">
        <f ca="1">SUMPRODUCT(OFFSET(tConvElecPan,0,0,1,_maxLT),INDEX(elecPan,1,6)*allOnes,tpSurvPan)</f>
        <v>549.01349536668602</v>
      </c>
      <c r="F140" s="39">
        <f ca="1">SUMPRODUCT(OFFSET(tConvElecPan,0,1,1,_maxLT),INDEX(elecPan,1,6)*allOnes,tpSurvPan)</f>
        <v>544.59387007327484</v>
      </c>
      <c r="G140" s="39">
        <f ca="1">SUMPRODUCT(OFFSET(tConvElecPan,0,2,1,_maxLT),INDEX(elecPan,1,6)*allOnes,tpSurvPan)</f>
        <v>540.68576654163166</v>
      </c>
      <c r="H140" s="39">
        <f ca="1">SUMPRODUCT(OFFSET(tConvElecPan,0,3,1,_maxLT),INDEX(elecPan,1,6)*allOnes,tpSurvPan)</f>
        <v>536.96235934077561</v>
      </c>
      <c r="I140" s="39">
        <f ca="1">SUMPRODUCT(OFFSET(tConvElecPan,0,4,1,_maxLT),INDEX(elecPan,1,6)*allOnes,tpSurvPan)</f>
        <v>533.69583926807877</v>
      </c>
      <c r="J140" s="39">
        <f ca="1">SUMPRODUCT(OFFSET(tConvElecPan,0,5,1,_maxLT),INDEX(elecPan,1,6)*allOnes,tpSurvPan)</f>
        <v>531.1466182984891</v>
      </c>
      <c r="K140" s="39">
        <f ca="1">SUMPRODUCT(OFFSET(tConvElecPan,0,6,1,_maxLT),INDEX(elecPan,1,6)*allOnes,tpSurvPan)</f>
        <v>529.02200823266321</v>
      </c>
      <c r="L140" s="39">
        <f ca="1">SUMPRODUCT(OFFSET(tConvElecPan,0,7,1,_maxLT),INDEX(elecPan,1,6)*allOnes,tpSurvPan)</f>
        <v>526.8806854556467</v>
      </c>
      <c r="M140" s="39">
        <f ca="1">SUMPRODUCT(OFFSET(tConvElecPan,0,8,1,_maxLT),INDEX(elecPan,1,6)*allOnes,tpSurvPan)</f>
        <v>525.15337150987784</v>
      </c>
      <c r="N140" s="39">
        <f ca="1">SUMPRODUCT(OFFSET(tConvElecPan,0,9,1,_maxLT),INDEX(elecPan,1,6)*allOnes,tpSurvPan)</f>
        <v>523.94514964044822</v>
      </c>
      <c r="O140" s="39">
        <f ca="1">SUMPRODUCT(OFFSET(tConvElecPan,0,10,1,_maxLT),INDEX(elecPan,1,6)*allOnes,tpSurvPan)</f>
        <v>523.04916020345422</v>
      </c>
      <c r="P140" s="39">
        <f ca="1">SUMPRODUCT(OFFSET(tConvElecPan,0,11,1,_maxLT),INDEX(elecPan,1,6)*allOnes,tpSurvPan)</f>
        <v>522.28703175465182</v>
      </c>
      <c r="Q140" s="39">
        <f ca="1">SUMPRODUCT(OFFSET(tConvElecPan,0,12,1,_maxLT),INDEX(elecPan,1,6)*allOnes,tpSurvPan)</f>
        <v>521.71664256089025</v>
      </c>
      <c r="R140" s="39">
        <f ca="1">SUMPRODUCT(OFFSET(tConvElecPan,0,13,1,_maxLT),INDEX(elecPan,1,6)*allOnes,tpSurvPan)</f>
        <v>521.27497811701016</v>
      </c>
      <c r="S140" s="39">
        <f ca="1">SUMPRODUCT(OFFSET(tConvElecPan,0,14,1,_maxLT),INDEX(elecPan,1,6)*allOnes,tpSurvPan)</f>
        <v>521.19080165063019</v>
      </c>
      <c r="T140" s="39">
        <f ca="1">SUMPRODUCT(OFFSET(tConvElecPan,0,15,1,_maxLT),INDEX(elecPan,1,6)*allOnes,tpSurvPan)</f>
        <v>521.26605163842748</v>
      </c>
      <c r="U140" s="39">
        <f ca="1">SUMPRODUCT(OFFSET(tConvElecPan,0,16,1,_maxLT),INDEX(elecPan,1,6)*allOnes,tpSurvPan)</f>
        <v>521.39309578725465</v>
      </c>
      <c r="V140" s="39">
        <f ca="1">SUMPRODUCT(OFFSET(tConvElecPan,0,17,1,_maxLT),INDEX(elecPan,1,6)*allOnes,tpSurvPan)</f>
        <v>521.58771560211267</v>
      </c>
      <c r="W140" s="39">
        <f ca="1">SUMPRODUCT(OFFSET(tConvElecPan,0,18,1,_maxLT),INDEX(elecPan,1,6)*allOnes,tpSurvPan)</f>
        <v>521.77526299371596</v>
      </c>
      <c r="X140" s="39">
        <f ca="1">SUMPRODUCT(OFFSET(tConvElecPan,0,19,1,_maxLT),INDEX(elecPan,1,6)*allOnes,tpSurvPan)</f>
        <v>521.93103133104808</v>
      </c>
      <c r="Y140" s="39">
        <f ca="1">SUMPRODUCT(OFFSET(tConvElecPan,0,20,1,_maxLT),INDEX(elecPan,1,6)*allOnes,tpSurvPan)</f>
        <v>522.035221704734</v>
      </c>
      <c r="Z140" s="39">
        <f ca="1">SUMPRODUCT(OFFSET(tConvElecPan,0,21,1,_maxLT),INDEX(elecPan,1,6)*allOnes,tpSurvPan)</f>
        <v>522.10683876224698</v>
      </c>
      <c r="AA140" s="39">
        <f ca="1">SUMPRODUCT(OFFSET(tConvElecPan,0,22,1,_maxLT),INDEX(elecPan,1,6)*allOnes,tpSurvPan)</f>
        <v>522.10683876224698</v>
      </c>
      <c r="AB140" s="39">
        <f ca="1">SUMPRODUCT(OFFSET(tConvElecPan,0,23,1,_maxLT),INDEX(elecPan,1,6)*allOnes,tpSurvPan)</f>
        <v>522.10683876224698</v>
      </c>
      <c r="AC140" s="39">
        <f ca="1">SUMPRODUCT(OFFSET(tConvElecPan,0,24,1,_maxLT),INDEX(elecPan,1,6)*allOnes,tpSurvPan)</f>
        <v>522.10683876224698</v>
      </c>
      <c r="AD140" s="39">
        <f ca="1">SUMPRODUCT(OFFSET(tConvElecPan,0,25,1,_maxLT),INDEX(elecPan,1,6)*allOnes,tpSurvPan)</f>
        <v>522.10683876224698</v>
      </c>
      <c r="AE140" s="39">
        <f ca="1">SUMPRODUCT(OFFSET(tConvElecPan,0,26,1,_maxLT),INDEX(elecPan,1,6)*allOnes,tpSurvPan)</f>
        <v>522.10683876224698</v>
      </c>
      <c r="AF140" s="39">
        <f ca="1">SUMPRODUCT(OFFSET(tConvElecPan,0,27,1,_maxLT),INDEX(elecPan,1,6)*allOnes,tpSurvPan)</f>
        <v>522.10683876224698</v>
      </c>
      <c r="AG140" s="39">
        <f ca="1">SUMPRODUCT(OFFSET(tConvElecPan,0,28,1,_maxLT),INDEX(elecPan,1,6)*allOnes,tpSurvPan)</f>
        <v>522.10683876224698</v>
      </c>
      <c r="AH140" s="39">
        <f ca="1">SUMPRODUCT(OFFSET(tConvElecPan,0,29,1,_maxLT),INDEX(elecPan,1,6)*allOnes,tpSurvPan)</f>
        <v>522.10683876224698</v>
      </c>
      <c r="AI140" s="39">
        <f ca="1">SUMPRODUCT(OFFSET(tConvElecPan,0,30,1,_maxLT),INDEX(elecPan,1,6)*allOnes,tpSurvPan)</f>
        <v>522.10683876224698</v>
      </c>
      <c r="AJ140" s="39">
        <f ca="1">SUMPRODUCT(OFFSET(tConvElecPan,0,31,1,_maxLT),INDEX(elecPan,1,6)*allOnes,tpSurvPan)</f>
        <v>522.10683876224698</v>
      </c>
      <c r="AK140" s="39">
        <f ca="1">SUMPRODUCT(OFFSET(tConvElecPan,0,32,1,_maxLT),INDEX(elecPan,1,6)*allOnes,tpSurvPan)</f>
        <v>522.10683876224698</v>
      </c>
      <c r="AL140" s="40">
        <f ca="1">SUMPRODUCT(OFFSET(tConvElecPan,0,33,1,_maxLT),INDEX(elecPan,1,6)*allOnes,tpSurvPan)</f>
        <v>522.10683876224698</v>
      </c>
      <c r="AM140" s="10"/>
    </row>
    <row r="141" spans="2:39" ht="15">
      <c r="B141" s="10"/>
      <c r="C141" s="57" t="str">
        <f>"EL 6: " &amp; INDEX(_doName,2,7)</f>
        <v>EL 6: EL 6</v>
      </c>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3"/>
      <c r="AM141" s="10"/>
    </row>
    <row r="142" spans="2:39" ht="15">
      <c r="B142" s="10"/>
      <c r="C142" s="16" t="s">
        <v>69</v>
      </c>
      <c r="D142" s="12" t="str">
        <f>_yearDol &amp; "$"</f>
        <v>2015$</v>
      </c>
      <c r="E142" s="13">
        <f t="array" ref="E142:AL142">INDEX(mspPan,1,7)*tPIdxAll + INDEX(instPan,1,7) + IF(bESav,SUMPRODUCT(dFactor,tpSurvPan,INDEX(mrPan,1,7)*allOnes),0)</f>
        <v>1854.510309</v>
      </c>
      <c r="F142" s="13">
        <v>1854.510309</v>
      </c>
      <c r="G142" s="13">
        <v>1854.510309</v>
      </c>
      <c r="H142" s="13">
        <v>1854.510309</v>
      </c>
      <c r="I142" s="13">
        <v>1854.510309</v>
      </c>
      <c r="J142" s="13">
        <v>1854.510309</v>
      </c>
      <c r="K142" s="13">
        <v>1854.510309</v>
      </c>
      <c r="L142" s="13">
        <v>1854.510309</v>
      </c>
      <c r="M142" s="13">
        <v>1854.510309</v>
      </c>
      <c r="N142" s="13">
        <v>1854.510309</v>
      </c>
      <c r="O142" s="13">
        <v>1854.510309</v>
      </c>
      <c r="P142" s="13">
        <v>1854.510309</v>
      </c>
      <c r="Q142" s="13">
        <v>1854.510309</v>
      </c>
      <c r="R142" s="13">
        <v>1854.510309</v>
      </c>
      <c r="S142" s="13">
        <v>1854.510309</v>
      </c>
      <c r="T142" s="13">
        <v>1854.510309</v>
      </c>
      <c r="U142" s="13">
        <v>1854.510309</v>
      </c>
      <c r="V142" s="13">
        <v>1854.510309</v>
      </c>
      <c r="W142" s="13">
        <v>1854.510309</v>
      </c>
      <c r="X142" s="13">
        <v>1854.510309</v>
      </c>
      <c r="Y142" s="13">
        <v>1854.510309</v>
      </c>
      <c r="Z142" s="13">
        <v>1854.510309</v>
      </c>
      <c r="AA142" s="13">
        <v>1854.510309</v>
      </c>
      <c r="AB142" s="13">
        <v>1854.510309</v>
      </c>
      <c r="AC142" s="13">
        <v>1854.510309</v>
      </c>
      <c r="AD142" s="13">
        <v>1854.510309</v>
      </c>
      <c r="AE142" s="13">
        <v>1854.510309</v>
      </c>
      <c r="AF142" s="13">
        <v>1854.510309</v>
      </c>
      <c r="AG142" s="13">
        <v>1854.510309</v>
      </c>
      <c r="AH142" s="13">
        <v>1854.510309</v>
      </c>
      <c r="AI142" s="13">
        <v>1854.510309</v>
      </c>
      <c r="AJ142" s="13">
        <v>1854.510309</v>
      </c>
      <c r="AK142" s="13">
        <v>1854.510309</v>
      </c>
      <c r="AL142" s="56">
        <v>1854.510309</v>
      </c>
      <c r="AM142" s="10"/>
    </row>
    <row r="143" spans="2:39" ht="15">
      <c r="B143" s="10"/>
      <c r="C143" s="16" t="str">
        <f>zEO&amp;" Costs"</f>
        <v>Operating Costs</v>
      </c>
      <c r="D143" s="12" t="str">
        <f>_yearDol &amp; "$"</f>
        <v>2015$</v>
      </c>
      <c r="E143" s="13">
        <f t="array" aca="1" ref="E143:AL143" ca="1">(tlccEFuElecbc6) + IF(bOSav,SUMPRODUCT(dFactor,tpSurvPan,INDEX(mrPan,1,7)*allOnes),0)</f>
        <v>2814.129139107326</v>
      </c>
      <c r="F143" s="13">
        <f ca="1"/>
        <v>2837.3278555502538</v>
      </c>
      <c r="G143" s="13">
        <f ca="1"/>
        <v>2859.7852240973948</v>
      </c>
      <c r="H143" s="13">
        <f ca="1"/>
        <v>2879.9145582448973</v>
      </c>
      <c r="I143" s="13">
        <f ca="1"/>
        <v>2898.0519083316631</v>
      </c>
      <c r="J143" s="13">
        <f ca="1"/>
        <v>2916.3059179150669</v>
      </c>
      <c r="K143" s="13">
        <f ca="1"/>
        <v>2934.6773550971811</v>
      </c>
      <c r="L143" s="13">
        <f ca="1"/>
        <v>2953.1669931641454</v>
      </c>
      <c r="M143" s="13">
        <f ca="1"/>
        <v>2971.7756106220363</v>
      </c>
      <c r="N143" s="13">
        <f ca="1"/>
        <v>2990.503991233003</v>
      </c>
      <c r="O143" s="13">
        <f ca="1"/>
        <v>3009.3529240516514</v>
      </c>
      <c r="P143" s="13">
        <f ca="1"/>
        <v>3028.3232034616713</v>
      </c>
      <c r="Q143" s="13">
        <f ca="1"/>
        <v>3047.4156292127591</v>
      </c>
      <c r="R143" s="13">
        <f ca="1"/>
        <v>3066.6310064577683</v>
      </c>
      <c r="S143" s="13">
        <f ca="1"/>
        <v>3085.9701457901233</v>
      </c>
      <c r="T143" s="13">
        <f ca="1"/>
        <v>3105.4338632815411</v>
      </c>
      <c r="U143" s="13">
        <f ca="1"/>
        <v>3125.0229805199683</v>
      </c>
      <c r="V143" s="13">
        <f ca="1"/>
        <v>3144.7383246478194</v>
      </c>
      <c r="W143" s="13">
        <f ca="1"/>
        <v>3164.5807284004668</v>
      </c>
      <c r="X143" s="13">
        <f ca="1"/>
        <v>3184.5510301450277</v>
      </c>
      <c r="Y143" s="13">
        <f ca="1"/>
        <v>3204.6500739194048</v>
      </c>
      <c r="Z143" s="13">
        <f ca="1"/>
        <v>3224.8787094716131</v>
      </c>
      <c r="AA143" s="13">
        <f ca="1"/>
        <v>3245.2377922993887</v>
      </c>
      <c r="AB143" s="13">
        <f ca="1"/>
        <v>3265.7281836900693</v>
      </c>
      <c r="AC143" s="13">
        <f ca="1"/>
        <v>3286.3507507607696</v>
      </c>
      <c r="AD143" s="13">
        <f ca="1"/>
        <v>3307.106366498836</v>
      </c>
      <c r="AE143" s="13">
        <f ca="1"/>
        <v>3327.9959098025879</v>
      </c>
      <c r="AF143" s="13">
        <f ca="1"/>
        <v>3349.0202655223452</v>
      </c>
      <c r="AG143" s="13">
        <f ca="1"/>
        <v>3370.1803245017686</v>
      </c>
      <c r="AH143" s="13">
        <f ca="1"/>
        <v>3391.4769836194573</v>
      </c>
      <c r="AI143" s="13">
        <f ca="1"/>
        <v>3412.9111458308794</v>
      </c>
      <c r="AJ143" s="13">
        <f ca="1"/>
        <v>3434.4837202105732</v>
      </c>
      <c r="AK143" s="13">
        <f ca="1"/>
        <v>3456.1956219946651</v>
      </c>
      <c r="AL143" s="56">
        <f ca="1"/>
        <v>3478.0477726236822</v>
      </c>
      <c r="AM143" s="10"/>
    </row>
    <row r="144" spans="2:39" ht="15">
      <c r="B144" s="10"/>
      <c r="C144" s="28" t="str">
        <f>INDEX(_fuel,1)</f>
        <v>Electricity</v>
      </c>
      <c r="D144" s="12" t="str">
        <f>_yearDol &amp; "$"</f>
        <v>2015$</v>
      </c>
      <c r="E144" s="13">
        <f ca="1">SUMPRODUCT(dFactor,tpSurvPan,INDEX(elecPan,1,7)*allOnes,OFFSET(tPrcElec,0,0,1,_maxLT))</f>
        <v>2814.129139107326</v>
      </c>
      <c r="F144" s="13">
        <f ca="1">SUMPRODUCT(dFactor,tpSurvPan,INDEX(elecPan,1,7)*allOnes,OFFSET(tPrcElec,0,1,1,_maxLT))</f>
        <v>2837.3278555502538</v>
      </c>
      <c r="G144" s="13">
        <f ca="1">SUMPRODUCT(dFactor,tpSurvPan,INDEX(elecPan,1,7)*allOnes,OFFSET(tPrcElec,0,2,1,_maxLT))</f>
        <v>2859.7852240973948</v>
      </c>
      <c r="H144" s="13">
        <f ca="1">SUMPRODUCT(dFactor,tpSurvPan,INDEX(elecPan,1,7)*allOnes,OFFSET(tPrcElec,0,3,1,_maxLT))</f>
        <v>2879.9145582448973</v>
      </c>
      <c r="I144" s="13">
        <f ca="1">SUMPRODUCT(dFactor,tpSurvPan,INDEX(elecPan,1,7)*allOnes,OFFSET(tPrcElec,0,4,1,_maxLT))</f>
        <v>2898.0519083316631</v>
      </c>
      <c r="J144" s="13">
        <f ca="1">SUMPRODUCT(dFactor,tpSurvPan,INDEX(elecPan,1,7)*allOnes,OFFSET(tPrcElec,0,5,1,_maxLT))</f>
        <v>2916.3059179150669</v>
      </c>
      <c r="K144" s="13">
        <f ca="1">SUMPRODUCT(dFactor,tpSurvPan,INDEX(elecPan,1,7)*allOnes,OFFSET(tPrcElec,0,6,1,_maxLT))</f>
        <v>2934.6773550971811</v>
      </c>
      <c r="L144" s="13">
        <f ca="1">SUMPRODUCT(dFactor,tpSurvPan,INDEX(elecPan,1,7)*allOnes,OFFSET(tPrcElec,0,7,1,_maxLT))</f>
        <v>2953.1669931641454</v>
      </c>
      <c r="M144" s="13">
        <f ca="1">SUMPRODUCT(dFactor,tpSurvPan,INDEX(elecPan,1,7)*allOnes,OFFSET(tPrcElec,0,8,1,_maxLT))</f>
        <v>2971.7756106220363</v>
      </c>
      <c r="N144" s="13">
        <f ca="1">SUMPRODUCT(dFactor,tpSurvPan,INDEX(elecPan,1,7)*allOnes,OFFSET(tPrcElec,0,9,1,_maxLT))</f>
        <v>2990.503991233003</v>
      </c>
      <c r="O144" s="13">
        <f ca="1">SUMPRODUCT(dFactor,tpSurvPan,INDEX(elecPan,1,7)*allOnes,OFFSET(tPrcElec,0,10,1,_maxLT))</f>
        <v>3009.3529240516514</v>
      </c>
      <c r="P144" s="13">
        <f ca="1">SUMPRODUCT(dFactor,tpSurvPan,INDEX(elecPan,1,7)*allOnes,OFFSET(tPrcElec,0,11,1,_maxLT))</f>
        <v>3028.3232034616713</v>
      </c>
      <c r="Q144" s="13">
        <f ca="1">SUMPRODUCT(dFactor,tpSurvPan,INDEX(elecPan,1,7)*allOnes,OFFSET(tPrcElec,0,12,1,_maxLT))</f>
        <v>3047.4156292127591</v>
      </c>
      <c r="R144" s="13">
        <f ca="1">SUMPRODUCT(dFactor,tpSurvPan,INDEX(elecPan,1,7)*allOnes,OFFSET(tPrcElec,0,13,1,_maxLT))</f>
        <v>3066.6310064577683</v>
      </c>
      <c r="S144" s="13">
        <f ca="1">SUMPRODUCT(dFactor,tpSurvPan,INDEX(elecPan,1,7)*allOnes,OFFSET(tPrcElec,0,14,1,_maxLT))</f>
        <v>3085.9701457901233</v>
      </c>
      <c r="T144" s="13">
        <f ca="1">SUMPRODUCT(dFactor,tpSurvPan,INDEX(elecPan,1,7)*allOnes,OFFSET(tPrcElec,0,15,1,_maxLT))</f>
        <v>3105.4338632815411</v>
      </c>
      <c r="U144" s="13">
        <f ca="1">SUMPRODUCT(dFactor,tpSurvPan,INDEX(elecPan,1,7)*allOnes,OFFSET(tPrcElec,0,16,1,_maxLT))</f>
        <v>3125.0229805199683</v>
      </c>
      <c r="V144" s="13">
        <f ca="1">SUMPRODUCT(dFactor,tpSurvPan,INDEX(elecPan,1,7)*allOnes,OFFSET(tPrcElec,0,17,1,_maxLT))</f>
        <v>3144.7383246478194</v>
      </c>
      <c r="W144" s="13">
        <f ca="1">SUMPRODUCT(dFactor,tpSurvPan,INDEX(elecPan,1,7)*allOnes,OFFSET(tPrcElec,0,18,1,_maxLT))</f>
        <v>3164.5807284004668</v>
      </c>
      <c r="X144" s="13">
        <f ca="1">SUMPRODUCT(dFactor,tpSurvPan,INDEX(elecPan,1,7)*allOnes,OFFSET(tPrcElec,0,19,1,_maxLT))</f>
        <v>3184.5510301450277</v>
      </c>
      <c r="Y144" s="13">
        <f ca="1">SUMPRODUCT(dFactor,tpSurvPan,INDEX(elecPan,1,7)*allOnes,OFFSET(tPrcElec,0,20,1,_maxLT))</f>
        <v>3204.6500739194048</v>
      </c>
      <c r="Z144" s="13">
        <f ca="1">SUMPRODUCT(dFactor,tpSurvPan,INDEX(elecPan,1,7)*allOnes,OFFSET(tPrcElec,0,21,1,_maxLT))</f>
        <v>3224.8787094716131</v>
      </c>
      <c r="AA144" s="13">
        <f ca="1">SUMPRODUCT(dFactor,tpSurvPan,INDEX(elecPan,1,7)*allOnes,OFFSET(tPrcElec,0,22,1,_maxLT))</f>
        <v>3245.2377922993887</v>
      </c>
      <c r="AB144" s="13">
        <f ca="1">SUMPRODUCT(dFactor,tpSurvPan,INDEX(elecPan,1,7)*allOnes,OFFSET(tPrcElec,0,23,1,_maxLT))</f>
        <v>3265.7281836900693</v>
      </c>
      <c r="AC144" s="13">
        <f ca="1">SUMPRODUCT(dFactor,tpSurvPan,INDEX(elecPan,1,7)*allOnes,OFFSET(tPrcElec,0,24,1,_maxLT))</f>
        <v>3286.3507507607696</v>
      </c>
      <c r="AD144" s="13">
        <f ca="1">SUMPRODUCT(dFactor,tpSurvPan,INDEX(elecPan,1,7)*allOnes,OFFSET(tPrcElec,0,25,1,_maxLT))</f>
        <v>3307.106366498836</v>
      </c>
      <c r="AE144" s="13">
        <f ca="1">SUMPRODUCT(dFactor,tpSurvPan,INDEX(elecPan,1,7)*allOnes,OFFSET(tPrcElec,0,26,1,_maxLT))</f>
        <v>3327.9959098025879</v>
      </c>
      <c r="AF144" s="13">
        <f ca="1">SUMPRODUCT(dFactor,tpSurvPan,INDEX(elecPan,1,7)*allOnes,OFFSET(tPrcElec,0,27,1,_maxLT))</f>
        <v>3349.0202655223452</v>
      </c>
      <c r="AG144" s="13">
        <f ca="1">SUMPRODUCT(dFactor,tpSurvPan,INDEX(elecPan,1,7)*allOnes,OFFSET(tPrcElec,0,28,1,_maxLT))</f>
        <v>3370.1803245017686</v>
      </c>
      <c r="AH144" s="13">
        <f ca="1">SUMPRODUCT(dFactor,tpSurvPan,INDEX(elecPan,1,7)*allOnes,OFFSET(tPrcElec,0,29,1,_maxLT))</f>
        <v>3391.4769836194573</v>
      </c>
      <c r="AI144" s="13">
        <f ca="1">SUMPRODUCT(dFactor,tpSurvPan,INDEX(elecPan,1,7)*allOnes,OFFSET(tPrcElec,0,30,1,_maxLT))</f>
        <v>3412.9111458308794</v>
      </c>
      <c r="AJ144" s="13">
        <f ca="1">SUMPRODUCT(dFactor,tpSurvPan,INDEX(elecPan,1,7)*allOnes,OFFSET(tPrcElec,0,31,1,_maxLT))</f>
        <v>3434.4837202105732</v>
      </c>
      <c r="AK144" s="13">
        <f ca="1">SUMPRODUCT(dFactor,tpSurvPan,INDEX(elecPan,1,7)*allOnes,OFFSET(tPrcElec,0,32,1,_maxLT))</f>
        <v>3456.1956219946651</v>
      </c>
      <c r="AL144" s="56">
        <f ca="1">SUMPRODUCT(dFactor,tpSurvPan,INDEX(elecPan,1,7)*allOnes,OFFSET(tPrcElec,0,33,1,_maxLT))</f>
        <v>3478.0477726236822</v>
      </c>
      <c r="AM144" s="10"/>
    </row>
    <row r="145" spans="2:39" ht="15">
      <c r="B145" s="10"/>
      <c r="C145" s="16" t="s">
        <v>79</v>
      </c>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5"/>
      <c r="AM145" s="10"/>
    </row>
    <row r="146" spans="2:39" ht="15">
      <c r="B146" s="10"/>
      <c r="C146" s="28" t="str">
        <f>INDEX(_fuel,1)</f>
        <v>Electricity</v>
      </c>
      <c r="D146" s="12" t="s">
        <v>83</v>
      </c>
      <c r="E146" s="39">
        <f ca="1">SUMPRODUCT(OFFSET(tConvElecPan,0,0,1,_maxLT),INDEX(elecPan,1,7)*allOnes,tpSurvPan)</f>
        <v>523.90022516717409</v>
      </c>
      <c r="F146" s="39">
        <f ca="1">SUMPRODUCT(OFFSET(tConvElecPan,0,1,1,_maxLT),INDEX(elecPan,1,7)*allOnes,tpSurvPan)</f>
        <v>519.68276474787024</v>
      </c>
      <c r="G146" s="39">
        <f ca="1">SUMPRODUCT(OFFSET(tConvElecPan,0,2,1,_maxLT),INDEX(elecPan,1,7)*allOnes,tpSurvPan)</f>
        <v>515.95342778715133</v>
      </c>
      <c r="H146" s="39">
        <f ca="1">SUMPRODUCT(OFFSET(tConvElecPan,0,3,1,_maxLT),INDEX(elecPan,1,7)*allOnes,tpSurvPan)</f>
        <v>512.40033867844977</v>
      </c>
      <c r="I146" s="39">
        <f ca="1">SUMPRODUCT(OFFSET(tConvElecPan,0,4,1,_maxLT),INDEX(elecPan,1,7)*allOnes,tpSurvPan)</f>
        <v>509.28323752148117</v>
      </c>
      <c r="J146" s="39">
        <f ca="1">SUMPRODUCT(OFFSET(tConvElecPan,0,5,1,_maxLT),INDEX(elecPan,1,7)*allOnes,tpSurvPan)</f>
        <v>506.8506243867584</v>
      </c>
      <c r="K146" s="39">
        <f ca="1">SUMPRODUCT(OFFSET(tConvElecPan,0,6,1,_maxLT),INDEX(elecPan,1,7)*allOnes,tpSurvPan)</f>
        <v>504.82319937576625</v>
      </c>
      <c r="L146" s="39">
        <f ca="1">SUMPRODUCT(OFFSET(tConvElecPan,0,7,1,_maxLT),INDEX(elecPan,1,7)*allOnes,tpSurvPan)</f>
        <v>502.77982613539587</v>
      </c>
      <c r="M146" s="39">
        <f ca="1">SUMPRODUCT(OFFSET(tConvElecPan,0,8,1,_maxLT),INDEX(elecPan,1,7)*allOnes,tpSurvPan)</f>
        <v>501.1315239119354</v>
      </c>
      <c r="N146" s="39">
        <f ca="1">SUMPRODUCT(OFFSET(tConvElecPan,0,9,1,_maxLT),INDEX(elecPan,1,7)*allOnes,tpSurvPan)</f>
        <v>499.97856917623568</v>
      </c>
      <c r="O146" s="39">
        <f ca="1">SUMPRODUCT(OFFSET(tConvElecPan,0,10,1,_maxLT),INDEX(elecPan,1,7)*allOnes,tpSurvPan)</f>
        <v>499.12356456933611</v>
      </c>
      <c r="P146" s="39">
        <f ca="1">SUMPRODUCT(OFFSET(tConvElecPan,0,11,1,_maxLT),INDEX(elecPan,1,7)*allOnes,tpSurvPan)</f>
        <v>498.39629780940493</v>
      </c>
      <c r="Q146" s="39">
        <f ca="1">SUMPRODUCT(OFFSET(tConvElecPan,0,12,1,_maxLT),INDEX(elecPan,1,7)*allOnes,tpSurvPan)</f>
        <v>497.85199966452046</v>
      </c>
      <c r="R146" s="39">
        <f ca="1">SUMPRODUCT(OFFSET(tConvElecPan,0,13,1,_maxLT),INDEX(elecPan,1,7)*allOnes,tpSurvPan)</f>
        <v>497.43053807286589</v>
      </c>
      <c r="S146" s="39">
        <f ca="1">SUMPRODUCT(OFFSET(tConvElecPan,0,14,1,_maxLT),INDEX(elecPan,1,7)*allOnes,tpSurvPan)</f>
        <v>497.35021205162519</v>
      </c>
      <c r="T146" s="39">
        <f ca="1">SUMPRODUCT(OFFSET(tConvElecPan,0,15,1,_maxLT),INDEX(elecPan,1,7)*allOnes,tpSurvPan)</f>
        <v>497.42201991406125</v>
      </c>
      <c r="U146" s="39">
        <f ca="1">SUMPRODUCT(OFFSET(tConvElecPan,0,16,1,_maxLT),INDEX(elecPan,1,7)*allOnes,tpSurvPan)</f>
        <v>497.54325274119282</v>
      </c>
      <c r="V146" s="39">
        <f ca="1">SUMPRODUCT(OFFSET(tConvElecPan,0,17,1,_maxLT),INDEX(elecPan,1,7)*allOnes,tpSurvPan)</f>
        <v>497.72897015194252</v>
      </c>
      <c r="W146" s="39">
        <f ca="1">SUMPRODUCT(OFFSET(tConvElecPan,0,18,1,_maxLT),INDEX(elecPan,1,7)*allOnes,tpSurvPan)</f>
        <v>497.9079386500207</v>
      </c>
      <c r="X146" s="39">
        <f ca="1">SUMPRODUCT(OFFSET(tConvElecPan,0,19,1,_maxLT),INDEX(elecPan,1,7)*allOnes,tpSurvPan)</f>
        <v>498.05658174839795</v>
      </c>
      <c r="Y146" s="39">
        <f ca="1">SUMPRODUCT(OFFSET(tConvElecPan,0,20,1,_maxLT),INDEX(elecPan,1,7)*allOnes,tpSurvPan)</f>
        <v>498.15600619004647</v>
      </c>
      <c r="Z146" s="39">
        <f ca="1">SUMPRODUCT(OFFSET(tConvElecPan,0,21,1,_maxLT),INDEX(elecPan,1,7)*allOnes,tpSurvPan)</f>
        <v>498.22434730164662</v>
      </c>
      <c r="AA146" s="39">
        <f ca="1">SUMPRODUCT(OFFSET(tConvElecPan,0,22,1,_maxLT),INDEX(elecPan,1,7)*allOnes,tpSurvPan)</f>
        <v>498.22434730164662</v>
      </c>
      <c r="AB146" s="39">
        <f ca="1">SUMPRODUCT(OFFSET(tConvElecPan,0,23,1,_maxLT),INDEX(elecPan,1,7)*allOnes,tpSurvPan)</f>
        <v>498.22434730164662</v>
      </c>
      <c r="AC146" s="39">
        <f ca="1">SUMPRODUCT(OFFSET(tConvElecPan,0,24,1,_maxLT),INDEX(elecPan,1,7)*allOnes,tpSurvPan)</f>
        <v>498.22434730164662</v>
      </c>
      <c r="AD146" s="39">
        <f ca="1">SUMPRODUCT(OFFSET(tConvElecPan,0,25,1,_maxLT),INDEX(elecPan,1,7)*allOnes,tpSurvPan)</f>
        <v>498.22434730164662</v>
      </c>
      <c r="AE146" s="39">
        <f ca="1">SUMPRODUCT(OFFSET(tConvElecPan,0,26,1,_maxLT),INDEX(elecPan,1,7)*allOnes,tpSurvPan)</f>
        <v>498.22434730164662</v>
      </c>
      <c r="AF146" s="39">
        <f ca="1">SUMPRODUCT(OFFSET(tConvElecPan,0,27,1,_maxLT),INDEX(elecPan,1,7)*allOnes,tpSurvPan)</f>
        <v>498.22434730164662</v>
      </c>
      <c r="AG146" s="39">
        <f ca="1">SUMPRODUCT(OFFSET(tConvElecPan,0,28,1,_maxLT),INDEX(elecPan,1,7)*allOnes,tpSurvPan)</f>
        <v>498.22434730164662</v>
      </c>
      <c r="AH146" s="39">
        <f ca="1">SUMPRODUCT(OFFSET(tConvElecPan,0,29,1,_maxLT),INDEX(elecPan,1,7)*allOnes,tpSurvPan)</f>
        <v>498.22434730164662</v>
      </c>
      <c r="AI146" s="39">
        <f ca="1">SUMPRODUCT(OFFSET(tConvElecPan,0,30,1,_maxLT),INDEX(elecPan,1,7)*allOnes,tpSurvPan)</f>
        <v>498.22434730164662</v>
      </c>
      <c r="AJ146" s="39">
        <f ca="1">SUMPRODUCT(OFFSET(tConvElecPan,0,31,1,_maxLT),INDEX(elecPan,1,7)*allOnes,tpSurvPan)</f>
        <v>498.22434730164662</v>
      </c>
      <c r="AK146" s="39">
        <f ca="1">SUMPRODUCT(OFFSET(tConvElecPan,0,32,1,_maxLT),INDEX(elecPan,1,7)*allOnes,tpSurvPan)</f>
        <v>498.22434730164662</v>
      </c>
      <c r="AL146" s="40">
        <f ca="1">SUMPRODUCT(OFFSET(tConvElecPan,0,33,1,_maxLT),INDEX(elecPan,1,7)*allOnes,tpSurvPan)</f>
        <v>498.22434730164662</v>
      </c>
      <c r="AM146" s="10"/>
    </row>
    <row r="147" spans="2:39" ht="15">
      <c r="B147" s="10"/>
      <c r="C147" s="41" t="str">
        <f ca="1">"Std (CSL " &amp; stdCSL &amp; "): " &amp; INDEX(_doName,2,stdCSL+1)</f>
        <v>Std (CSL 5): EL 5</v>
      </c>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3"/>
      <c r="AM147" s="10"/>
    </row>
    <row r="148" spans="2:39" ht="15">
      <c r="B148" s="10"/>
      <c r="C148" s="57" t="str">
        <f>"EL 0: " &amp; INDEX(_doName,2,1)</f>
        <v>EL 0: EL 1</v>
      </c>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3"/>
      <c r="AM148" s="10"/>
    </row>
    <row r="149" spans="2:39" ht="15">
      <c r="B149" s="10"/>
      <c r="C149" s="16" t="s">
        <v>69</v>
      </c>
      <c r="D149" s="12" t="str">
        <f>_yearDol &amp; "$"</f>
        <v>2015$</v>
      </c>
      <c r="E149" s="13">
        <f t="array" aca="1" ref="E149:AL149" ca="1">INDEX(mspPan,stdCSL+1,1)*tPIdxAll + INDEX(instPan,stdCSL+1,1) + IF(bESav,SUMPRODUCT(dFactor,tpSurvPan,INDEX(mrPan,stdCSL+1,1)*allOnes),0)</f>
        <v>0</v>
      </c>
      <c r="F149" s="13">
        <f ca="1"/>
        <v>0</v>
      </c>
      <c r="G149" s="13">
        <f ca="1"/>
        <v>0</v>
      </c>
      <c r="H149" s="13">
        <f ca="1"/>
        <v>0</v>
      </c>
      <c r="I149" s="13">
        <f ca="1"/>
        <v>0</v>
      </c>
      <c r="J149" s="13">
        <f ca="1"/>
        <v>0</v>
      </c>
      <c r="K149" s="13">
        <f ca="1"/>
        <v>0</v>
      </c>
      <c r="L149" s="13">
        <f ca="1"/>
        <v>0</v>
      </c>
      <c r="M149" s="13">
        <f ca="1"/>
        <v>0</v>
      </c>
      <c r="N149" s="13">
        <f ca="1"/>
        <v>0</v>
      </c>
      <c r="O149" s="13">
        <f ca="1"/>
        <v>0</v>
      </c>
      <c r="P149" s="13">
        <f ca="1"/>
        <v>0</v>
      </c>
      <c r="Q149" s="13">
        <f ca="1"/>
        <v>0</v>
      </c>
      <c r="R149" s="13">
        <f ca="1"/>
        <v>0</v>
      </c>
      <c r="S149" s="13">
        <f ca="1"/>
        <v>0</v>
      </c>
      <c r="T149" s="13">
        <f ca="1"/>
        <v>0</v>
      </c>
      <c r="U149" s="13">
        <f ca="1"/>
        <v>0</v>
      </c>
      <c r="V149" s="13">
        <f ca="1"/>
        <v>0</v>
      </c>
      <c r="W149" s="13">
        <f ca="1"/>
        <v>0</v>
      </c>
      <c r="X149" s="13">
        <f ca="1"/>
        <v>0</v>
      </c>
      <c r="Y149" s="13">
        <f ca="1"/>
        <v>0</v>
      </c>
      <c r="Z149" s="13">
        <f ca="1"/>
        <v>0</v>
      </c>
      <c r="AA149" s="13">
        <f ca="1"/>
        <v>0</v>
      </c>
      <c r="AB149" s="13">
        <f ca="1"/>
        <v>0</v>
      </c>
      <c r="AC149" s="13">
        <f ca="1"/>
        <v>0</v>
      </c>
      <c r="AD149" s="13">
        <f ca="1"/>
        <v>0</v>
      </c>
      <c r="AE149" s="13">
        <f ca="1"/>
        <v>0</v>
      </c>
      <c r="AF149" s="13">
        <f ca="1"/>
        <v>0</v>
      </c>
      <c r="AG149" s="13">
        <f ca="1"/>
        <v>0</v>
      </c>
      <c r="AH149" s="13">
        <f ca="1"/>
        <v>0</v>
      </c>
      <c r="AI149" s="13">
        <f ca="1"/>
        <v>0</v>
      </c>
      <c r="AJ149" s="13">
        <f ca="1"/>
        <v>0</v>
      </c>
      <c r="AK149" s="13">
        <f ca="1"/>
        <v>0</v>
      </c>
      <c r="AL149" s="56">
        <f ca="1"/>
        <v>0</v>
      </c>
      <c r="AM149" s="10"/>
    </row>
    <row r="150" spans="2:39" ht="15">
      <c r="B150" s="10"/>
      <c r="C150" s="16" t="str">
        <f>zEO&amp;" Costs"</f>
        <v>Operating Costs</v>
      </c>
      <c r="D150" s="12" t="str">
        <f>_yearDol &amp; "$"</f>
        <v>2015$</v>
      </c>
      <c r="E150" s="13">
        <f t="array" aca="1" ref="E150:AL150" ca="1">(tlccEFuElecpol0) + IF(bOSav,SUMPRODUCT(dFactor,tpSurvPan,INDEX(mrPan,stdCSL+1,1)*allOnes),0)</f>
        <v>0</v>
      </c>
      <c r="F150" s="13">
        <f ca="1"/>
        <v>0</v>
      </c>
      <c r="G150" s="13">
        <f ca="1"/>
        <v>0</v>
      </c>
      <c r="H150" s="13">
        <f ca="1"/>
        <v>0</v>
      </c>
      <c r="I150" s="13">
        <f ca="1"/>
        <v>0</v>
      </c>
      <c r="J150" s="13">
        <f ca="1"/>
        <v>0</v>
      </c>
      <c r="K150" s="13">
        <f ca="1"/>
        <v>0</v>
      </c>
      <c r="L150" s="13">
        <f ca="1"/>
        <v>0</v>
      </c>
      <c r="M150" s="13">
        <f ca="1"/>
        <v>0</v>
      </c>
      <c r="N150" s="13">
        <f ca="1"/>
        <v>0</v>
      </c>
      <c r="O150" s="13">
        <f ca="1"/>
        <v>0</v>
      </c>
      <c r="P150" s="13">
        <f ca="1"/>
        <v>0</v>
      </c>
      <c r="Q150" s="13">
        <f ca="1"/>
        <v>0</v>
      </c>
      <c r="R150" s="13">
        <f ca="1"/>
        <v>0</v>
      </c>
      <c r="S150" s="13">
        <f ca="1"/>
        <v>0</v>
      </c>
      <c r="T150" s="13">
        <f ca="1"/>
        <v>0</v>
      </c>
      <c r="U150" s="13">
        <f ca="1"/>
        <v>0</v>
      </c>
      <c r="V150" s="13">
        <f ca="1"/>
        <v>0</v>
      </c>
      <c r="W150" s="13">
        <f ca="1"/>
        <v>0</v>
      </c>
      <c r="X150" s="13">
        <f ca="1"/>
        <v>0</v>
      </c>
      <c r="Y150" s="13">
        <f ca="1"/>
        <v>0</v>
      </c>
      <c r="Z150" s="13">
        <f ca="1"/>
        <v>0</v>
      </c>
      <c r="AA150" s="13">
        <f ca="1"/>
        <v>0</v>
      </c>
      <c r="AB150" s="13">
        <f ca="1"/>
        <v>0</v>
      </c>
      <c r="AC150" s="13">
        <f ca="1"/>
        <v>0</v>
      </c>
      <c r="AD150" s="13">
        <f ca="1"/>
        <v>0</v>
      </c>
      <c r="AE150" s="13">
        <f ca="1"/>
        <v>0</v>
      </c>
      <c r="AF150" s="13">
        <f ca="1"/>
        <v>0</v>
      </c>
      <c r="AG150" s="13">
        <f ca="1"/>
        <v>0</v>
      </c>
      <c r="AH150" s="13">
        <f ca="1"/>
        <v>0</v>
      </c>
      <c r="AI150" s="13">
        <f ca="1"/>
        <v>0</v>
      </c>
      <c r="AJ150" s="13">
        <f ca="1"/>
        <v>0</v>
      </c>
      <c r="AK150" s="13">
        <f ca="1"/>
        <v>0</v>
      </c>
      <c r="AL150" s="56">
        <f ca="1"/>
        <v>0</v>
      </c>
      <c r="AM150" s="10"/>
    </row>
    <row r="151" spans="2:39" ht="15">
      <c r="B151" s="10"/>
      <c r="C151" s="28" t="str">
        <f>INDEX(_fuel,1)</f>
        <v>Electricity</v>
      </c>
      <c r="D151" s="12" t="str">
        <f>_yearDol &amp; "$"</f>
        <v>2015$</v>
      </c>
      <c r="E151" s="13">
        <f ca="1">SUMPRODUCT(dFactor,tpSurvPan,INDEX(elecPan,stdCSL+1,1)*allOnes,OFFSET(tPrcElec,0,0,1,_maxLT))</f>
        <v>0</v>
      </c>
      <c r="F151" s="13">
        <f ca="1">SUMPRODUCT(dFactor,tpSurvPan,INDEX(elecPan,stdCSL+1,1)*allOnes,OFFSET(tPrcElec,0,1,1,_maxLT))</f>
        <v>0</v>
      </c>
      <c r="G151" s="13">
        <f ca="1">SUMPRODUCT(dFactor,tpSurvPan,INDEX(elecPan,stdCSL+1,1)*allOnes,OFFSET(tPrcElec,0,2,1,_maxLT))</f>
        <v>0</v>
      </c>
      <c r="H151" s="13">
        <f ca="1">SUMPRODUCT(dFactor,tpSurvPan,INDEX(elecPan,stdCSL+1,1)*allOnes,OFFSET(tPrcElec,0,3,1,_maxLT))</f>
        <v>0</v>
      </c>
      <c r="I151" s="13">
        <f ca="1">SUMPRODUCT(dFactor,tpSurvPan,INDEX(elecPan,stdCSL+1,1)*allOnes,OFFSET(tPrcElec,0,4,1,_maxLT))</f>
        <v>0</v>
      </c>
      <c r="J151" s="13">
        <f ca="1">SUMPRODUCT(dFactor,tpSurvPan,INDEX(elecPan,stdCSL+1,1)*allOnes,OFFSET(tPrcElec,0,5,1,_maxLT))</f>
        <v>0</v>
      </c>
      <c r="K151" s="13">
        <f ca="1">SUMPRODUCT(dFactor,tpSurvPan,INDEX(elecPan,stdCSL+1,1)*allOnes,OFFSET(tPrcElec,0,6,1,_maxLT))</f>
        <v>0</v>
      </c>
      <c r="L151" s="13">
        <f ca="1">SUMPRODUCT(dFactor,tpSurvPan,INDEX(elecPan,stdCSL+1,1)*allOnes,OFFSET(tPrcElec,0,7,1,_maxLT))</f>
        <v>0</v>
      </c>
      <c r="M151" s="13">
        <f ca="1">SUMPRODUCT(dFactor,tpSurvPan,INDEX(elecPan,stdCSL+1,1)*allOnes,OFFSET(tPrcElec,0,8,1,_maxLT))</f>
        <v>0</v>
      </c>
      <c r="N151" s="13">
        <f ca="1">SUMPRODUCT(dFactor,tpSurvPan,INDEX(elecPan,stdCSL+1,1)*allOnes,OFFSET(tPrcElec,0,9,1,_maxLT))</f>
        <v>0</v>
      </c>
      <c r="O151" s="13">
        <f ca="1">SUMPRODUCT(dFactor,tpSurvPan,INDEX(elecPan,stdCSL+1,1)*allOnes,OFFSET(tPrcElec,0,10,1,_maxLT))</f>
        <v>0</v>
      </c>
      <c r="P151" s="13">
        <f ca="1">SUMPRODUCT(dFactor,tpSurvPan,INDEX(elecPan,stdCSL+1,1)*allOnes,OFFSET(tPrcElec,0,11,1,_maxLT))</f>
        <v>0</v>
      </c>
      <c r="Q151" s="13">
        <f ca="1">SUMPRODUCT(dFactor,tpSurvPan,INDEX(elecPan,stdCSL+1,1)*allOnes,OFFSET(tPrcElec,0,12,1,_maxLT))</f>
        <v>0</v>
      </c>
      <c r="R151" s="13">
        <f ca="1">SUMPRODUCT(dFactor,tpSurvPan,INDEX(elecPan,stdCSL+1,1)*allOnes,OFFSET(tPrcElec,0,13,1,_maxLT))</f>
        <v>0</v>
      </c>
      <c r="S151" s="13">
        <f ca="1">SUMPRODUCT(dFactor,tpSurvPan,INDEX(elecPan,stdCSL+1,1)*allOnes,OFFSET(tPrcElec,0,14,1,_maxLT))</f>
        <v>0</v>
      </c>
      <c r="T151" s="13">
        <f ca="1">SUMPRODUCT(dFactor,tpSurvPan,INDEX(elecPan,stdCSL+1,1)*allOnes,OFFSET(tPrcElec,0,15,1,_maxLT))</f>
        <v>0</v>
      </c>
      <c r="U151" s="13">
        <f ca="1">SUMPRODUCT(dFactor,tpSurvPan,INDEX(elecPan,stdCSL+1,1)*allOnes,OFFSET(tPrcElec,0,16,1,_maxLT))</f>
        <v>0</v>
      </c>
      <c r="V151" s="13">
        <f ca="1">SUMPRODUCT(dFactor,tpSurvPan,INDEX(elecPan,stdCSL+1,1)*allOnes,OFFSET(tPrcElec,0,17,1,_maxLT))</f>
        <v>0</v>
      </c>
      <c r="W151" s="13">
        <f ca="1">SUMPRODUCT(dFactor,tpSurvPan,INDEX(elecPan,stdCSL+1,1)*allOnes,OFFSET(tPrcElec,0,18,1,_maxLT))</f>
        <v>0</v>
      </c>
      <c r="X151" s="13">
        <f ca="1">SUMPRODUCT(dFactor,tpSurvPan,INDEX(elecPan,stdCSL+1,1)*allOnes,OFFSET(tPrcElec,0,19,1,_maxLT))</f>
        <v>0</v>
      </c>
      <c r="Y151" s="13">
        <f ca="1">SUMPRODUCT(dFactor,tpSurvPan,INDEX(elecPan,stdCSL+1,1)*allOnes,OFFSET(tPrcElec,0,20,1,_maxLT))</f>
        <v>0</v>
      </c>
      <c r="Z151" s="13">
        <f ca="1">SUMPRODUCT(dFactor,tpSurvPan,INDEX(elecPan,stdCSL+1,1)*allOnes,OFFSET(tPrcElec,0,21,1,_maxLT))</f>
        <v>0</v>
      </c>
      <c r="AA151" s="13">
        <f ca="1">SUMPRODUCT(dFactor,tpSurvPan,INDEX(elecPan,stdCSL+1,1)*allOnes,OFFSET(tPrcElec,0,22,1,_maxLT))</f>
        <v>0</v>
      </c>
      <c r="AB151" s="13">
        <f ca="1">SUMPRODUCT(dFactor,tpSurvPan,INDEX(elecPan,stdCSL+1,1)*allOnes,OFFSET(tPrcElec,0,23,1,_maxLT))</f>
        <v>0</v>
      </c>
      <c r="AC151" s="13">
        <f ca="1">SUMPRODUCT(dFactor,tpSurvPan,INDEX(elecPan,stdCSL+1,1)*allOnes,OFFSET(tPrcElec,0,24,1,_maxLT))</f>
        <v>0</v>
      </c>
      <c r="AD151" s="13">
        <f ca="1">SUMPRODUCT(dFactor,tpSurvPan,INDEX(elecPan,stdCSL+1,1)*allOnes,OFFSET(tPrcElec,0,25,1,_maxLT))</f>
        <v>0</v>
      </c>
      <c r="AE151" s="13">
        <f ca="1">SUMPRODUCT(dFactor,tpSurvPan,INDEX(elecPan,stdCSL+1,1)*allOnes,OFFSET(tPrcElec,0,26,1,_maxLT))</f>
        <v>0</v>
      </c>
      <c r="AF151" s="13">
        <f ca="1">SUMPRODUCT(dFactor,tpSurvPan,INDEX(elecPan,stdCSL+1,1)*allOnes,OFFSET(tPrcElec,0,27,1,_maxLT))</f>
        <v>0</v>
      </c>
      <c r="AG151" s="13">
        <f ca="1">SUMPRODUCT(dFactor,tpSurvPan,INDEX(elecPan,stdCSL+1,1)*allOnes,OFFSET(tPrcElec,0,28,1,_maxLT))</f>
        <v>0</v>
      </c>
      <c r="AH151" s="13">
        <f ca="1">SUMPRODUCT(dFactor,tpSurvPan,INDEX(elecPan,stdCSL+1,1)*allOnes,OFFSET(tPrcElec,0,29,1,_maxLT))</f>
        <v>0</v>
      </c>
      <c r="AI151" s="13">
        <f ca="1">SUMPRODUCT(dFactor,tpSurvPan,INDEX(elecPan,stdCSL+1,1)*allOnes,OFFSET(tPrcElec,0,30,1,_maxLT))</f>
        <v>0</v>
      </c>
      <c r="AJ151" s="13">
        <f ca="1">SUMPRODUCT(dFactor,tpSurvPan,INDEX(elecPan,stdCSL+1,1)*allOnes,OFFSET(tPrcElec,0,31,1,_maxLT))</f>
        <v>0</v>
      </c>
      <c r="AK151" s="13">
        <f ca="1">SUMPRODUCT(dFactor,tpSurvPan,INDEX(elecPan,stdCSL+1,1)*allOnes,OFFSET(tPrcElec,0,32,1,_maxLT))</f>
        <v>0</v>
      </c>
      <c r="AL151" s="56">
        <f ca="1">SUMPRODUCT(dFactor,tpSurvPan,INDEX(elecPan,stdCSL+1,1)*allOnes,OFFSET(tPrcElec,0,33,1,_maxLT))</f>
        <v>0</v>
      </c>
      <c r="AM151" s="10"/>
    </row>
    <row r="152" spans="2:39" ht="15">
      <c r="B152" s="10"/>
      <c r="C152" s="16" t="s">
        <v>79</v>
      </c>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5"/>
      <c r="AM152" s="10"/>
    </row>
    <row r="153" spans="2:39" ht="15">
      <c r="B153" s="10"/>
      <c r="C153" s="28" t="str">
        <f>INDEX(_fuel,1)</f>
        <v>Electricity</v>
      </c>
      <c r="D153" s="12" t="s">
        <v>83</v>
      </c>
      <c r="E153" s="39">
        <f ca="1">SUMPRODUCT(OFFSET(tConvElecPan,0,0,1,_maxLT),INDEX(elecPan,stdCSL+1,1)*allOnes,tpSurvPan)</f>
        <v>0</v>
      </c>
      <c r="F153" s="39">
        <f ca="1">SUMPRODUCT(OFFSET(tConvElecPan,0,1,1,_maxLT),INDEX(elecPan,stdCSL+1,1)*allOnes,tpSurvPan)</f>
        <v>0</v>
      </c>
      <c r="G153" s="39">
        <f ca="1">SUMPRODUCT(OFFSET(tConvElecPan,0,2,1,_maxLT),INDEX(elecPan,stdCSL+1,1)*allOnes,tpSurvPan)</f>
        <v>0</v>
      </c>
      <c r="H153" s="39">
        <f ca="1">SUMPRODUCT(OFFSET(tConvElecPan,0,3,1,_maxLT),INDEX(elecPan,stdCSL+1,1)*allOnes,tpSurvPan)</f>
        <v>0</v>
      </c>
      <c r="I153" s="39">
        <f ca="1">SUMPRODUCT(OFFSET(tConvElecPan,0,4,1,_maxLT),INDEX(elecPan,stdCSL+1,1)*allOnes,tpSurvPan)</f>
        <v>0</v>
      </c>
      <c r="J153" s="39">
        <f ca="1">SUMPRODUCT(OFFSET(tConvElecPan,0,5,1,_maxLT),INDEX(elecPan,stdCSL+1,1)*allOnes,tpSurvPan)</f>
        <v>0</v>
      </c>
      <c r="K153" s="39">
        <f ca="1">SUMPRODUCT(OFFSET(tConvElecPan,0,6,1,_maxLT),INDEX(elecPan,stdCSL+1,1)*allOnes,tpSurvPan)</f>
        <v>0</v>
      </c>
      <c r="L153" s="39">
        <f ca="1">SUMPRODUCT(OFFSET(tConvElecPan,0,7,1,_maxLT),INDEX(elecPan,stdCSL+1,1)*allOnes,tpSurvPan)</f>
        <v>0</v>
      </c>
      <c r="M153" s="39">
        <f ca="1">SUMPRODUCT(OFFSET(tConvElecPan,0,8,1,_maxLT),INDEX(elecPan,stdCSL+1,1)*allOnes,tpSurvPan)</f>
        <v>0</v>
      </c>
      <c r="N153" s="39">
        <f ca="1">SUMPRODUCT(OFFSET(tConvElecPan,0,9,1,_maxLT),INDEX(elecPan,stdCSL+1,1)*allOnes,tpSurvPan)</f>
        <v>0</v>
      </c>
      <c r="O153" s="39">
        <f ca="1">SUMPRODUCT(OFFSET(tConvElecPan,0,10,1,_maxLT),INDEX(elecPan,stdCSL+1,1)*allOnes,tpSurvPan)</f>
        <v>0</v>
      </c>
      <c r="P153" s="39">
        <f ca="1">SUMPRODUCT(OFFSET(tConvElecPan,0,11,1,_maxLT),INDEX(elecPan,stdCSL+1,1)*allOnes,tpSurvPan)</f>
        <v>0</v>
      </c>
      <c r="Q153" s="39">
        <f ca="1">SUMPRODUCT(OFFSET(tConvElecPan,0,12,1,_maxLT),INDEX(elecPan,stdCSL+1,1)*allOnes,tpSurvPan)</f>
        <v>0</v>
      </c>
      <c r="R153" s="39">
        <f ca="1">SUMPRODUCT(OFFSET(tConvElecPan,0,13,1,_maxLT),INDEX(elecPan,stdCSL+1,1)*allOnes,tpSurvPan)</f>
        <v>0</v>
      </c>
      <c r="S153" s="39">
        <f ca="1">SUMPRODUCT(OFFSET(tConvElecPan,0,14,1,_maxLT),INDEX(elecPan,stdCSL+1,1)*allOnes,tpSurvPan)</f>
        <v>0</v>
      </c>
      <c r="T153" s="39">
        <f ca="1">SUMPRODUCT(OFFSET(tConvElecPan,0,15,1,_maxLT),INDEX(elecPan,stdCSL+1,1)*allOnes,tpSurvPan)</f>
        <v>0</v>
      </c>
      <c r="U153" s="39">
        <f ca="1">SUMPRODUCT(OFFSET(tConvElecPan,0,16,1,_maxLT),INDEX(elecPan,stdCSL+1,1)*allOnes,tpSurvPan)</f>
        <v>0</v>
      </c>
      <c r="V153" s="39">
        <f ca="1">SUMPRODUCT(OFFSET(tConvElecPan,0,17,1,_maxLT),INDEX(elecPan,stdCSL+1,1)*allOnes,tpSurvPan)</f>
        <v>0</v>
      </c>
      <c r="W153" s="39">
        <f ca="1">SUMPRODUCT(OFFSET(tConvElecPan,0,18,1,_maxLT),INDEX(elecPan,stdCSL+1,1)*allOnes,tpSurvPan)</f>
        <v>0</v>
      </c>
      <c r="X153" s="39">
        <f ca="1">SUMPRODUCT(OFFSET(tConvElecPan,0,19,1,_maxLT),INDEX(elecPan,stdCSL+1,1)*allOnes,tpSurvPan)</f>
        <v>0</v>
      </c>
      <c r="Y153" s="39">
        <f ca="1">SUMPRODUCT(OFFSET(tConvElecPan,0,20,1,_maxLT),INDEX(elecPan,stdCSL+1,1)*allOnes,tpSurvPan)</f>
        <v>0</v>
      </c>
      <c r="Z153" s="39">
        <f ca="1">SUMPRODUCT(OFFSET(tConvElecPan,0,21,1,_maxLT),INDEX(elecPan,stdCSL+1,1)*allOnes,tpSurvPan)</f>
        <v>0</v>
      </c>
      <c r="AA153" s="39">
        <f ca="1">SUMPRODUCT(OFFSET(tConvElecPan,0,22,1,_maxLT),INDEX(elecPan,stdCSL+1,1)*allOnes,tpSurvPan)</f>
        <v>0</v>
      </c>
      <c r="AB153" s="39">
        <f ca="1">SUMPRODUCT(OFFSET(tConvElecPan,0,23,1,_maxLT),INDEX(elecPan,stdCSL+1,1)*allOnes,tpSurvPan)</f>
        <v>0</v>
      </c>
      <c r="AC153" s="39">
        <f ca="1">SUMPRODUCT(OFFSET(tConvElecPan,0,24,1,_maxLT),INDEX(elecPan,stdCSL+1,1)*allOnes,tpSurvPan)</f>
        <v>0</v>
      </c>
      <c r="AD153" s="39">
        <f ca="1">SUMPRODUCT(OFFSET(tConvElecPan,0,25,1,_maxLT),INDEX(elecPan,stdCSL+1,1)*allOnes,tpSurvPan)</f>
        <v>0</v>
      </c>
      <c r="AE153" s="39">
        <f ca="1">SUMPRODUCT(OFFSET(tConvElecPan,0,26,1,_maxLT),INDEX(elecPan,stdCSL+1,1)*allOnes,tpSurvPan)</f>
        <v>0</v>
      </c>
      <c r="AF153" s="39">
        <f ca="1">SUMPRODUCT(OFFSET(tConvElecPan,0,27,1,_maxLT),INDEX(elecPan,stdCSL+1,1)*allOnes,tpSurvPan)</f>
        <v>0</v>
      </c>
      <c r="AG153" s="39">
        <f ca="1">SUMPRODUCT(OFFSET(tConvElecPan,0,28,1,_maxLT),INDEX(elecPan,stdCSL+1,1)*allOnes,tpSurvPan)</f>
        <v>0</v>
      </c>
      <c r="AH153" s="39">
        <f ca="1">SUMPRODUCT(OFFSET(tConvElecPan,0,29,1,_maxLT),INDEX(elecPan,stdCSL+1,1)*allOnes,tpSurvPan)</f>
        <v>0</v>
      </c>
      <c r="AI153" s="39">
        <f ca="1">SUMPRODUCT(OFFSET(tConvElecPan,0,30,1,_maxLT),INDEX(elecPan,stdCSL+1,1)*allOnes,tpSurvPan)</f>
        <v>0</v>
      </c>
      <c r="AJ153" s="39">
        <f ca="1">SUMPRODUCT(OFFSET(tConvElecPan,0,31,1,_maxLT),INDEX(elecPan,stdCSL+1,1)*allOnes,tpSurvPan)</f>
        <v>0</v>
      </c>
      <c r="AK153" s="39">
        <f ca="1">SUMPRODUCT(OFFSET(tConvElecPan,0,32,1,_maxLT),INDEX(elecPan,stdCSL+1,1)*allOnes,tpSurvPan)</f>
        <v>0</v>
      </c>
      <c r="AL153" s="40">
        <f ca="1">SUMPRODUCT(OFFSET(tConvElecPan,0,33,1,_maxLT),INDEX(elecPan,stdCSL+1,1)*allOnes,tpSurvPan)</f>
        <v>0</v>
      </c>
      <c r="AM153" s="10"/>
    </row>
    <row r="154" spans="2:39" ht="15">
      <c r="B154" s="10"/>
      <c r="C154" s="57" t="str">
        <f>"EL 1: " &amp; INDEX(_doName,2,2)</f>
        <v>EL 1: EL 1</v>
      </c>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3"/>
      <c r="AM154" s="10"/>
    </row>
    <row r="155" spans="2:39" ht="15">
      <c r="B155" s="10"/>
      <c r="C155" s="16" t="s">
        <v>69</v>
      </c>
      <c r="D155" s="12" t="str">
        <f>_yearDol &amp; "$"</f>
        <v>2015$</v>
      </c>
      <c r="E155" s="13">
        <f t="array" aca="1" ref="E155:AL155" ca="1">INDEX(mspPan,stdCSL+1,2)*tPIdxAll + INDEX(instPan,stdCSL+1,2) + IF(bESav,SUMPRODUCT(dFactor,tpSurvPan,INDEX(mrPan,stdCSL+1,2)*allOnes),0)</f>
        <v>0</v>
      </c>
      <c r="F155" s="13">
        <f ca="1"/>
        <v>0</v>
      </c>
      <c r="G155" s="13">
        <f ca="1"/>
        <v>0</v>
      </c>
      <c r="H155" s="13">
        <f ca="1"/>
        <v>0</v>
      </c>
      <c r="I155" s="13">
        <f ca="1"/>
        <v>0</v>
      </c>
      <c r="J155" s="13">
        <f ca="1"/>
        <v>0</v>
      </c>
      <c r="K155" s="13">
        <f ca="1"/>
        <v>0</v>
      </c>
      <c r="L155" s="13">
        <f ca="1"/>
        <v>0</v>
      </c>
      <c r="M155" s="13">
        <f ca="1"/>
        <v>0</v>
      </c>
      <c r="N155" s="13">
        <f ca="1"/>
        <v>0</v>
      </c>
      <c r="O155" s="13">
        <f ca="1"/>
        <v>0</v>
      </c>
      <c r="P155" s="13">
        <f ca="1"/>
        <v>0</v>
      </c>
      <c r="Q155" s="13">
        <f ca="1"/>
        <v>0</v>
      </c>
      <c r="R155" s="13">
        <f ca="1"/>
        <v>0</v>
      </c>
      <c r="S155" s="13">
        <f ca="1"/>
        <v>0</v>
      </c>
      <c r="T155" s="13">
        <f ca="1"/>
        <v>0</v>
      </c>
      <c r="U155" s="13">
        <f ca="1"/>
        <v>0</v>
      </c>
      <c r="V155" s="13">
        <f ca="1"/>
        <v>0</v>
      </c>
      <c r="W155" s="13">
        <f ca="1"/>
        <v>0</v>
      </c>
      <c r="X155" s="13">
        <f ca="1"/>
        <v>0</v>
      </c>
      <c r="Y155" s="13">
        <f ca="1"/>
        <v>0</v>
      </c>
      <c r="Z155" s="13">
        <f ca="1"/>
        <v>0</v>
      </c>
      <c r="AA155" s="13">
        <f ca="1"/>
        <v>0</v>
      </c>
      <c r="AB155" s="13">
        <f ca="1"/>
        <v>0</v>
      </c>
      <c r="AC155" s="13">
        <f ca="1"/>
        <v>0</v>
      </c>
      <c r="AD155" s="13">
        <f ca="1"/>
        <v>0</v>
      </c>
      <c r="AE155" s="13">
        <f ca="1"/>
        <v>0</v>
      </c>
      <c r="AF155" s="13">
        <f ca="1"/>
        <v>0</v>
      </c>
      <c r="AG155" s="13">
        <f ca="1"/>
        <v>0</v>
      </c>
      <c r="AH155" s="13">
        <f ca="1"/>
        <v>0</v>
      </c>
      <c r="AI155" s="13">
        <f ca="1"/>
        <v>0</v>
      </c>
      <c r="AJ155" s="13">
        <f ca="1"/>
        <v>0</v>
      </c>
      <c r="AK155" s="13">
        <f ca="1"/>
        <v>0</v>
      </c>
      <c r="AL155" s="56">
        <f ca="1"/>
        <v>0</v>
      </c>
      <c r="AM155" s="10"/>
    </row>
    <row r="156" spans="2:39" ht="15">
      <c r="B156" s="10"/>
      <c r="C156" s="16" t="str">
        <f>zEO&amp;" Costs"</f>
        <v>Operating Costs</v>
      </c>
      <c r="D156" s="12" t="str">
        <f>_yearDol &amp; "$"</f>
        <v>2015$</v>
      </c>
      <c r="E156" s="13">
        <f t="array" aca="1" ref="E156:AL156" ca="1">(tlccEFuElecpol1) + IF(bOSav,SUMPRODUCT(dFactor,tpSurvPan,INDEX(mrPan,stdCSL+1,2)*allOnes),0)</f>
        <v>0</v>
      </c>
      <c r="F156" s="13">
        <f ca="1"/>
        <v>0</v>
      </c>
      <c r="G156" s="13">
        <f ca="1"/>
        <v>0</v>
      </c>
      <c r="H156" s="13">
        <f ca="1"/>
        <v>0</v>
      </c>
      <c r="I156" s="13">
        <f ca="1"/>
        <v>0</v>
      </c>
      <c r="J156" s="13">
        <f ca="1"/>
        <v>0</v>
      </c>
      <c r="K156" s="13">
        <f ca="1"/>
        <v>0</v>
      </c>
      <c r="L156" s="13">
        <f ca="1"/>
        <v>0</v>
      </c>
      <c r="M156" s="13">
        <f ca="1"/>
        <v>0</v>
      </c>
      <c r="N156" s="13">
        <f ca="1"/>
        <v>0</v>
      </c>
      <c r="O156" s="13">
        <f ca="1"/>
        <v>0</v>
      </c>
      <c r="P156" s="13">
        <f ca="1"/>
        <v>0</v>
      </c>
      <c r="Q156" s="13">
        <f ca="1"/>
        <v>0</v>
      </c>
      <c r="R156" s="13">
        <f ca="1"/>
        <v>0</v>
      </c>
      <c r="S156" s="13">
        <f ca="1"/>
        <v>0</v>
      </c>
      <c r="T156" s="13">
        <f ca="1"/>
        <v>0</v>
      </c>
      <c r="U156" s="13">
        <f ca="1"/>
        <v>0</v>
      </c>
      <c r="V156" s="13">
        <f ca="1"/>
        <v>0</v>
      </c>
      <c r="W156" s="13">
        <f ca="1"/>
        <v>0</v>
      </c>
      <c r="X156" s="13">
        <f ca="1"/>
        <v>0</v>
      </c>
      <c r="Y156" s="13">
        <f ca="1"/>
        <v>0</v>
      </c>
      <c r="Z156" s="13">
        <f ca="1"/>
        <v>0</v>
      </c>
      <c r="AA156" s="13">
        <f ca="1"/>
        <v>0</v>
      </c>
      <c r="AB156" s="13">
        <f ca="1"/>
        <v>0</v>
      </c>
      <c r="AC156" s="13">
        <f ca="1"/>
        <v>0</v>
      </c>
      <c r="AD156" s="13">
        <f ca="1"/>
        <v>0</v>
      </c>
      <c r="AE156" s="13">
        <f ca="1"/>
        <v>0</v>
      </c>
      <c r="AF156" s="13">
        <f ca="1"/>
        <v>0</v>
      </c>
      <c r="AG156" s="13">
        <f ca="1"/>
        <v>0</v>
      </c>
      <c r="AH156" s="13">
        <f ca="1"/>
        <v>0</v>
      </c>
      <c r="AI156" s="13">
        <f ca="1"/>
        <v>0</v>
      </c>
      <c r="AJ156" s="13">
        <f ca="1"/>
        <v>0</v>
      </c>
      <c r="AK156" s="13">
        <f ca="1"/>
        <v>0</v>
      </c>
      <c r="AL156" s="56">
        <f ca="1"/>
        <v>0</v>
      </c>
      <c r="AM156" s="10"/>
    </row>
    <row r="157" spans="2:39" ht="15">
      <c r="B157" s="10"/>
      <c r="C157" s="28" t="str">
        <f>INDEX(_fuel,1)</f>
        <v>Electricity</v>
      </c>
      <c r="D157" s="12" t="str">
        <f>_yearDol &amp; "$"</f>
        <v>2015$</v>
      </c>
      <c r="E157" s="13">
        <f ca="1">SUMPRODUCT(dFactor,tpSurvPan,INDEX(elecPan,stdCSL+1,2)*allOnes,OFFSET(tPrcElec,0,0,1,_maxLT))</f>
        <v>0</v>
      </c>
      <c r="F157" s="13">
        <f ca="1">SUMPRODUCT(dFactor,tpSurvPan,INDEX(elecPan,stdCSL+1,2)*allOnes,OFFSET(tPrcElec,0,1,1,_maxLT))</f>
        <v>0</v>
      </c>
      <c r="G157" s="13">
        <f ca="1">SUMPRODUCT(dFactor,tpSurvPan,INDEX(elecPan,stdCSL+1,2)*allOnes,OFFSET(tPrcElec,0,2,1,_maxLT))</f>
        <v>0</v>
      </c>
      <c r="H157" s="13">
        <f ca="1">SUMPRODUCT(dFactor,tpSurvPan,INDEX(elecPan,stdCSL+1,2)*allOnes,OFFSET(tPrcElec,0,3,1,_maxLT))</f>
        <v>0</v>
      </c>
      <c r="I157" s="13">
        <f ca="1">SUMPRODUCT(dFactor,tpSurvPan,INDEX(elecPan,stdCSL+1,2)*allOnes,OFFSET(tPrcElec,0,4,1,_maxLT))</f>
        <v>0</v>
      </c>
      <c r="J157" s="13">
        <f ca="1">SUMPRODUCT(dFactor,tpSurvPan,INDEX(elecPan,stdCSL+1,2)*allOnes,OFFSET(tPrcElec,0,5,1,_maxLT))</f>
        <v>0</v>
      </c>
      <c r="K157" s="13">
        <f ca="1">SUMPRODUCT(dFactor,tpSurvPan,INDEX(elecPan,stdCSL+1,2)*allOnes,OFFSET(tPrcElec,0,6,1,_maxLT))</f>
        <v>0</v>
      </c>
      <c r="L157" s="13">
        <f ca="1">SUMPRODUCT(dFactor,tpSurvPan,INDEX(elecPan,stdCSL+1,2)*allOnes,OFFSET(tPrcElec,0,7,1,_maxLT))</f>
        <v>0</v>
      </c>
      <c r="M157" s="13">
        <f ca="1">SUMPRODUCT(dFactor,tpSurvPan,INDEX(elecPan,stdCSL+1,2)*allOnes,OFFSET(tPrcElec,0,8,1,_maxLT))</f>
        <v>0</v>
      </c>
      <c r="N157" s="13">
        <f ca="1">SUMPRODUCT(dFactor,tpSurvPan,INDEX(elecPan,stdCSL+1,2)*allOnes,OFFSET(tPrcElec,0,9,1,_maxLT))</f>
        <v>0</v>
      </c>
      <c r="O157" s="13">
        <f ca="1">SUMPRODUCT(dFactor,tpSurvPan,INDEX(elecPan,stdCSL+1,2)*allOnes,OFFSET(tPrcElec,0,10,1,_maxLT))</f>
        <v>0</v>
      </c>
      <c r="P157" s="13">
        <f ca="1">SUMPRODUCT(dFactor,tpSurvPan,INDEX(elecPan,stdCSL+1,2)*allOnes,OFFSET(tPrcElec,0,11,1,_maxLT))</f>
        <v>0</v>
      </c>
      <c r="Q157" s="13">
        <f ca="1">SUMPRODUCT(dFactor,tpSurvPan,INDEX(elecPan,stdCSL+1,2)*allOnes,OFFSET(tPrcElec,0,12,1,_maxLT))</f>
        <v>0</v>
      </c>
      <c r="R157" s="13">
        <f ca="1">SUMPRODUCT(dFactor,tpSurvPan,INDEX(elecPan,stdCSL+1,2)*allOnes,OFFSET(tPrcElec,0,13,1,_maxLT))</f>
        <v>0</v>
      </c>
      <c r="S157" s="13">
        <f ca="1">SUMPRODUCT(dFactor,tpSurvPan,INDEX(elecPan,stdCSL+1,2)*allOnes,OFFSET(tPrcElec,0,14,1,_maxLT))</f>
        <v>0</v>
      </c>
      <c r="T157" s="13">
        <f ca="1">SUMPRODUCT(dFactor,tpSurvPan,INDEX(elecPan,stdCSL+1,2)*allOnes,OFFSET(tPrcElec,0,15,1,_maxLT))</f>
        <v>0</v>
      </c>
      <c r="U157" s="13">
        <f ca="1">SUMPRODUCT(dFactor,tpSurvPan,INDEX(elecPan,stdCSL+1,2)*allOnes,OFFSET(tPrcElec,0,16,1,_maxLT))</f>
        <v>0</v>
      </c>
      <c r="V157" s="13">
        <f ca="1">SUMPRODUCT(dFactor,tpSurvPan,INDEX(elecPan,stdCSL+1,2)*allOnes,OFFSET(tPrcElec,0,17,1,_maxLT))</f>
        <v>0</v>
      </c>
      <c r="W157" s="13">
        <f ca="1">SUMPRODUCT(dFactor,tpSurvPan,INDEX(elecPan,stdCSL+1,2)*allOnes,OFFSET(tPrcElec,0,18,1,_maxLT))</f>
        <v>0</v>
      </c>
      <c r="X157" s="13">
        <f ca="1">SUMPRODUCT(dFactor,tpSurvPan,INDEX(elecPan,stdCSL+1,2)*allOnes,OFFSET(tPrcElec,0,19,1,_maxLT))</f>
        <v>0</v>
      </c>
      <c r="Y157" s="13">
        <f ca="1">SUMPRODUCT(dFactor,tpSurvPan,INDEX(elecPan,stdCSL+1,2)*allOnes,OFFSET(tPrcElec,0,20,1,_maxLT))</f>
        <v>0</v>
      </c>
      <c r="Z157" s="13">
        <f ca="1">SUMPRODUCT(dFactor,tpSurvPan,INDEX(elecPan,stdCSL+1,2)*allOnes,OFFSET(tPrcElec,0,21,1,_maxLT))</f>
        <v>0</v>
      </c>
      <c r="AA157" s="13">
        <f ca="1">SUMPRODUCT(dFactor,tpSurvPan,INDEX(elecPan,stdCSL+1,2)*allOnes,OFFSET(tPrcElec,0,22,1,_maxLT))</f>
        <v>0</v>
      </c>
      <c r="AB157" s="13">
        <f ca="1">SUMPRODUCT(dFactor,tpSurvPan,INDEX(elecPan,stdCSL+1,2)*allOnes,OFFSET(tPrcElec,0,23,1,_maxLT))</f>
        <v>0</v>
      </c>
      <c r="AC157" s="13">
        <f ca="1">SUMPRODUCT(dFactor,tpSurvPan,INDEX(elecPan,stdCSL+1,2)*allOnes,OFFSET(tPrcElec,0,24,1,_maxLT))</f>
        <v>0</v>
      </c>
      <c r="AD157" s="13">
        <f ca="1">SUMPRODUCT(dFactor,tpSurvPan,INDEX(elecPan,stdCSL+1,2)*allOnes,OFFSET(tPrcElec,0,25,1,_maxLT))</f>
        <v>0</v>
      </c>
      <c r="AE157" s="13">
        <f ca="1">SUMPRODUCT(dFactor,tpSurvPan,INDEX(elecPan,stdCSL+1,2)*allOnes,OFFSET(tPrcElec,0,26,1,_maxLT))</f>
        <v>0</v>
      </c>
      <c r="AF157" s="13">
        <f ca="1">SUMPRODUCT(dFactor,tpSurvPan,INDEX(elecPan,stdCSL+1,2)*allOnes,OFFSET(tPrcElec,0,27,1,_maxLT))</f>
        <v>0</v>
      </c>
      <c r="AG157" s="13">
        <f ca="1">SUMPRODUCT(dFactor,tpSurvPan,INDEX(elecPan,stdCSL+1,2)*allOnes,OFFSET(tPrcElec,0,28,1,_maxLT))</f>
        <v>0</v>
      </c>
      <c r="AH157" s="13">
        <f ca="1">SUMPRODUCT(dFactor,tpSurvPan,INDEX(elecPan,stdCSL+1,2)*allOnes,OFFSET(tPrcElec,0,29,1,_maxLT))</f>
        <v>0</v>
      </c>
      <c r="AI157" s="13">
        <f ca="1">SUMPRODUCT(dFactor,tpSurvPan,INDEX(elecPan,stdCSL+1,2)*allOnes,OFFSET(tPrcElec,0,30,1,_maxLT))</f>
        <v>0</v>
      </c>
      <c r="AJ157" s="13">
        <f ca="1">SUMPRODUCT(dFactor,tpSurvPan,INDEX(elecPan,stdCSL+1,2)*allOnes,OFFSET(tPrcElec,0,31,1,_maxLT))</f>
        <v>0</v>
      </c>
      <c r="AK157" s="13">
        <f ca="1">SUMPRODUCT(dFactor,tpSurvPan,INDEX(elecPan,stdCSL+1,2)*allOnes,OFFSET(tPrcElec,0,32,1,_maxLT))</f>
        <v>0</v>
      </c>
      <c r="AL157" s="56">
        <f ca="1">SUMPRODUCT(dFactor,tpSurvPan,INDEX(elecPan,stdCSL+1,2)*allOnes,OFFSET(tPrcElec,0,33,1,_maxLT))</f>
        <v>0</v>
      </c>
      <c r="AM157" s="10"/>
    </row>
    <row r="158" spans="2:39" ht="15">
      <c r="B158" s="10"/>
      <c r="C158" s="16" t="s">
        <v>79</v>
      </c>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5"/>
      <c r="AM158" s="10"/>
    </row>
    <row r="159" spans="2:39" ht="15">
      <c r="B159" s="10"/>
      <c r="C159" s="28" t="str">
        <f>INDEX(_fuel,1)</f>
        <v>Electricity</v>
      </c>
      <c r="D159" s="12" t="s">
        <v>83</v>
      </c>
      <c r="E159" s="39">
        <f ca="1">SUMPRODUCT(OFFSET(tConvElecPan,0,0,1,_maxLT),INDEX(elecPan,stdCSL+1,2)*allOnes,tpSurvPan)</f>
        <v>0</v>
      </c>
      <c r="F159" s="39">
        <f ca="1">SUMPRODUCT(OFFSET(tConvElecPan,0,1,1,_maxLT),INDEX(elecPan,stdCSL+1,2)*allOnes,tpSurvPan)</f>
        <v>0</v>
      </c>
      <c r="G159" s="39">
        <f ca="1">SUMPRODUCT(OFFSET(tConvElecPan,0,2,1,_maxLT),INDEX(elecPan,stdCSL+1,2)*allOnes,tpSurvPan)</f>
        <v>0</v>
      </c>
      <c r="H159" s="39">
        <f ca="1">SUMPRODUCT(OFFSET(tConvElecPan,0,3,1,_maxLT),INDEX(elecPan,stdCSL+1,2)*allOnes,tpSurvPan)</f>
        <v>0</v>
      </c>
      <c r="I159" s="39">
        <f ca="1">SUMPRODUCT(OFFSET(tConvElecPan,0,4,1,_maxLT),INDEX(elecPan,stdCSL+1,2)*allOnes,tpSurvPan)</f>
        <v>0</v>
      </c>
      <c r="J159" s="39">
        <f ca="1">SUMPRODUCT(OFFSET(tConvElecPan,0,5,1,_maxLT),INDEX(elecPan,stdCSL+1,2)*allOnes,tpSurvPan)</f>
        <v>0</v>
      </c>
      <c r="K159" s="39">
        <f ca="1">SUMPRODUCT(OFFSET(tConvElecPan,0,6,1,_maxLT),INDEX(elecPan,stdCSL+1,2)*allOnes,tpSurvPan)</f>
        <v>0</v>
      </c>
      <c r="L159" s="39">
        <f ca="1">SUMPRODUCT(OFFSET(tConvElecPan,0,7,1,_maxLT),INDEX(elecPan,stdCSL+1,2)*allOnes,tpSurvPan)</f>
        <v>0</v>
      </c>
      <c r="M159" s="39">
        <f ca="1">SUMPRODUCT(OFFSET(tConvElecPan,0,8,1,_maxLT),INDEX(elecPan,stdCSL+1,2)*allOnes,tpSurvPan)</f>
        <v>0</v>
      </c>
      <c r="N159" s="39">
        <f ca="1">SUMPRODUCT(OFFSET(tConvElecPan,0,9,1,_maxLT),INDEX(elecPan,stdCSL+1,2)*allOnes,tpSurvPan)</f>
        <v>0</v>
      </c>
      <c r="O159" s="39">
        <f ca="1">SUMPRODUCT(OFFSET(tConvElecPan,0,10,1,_maxLT),INDEX(elecPan,stdCSL+1,2)*allOnes,tpSurvPan)</f>
        <v>0</v>
      </c>
      <c r="P159" s="39">
        <f ca="1">SUMPRODUCT(OFFSET(tConvElecPan,0,11,1,_maxLT),INDEX(elecPan,stdCSL+1,2)*allOnes,tpSurvPan)</f>
        <v>0</v>
      </c>
      <c r="Q159" s="39">
        <f ca="1">SUMPRODUCT(OFFSET(tConvElecPan,0,12,1,_maxLT),INDEX(elecPan,stdCSL+1,2)*allOnes,tpSurvPan)</f>
        <v>0</v>
      </c>
      <c r="R159" s="39">
        <f ca="1">SUMPRODUCT(OFFSET(tConvElecPan,0,13,1,_maxLT),INDEX(elecPan,stdCSL+1,2)*allOnes,tpSurvPan)</f>
        <v>0</v>
      </c>
      <c r="S159" s="39">
        <f ca="1">SUMPRODUCT(OFFSET(tConvElecPan,0,14,1,_maxLT),INDEX(elecPan,stdCSL+1,2)*allOnes,tpSurvPan)</f>
        <v>0</v>
      </c>
      <c r="T159" s="39">
        <f ca="1">SUMPRODUCT(OFFSET(tConvElecPan,0,15,1,_maxLT),INDEX(elecPan,stdCSL+1,2)*allOnes,tpSurvPan)</f>
        <v>0</v>
      </c>
      <c r="U159" s="39">
        <f ca="1">SUMPRODUCT(OFFSET(tConvElecPan,0,16,1,_maxLT),INDEX(elecPan,stdCSL+1,2)*allOnes,tpSurvPan)</f>
        <v>0</v>
      </c>
      <c r="V159" s="39">
        <f ca="1">SUMPRODUCT(OFFSET(tConvElecPan,0,17,1,_maxLT),INDEX(elecPan,stdCSL+1,2)*allOnes,tpSurvPan)</f>
        <v>0</v>
      </c>
      <c r="W159" s="39">
        <f ca="1">SUMPRODUCT(OFFSET(tConvElecPan,0,18,1,_maxLT),INDEX(elecPan,stdCSL+1,2)*allOnes,tpSurvPan)</f>
        <v>0</v>
      </c>
      <c r="X159" s="39">
        <f ca="1">SUMPRODUCT(OFFSET(tConvElecPan,0,19,1,_maxLT),INDEX(elecPan,stdCSL+1,2)*allOnes,tpSurvPan)</f>
        <v>0</v>
      </c>
      <c r="Y159" s="39">
        <f ca="1">SUMPRODUCT(OFFSET(tConvElecPan,0,20,1,_maxLT),INDEX(elecPan,stdCSL+1,2)*allOnes,tpSurvPan)</f>
        <v>0</v>
      </c>
      <c r="Z159" s="39">
        <f ca="1">SUMPRODUCT(OFFSET(tConvElecPan,0,21,1,_maxLT),INDEX(elecPan,stdCSL+1,2)*allOnes,tpSurvPan)</f>
        <v>0</v>
      </c>
      <c r="AA159" s="39">
        <f ca="1">SUMPRODUCT(OFFSET(tConvElecPan,0,22,1,_maxLT),INDEX(elecPan,stdCSL+1,2)*allOnes,tpSurvPan)</f>
        <v>0</v>
      </c>
      <c r="AB159" s="39">
        <f ca="1">SUMPRODUCT(OFFSET(tConvElecPan,0,23,1,_maxLT),INDEX(elecPan,stdCSL+1,2)*allOnes,tpSurvPan)</f>
        <v>0</v>
      </c>
      <c r="AC159" s="39">
        <f ca="1">SUMPRODUCT(OFFSET(tConvElecPan,0,24,1,_maxLT),INDEX(elecPan,stdCSL+1,2)*allOnes,tpSurvPan)</f>
        <v>0</v>
      </c>
      <c r="AD159" s="39">
        <f ca="1">SUMPRODUCT(OFFSET(tConvElecPan,0,25,1,_maxLT),INDEX(elecPan,stdCSL+1,2)*allOnes,tpSurvPan)</f>
        <v>0</v>
      </c>
      <c r="AE159" s="39">
        <f ca="1">SUMPRODUCT(OFFSET(tConvElecPan,0,26,1,_maxLT),INDEX(elecPan,stdCSL+1,2)*allOnes,tpSurvPan)</f>
        <v>0</v>
      </c>
      <c r="AF159" s="39">
        <f ca="1">SUMPRODUCT(OFFSET(tConvElecPan,0,27,1,_maxLT),INDEX(elecPan,stdCSL+1,2)*allOnes,tpSurvPan)</f>
        <v>0</v>
      </c>
      <c r="AG159" s="39">
        <f ca="1">SUMPRODUCT(OFFSET(tConvElecPan,0,28,1,_maxLT),INDEX(elecPan,stdCSL+1,2)*allOnes,tpSurvPan)</f>
        <v>0</v>
      </c>
      <c r="AH159" s="39">
        <f ca="1">SUMPRODUCT(OFFSET(tConvElecPan,0,29,1,_maxLT),INDEX(elecPan,stdCSL+1,2)*allOnes,tpSurvPan)</f>
        <v>0</v>
      </c>
      <c r="AI159" s="39">
        <f ca="1">SUMPRODUCT(OFFSET(tConvElecPan,0,30,1,_maxLT),INDEX(elecPan,stdCSL+1,2)*allOnes,tpSurvPan)</f>
        <v>0</v>
      </c>
      <c r="AJ159" s="39">
        <f ca="1">SUMPRODUCT(OFFSET(tConvElecPan,0,31,1,_maxLT),INDEX(elecPan,stdCSL+1,2)*allOnes,tpSurvPan)</f>
        <v>0</v>
      </c>
      <c r="AK159" s="39">
        <f ca="1">SUMPRODUCT(OFFSET(tConvElecPan,0,32,1,_maxLT),INDEX(elecPan,stdCSL+1,2)*allOnes,tpSurvPan)</f>
        <v>0</v>
      </c>
      <c r="AL159" s="40">
        <f ca="1">SUMPRODUCT(OFFSET(tConvElecPan,0,33,1,_maxLT),INDEX(elecPan,stdCSL+1,2)*allOnes,tpSurvPan)</f>
        <v>0</v>
      </c>
      <c r="AM159" s="10"/>
    </row>
    <row r="160" spans="2:39" ht="15">
      <c r="B160" s="10"/>
      <c r="C160" s="57" t="str">
        <f>"EL 2: " &amp; INDEX(_doName,2,3)</f>
        <v>EL 2: EL 2</v>
      </c>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3"/>
      <c r="AM160" s="10"/>
    </row>
    <row r="161" spans="2:39" ht="15">
      <c r="B161" s="10"/>
      <c r="C161" s="16" t="s">
        <v>69</v>
      </c>
      <c r="D161" s="12" t="str">
        <f>_yearDol &amp; "$"</f>
        <v>2015$</v>
      </c>
      <c r="E161" s="13">
        <f t="array" aca="1" ref="E161:AL161" ca="1">INDEX(mspPan,stdCSL+1,3)*tPIdxAll + INDEX(instPan,stdCSL+1,3) + IF(bESav,SUMPRODUCT(dFactor,tpSurvPan,INDEX(mrPan,stdCSL+1,3)*allOnes),0)</f>
        <v>0</v>
      </c>
      <c r="F161" s="13">
        <f ca="1"/>
        <v>0</v>
      </c>
      <c r="G161" s="13">
        <f ca="1"/>
        <v>0</v>
      </c>
      <c r="H161" s="13">
        <f ca="1"/>
        <v>0</v>
      </c>
      <c r="I161" s="13">
        <f ca="1"/>
        <v>0</v>
      </c>
      <c r="J161" s="13">
        <f ca="1"/>
        <v>0</v>
      </c>
      <c r="K161" s="13">
        <f ca="1"/>
        <v>0</v>
      </c>
      <c r="L161" s="13">
        <f ca="1"/>
        <v>0</v>
      </c>
      <c r="M161" s="13">
        <f ca="1"/>
        <v>0</v>
      </c>
      <c r="N161" s="13">
        <f ca="1"/>
        <v>0</v>
      </c>
      <c r="O161" s="13">
        <f ca="1"/>
        <v>0</v>
      </c>
      <c r="P161" s="13">
        <f ca="1"/>
        <v>0</v>
      </c>
      <c r="Q161" s="13">
        <f ca="1"/>
        <v>0</v>
      </c>
      <c r="R161" s="13">
        <f ca="1"/>
        <v>0</v>
      </c>
      <c r="S161" s="13">
        <f ca="1"/>
        <v>0</v>
      </c>
      <c r="T161" s="13">
        <f ca="1"/>
        <v>0</v>
      </c>
      <c r="U161" s="13">
        <f ca="1"/>
        <v>0</v>
      </c>
      <c r="V161" s="13">
        <f ca="1"/>
        <v>0</v>
      </c>
      <c r="W161" s="13">
        <f ca="1"/>
        <v>0</v>
      </c>
      <c r="X161" s="13">
        <f ca="1"/>
        <v>0</v>
      </c>
      <c r="Y161" s="13">
        <f ca="1"/>
        <v>0</v>
      </c>
      <c r="Z161" s="13">
        <f ca="1"/>
        <v>0</v>
      </c>
      <c r="AA161" s="13">
        <f ca="1"/>
        <v>0</v>
      </c>
      <c r="AB161" s="13">
        <f ca="1"/>
        <v>0</v>
      </c>
      <c r="AC161" s="13">
        <f ca="1"/>
        <v>0</v>
      </c>
      <c r="AD161" s="13">
        <f ca="1"/>
        <v>0</v>
      </c>
      <c r="AE161" s="13">
        <f ca="1"/>
        <v>0</v>
      </c>
      <c r="AF161" s="13">
        <f ca="1"/>
        <v>0</v>
      </c>
      <c r="AG161" s="13">
        <f ca="1"/>
        <v>0</v>
      </c>
      <c r="AH161" s="13">
        <f ca="1"/>
        <v>0</v>
      </c>
      <c r="AI161" s="13">
        <f ca="1"/>
        <v>0</v>
      </c>
      <c r="AJ161" s="13">
        <f ca="1"/>
        <v>0</v>
      </c>
      <c r="AK161" s="13">
        <f ca="1"/>
        <v>0</v>
      </c>
      <c r="AL161" s="56">
        <f ca="1"/>
        <v>0</v>
      </c>
      <c r="AM161" s="10"/>
    </row>
    <row r="162" spans="2:39" ht="15">
      <c r="B162" s="10"/>
      <c r="C162" s="16" t="str">
        <f>zEO&amp;" Costs"</f>
        <v>Operating Costs</v>
      </c>
      <c r="D162" s="12" t="str">
        <f>_yearDol &amp; "$"</f>
        <v>2015$</v>
      </c>
      <c r="E162" s="13">
        <f t="array" aca="1" ref="E162:AL162" ca="1">(tlccEFuElecpol2) + IF(bOSav,SUMPRODUCT(dFactor,tpSurvPan,INDEX(mrPan,stdCSL+1,3)*allOnes),0)</f>
        <v>0</v>
      </c>
      <c r="F162" s="13">
        <f ca="1"/>
        <v>0</v>
      </c>
      <c r="G162" s="13">
        <f ca="1"/>
        <v>0</v>
      </c>
      <c r="H162" s="13">
        <f ca="1"/>
        <v>0</v>
      </c>
      <c r="I162" s="13">
        <f ca="1"/>
        <v>0</v>
      </c>
      <c r="J162" s="13">
        <f ca="1"/>
        <v>0</v>
      </c>
      <c r="K162" s="13">
        <f ca="1"/>
        <v>0</v>
      </c>
      <c r="L162" s="13">
        <f ca="1"/>
        <v>0</v>
      </c>
      <c r="M162" s="13">
        <f ca="1"/>
        <v>0</v>
      </c>
      <c r="N162" s="13">
        <f ca="1"/>
        <v>0</v>
      </c>
      <c r="O162" s="13">
        <f ca="1"/>
        <v>0</v>
      </c>
      <c r="P162" s="13">
        <f ca="1"/>
        <v>0</v>
      </c>
      <c r="Q162" s="13">
        <f ca="1"/>
        <v>0</v>
      </c>
      <c r="R162" s="13">
        <f ca="1"/>
        <v>0</v>
      </c>
      <c r="S162" s="13">
        <f ca="1"/>
        <v>0</v>
      </c>
      <c r="T162" s="13">
        <f ca="1"/>
        <v>0</v>
      </c>
      <c r="U162" s="13">
        <f ca="1"/>
        <v>0</v>
      </c>
      <c r="V162" s="13">
        <f ca="1"/>
        <v>0</v>
      </c>
      <c r="W162" s="13">
        <f ca="1"/>
        <v>0</v>
      </c>
      <c r="X162" s="13">
        <f ca="1"/>
        <v>0</v>
      </c>
      <c r="Y162" s="13">
        <f ca="1"/>
        <v>0</v>
      </c>
      <c r="Z162" s="13">
        <f ca="1"/>
        <v>0</v>
      </c>
      <c r="AA162" s="13">
        <f ca="1"/>
        <v>0</v>
      </c>
      <c r="AB162" s="13">
        <f ca="1"/>
        <v>0</v>
      </c>
      <c r="AC162" s="13">
        <f ca="1"/>
        <v>0</v>
      </c>
      <c r="AD162" s="13">
        <f ca="1"/>
        <v>0</v>
      </c>
      <c r="AE162" s="13">
        <f ca="1"/>
        <v>0</v>
      </c>
      <c r="AF162" s="13">
        <f ca="1"/>
        <v>0</v>
      </c>
      <c r="AG162" s="13">
        <f ca="1"/>
        <v>0</v>
      </c>
      <c r="AH162" s="13">
        <f ca="1"/>
        <v>0</v>
      </c>
      <c r="AI162" s="13">
        <f ca="1"/>
        <v>0</v>
      </c>
      <c r="AJ162" s="13">
        <f ca="1"/>
        <v>0</v>
      </c>
      <c r="AK162" s="13">
        <f ca="1"/>
        <v>0</v>
      </c>
      <c r="AL162" s="56">
        <f ca="1"/>
        <v>0</v>
      </c>
      <c r="AM162" s="10"/>
    </row>
    <row r="163" spans="2:39" ht="15">
      <c r="B163" s="10"/>
      <c r="C163" s="28" t="str">
        <f>INDEX(_fuel,1)</f>
        <v>Electricity</v>
      </c>
      <c r="D163" s="12" t="str">
        <f>_yearDol &amp; "$"</f>
        <v>2015$</v>
      </c>
      <c r="E163" s="13">
        <f ca="1">SUMPRODUCT(dFactor,tpSurvPan,INDEX(elecPan,stdCSL+1,3)*allOnes,OFFSET(tPrcElec,0,0,1,_maxLT))</f>
        <v>0</v>
      </c>
      <c r="F163" s="13">
        <f ca="1">SUMPRODUCT(dFactor,tpSurvPan,INDEX(elecPan,stdCSL+1,3)*allOnes,OFFSET(tPrcElec,0,1,1,_maxLT))</f>
        <v>0</v>
      </c>
      <c r="G163" s="13">
        <f ca="1">SUMPRODUCT(dFactor,tpSurvPan,INDEX(elecPan,stdCSL+1,3)*allOnes,OFFSET(tPrcElec,0,2,1,_maxLT))</f>
        <v>0</v>
      </c>
      <c r="H163" s="13">
        <f ca="1">SUMPRODUCT(dFactor,tpSurvPan,INDEX(elecPan,stdCSL+1,3)*allOnes,OFFSET(tPrcElec,0,3,1,_maxLT))</f>
        <v>0</v>
      </c>
      <c r="I163" s="13">
        <f ca="1">SUMPRODUCT(dFactor,tpSurvPan,INDEX(elecPan,stdCSL+1,3)*allOnes,OFFSET(tPrcElec,0,4,1,_maxLT))</f>
        <v>0</v>
      </c>
      <c r="J163" s="13">
        <f ca="1">SUMPRODUCT(dFactor,tpSurvPan,INDEX(elecPan,stdCSL+1,3)*allOnes,OFFSET(tPrcElec,0,5,1,_maxLT))</f>
        <v>0</v>
      </c>
      <c r="K163" s="13">
        <f ca="1">SUMPRODUCT(dFactor,tpSurvPan,INDEX(elecPan,stdCSL+1,3)*allOnes,OFFSET(tPrcElec,0,6,1,_maxLT))</f>
        <v>0</v>
      </c>
      <c r="L163" s="13">
        <f ca="1">SUMPRODUCT(dFactor,tpSurvPan,INDEX(elecPan,stdCSL+1,3)*allOnes,OFFSET(tPrcElec,0,7,1,_maxLT))</f>
        <v>0</v>
      </c>
      <c r="M163" s="13">
        <f ca="1">SUMPRODUCT(dFactor,tpSurvPan,INDEX(elecPan,stdCSL+1,3)*allOnes,OFFSET(tPrcElec,0,8,1,_maxLT))</f>
        <v>0</v>
      </c>
      <c r="N163" s="13">
        <f ca="1">SUMPRODUCT(dFactor,tpSurvPan,INDEX(elecPan,stdCSL+1,3)*allOnes,OFFSET(tPrcElec,0,9,1,_maxLT))</f>
        <v>0</v>
      </c>
      <c r="O163" s="13">
        <f ca="1">SUMPRODUCT(dFactor,tpSurvPan,INDEX(elecPan,stdCSL+1,3)*allOnes,OFFSET(tPrcElec,0,10,1,_maxLT))</f>
        <v>0</v>
      </c>
      <c r="P163" s="13">
        <f ca="1">SUMPRODUCT(dFactor,tpSurvPan,INDEX(elecPan,stdCSL+1,3)*allOnes,OFFSET(tPrcElec,0,11,1,_maxLT))</f>
        <v>0</v>
      </c>
      <c r="Q163" s="13">
        <f ca="1">SUMPRODUCT(dFactor,tpSurvPan,INDEX(elecPan,stdCSL+1,3)*allOnes,OFFSET(tPrcElec,0,12,1,_maxLT))</f>
        <v>0</v>
      </c>
      <c r="R163" s="13">
        <f ca="1">SUMPRODUCT(dFactor,tpSurvPan,INDEX(elecPan,stdCSL+1,3)*allOnes,OFFSET(tPrcElec,0,13,1,_maxLT))</f>
        <v>0</v>
      </c>
      <c r="S163" s="13">
        <f ca="1">SUMPRODUCT(dFactor,tpSurvPan,INDEX(elecPan,stdCSL+1,3)*allOnes,OFFSET(tPrcElec,0,14,1,_maxLT))</f>
        <v>0</v>
      </c>
      <c r="T163" s="13">
        <f ca="1">SUMPRODUCT(dFactor,tpSurvPan,INDEX(elecPan,stdCSL+1,3)*allOnes,OFFSET(tPrcElec,0,15,1,_maxLT))</f>
        <v>0</v>
      </c>
      <c r="U163" s="13">
        <f ca="1">SUMPRODUCT(dFactor,tpSurvPan,INDEX(elecPan,stdCSL+1,3)*allOnes,OFFSET(tPrcElec,0,16,1,_maxLT))</f>
        <v>0</v>
      </c>
      <c r="V163" s="13">
        <f ca="1">SUMPRODUCT(dFactor,tpSurvPan,INDEX(elecPan,stdCSL+1,3)*allOnes,OFFSET(tPrcElec,0,17,1,_maxLT))</f>
        <v>0</v>
      </c>
      <c r="W163" s="13">
        <f ca="1">SUMPRODUCT(dFactor,tpSurvPan,INDEX(elecPan,stdCSL+1,3)*allOnes,OFFSET(tPrcElec,0,18,1,_maxLT))</f>
        <v>0</v>
      </c>
      <c r="X163" s="13">
        <f ca="1">SUMPRODUCT(dFactor,tpSurvPan,INDEX(elecPan,stdCSL+1,3)*allOnes,OFFSET(tPrcElec,0,19,1,_maxLT))</f>
        <v>0</v>
      </c>
      <c r="Y163" s="13">
        <f ca="1">SUMPRODUCT(dFactor,tpSurvPan,INDEX(elecPan,stdCSL+1,3)*allOnes,OFFSET(tPrcElec,0,20,1,_maxLT))</f>
        <v>0</v>
      </c>
      <c r="Z163" s="13">
        <f ca="1">SUMPRODUCT(dFactor,tpSurvPan,INDEX(elecPan,stdCSL+1,3)*allOnes,OFFSET(tPrcElec,0,21,1,_maxLT))</f>
        <v>0</v>
      </c>
      <c r="AA163" s="13">
        <f ca="1">SUMPRODUCT(dFactor,tpSurvPan,INDEX(elecPan,stdCSL+1,3)*allOnes,OFFSET(tPrcElec,0,22,1,_maxLT))</f>
        <v>0</v>
      </c>
      <c r="AB163" s="13">
        <f ca="1">SUMPRODUCT(dFactor,tpSurvPan,INDEX(elecPan,stdCSL+1,3)*allOnes,OFFSET(tPrcElec,0,23,1,_maxLT))</f>
        <v>0</v>
      </c>
      <c r="AC163" s="13">
        <f ca="1">SUMPRODUCT(dFactor,tpSurvPan,INDEX(elecPan,stdCSL+1,3)*allOnes,OFFSET(tPrcElec,0,24,1,_maxLT))</f>
        <v>0</v>
      </c>
      <c r="AD163" s="13">
        <f ca="1">SUMPRODUCT(dFactor,tpSurvPan,INDEX(elecPan,stdCSL+1,3)*allOnes,OFFSET(tPrcElec,0,25,1,_maxLT))</f>
        <v>0</v>
      </c>
      <c r="AE163" s="13">
        <f ca="1">SUMPRODUCT(dFactor,tpSurvPan,INDEX(elecPan,stdCSL+1,3)*allOnes,OFFSET(tPrcElec,0,26,1,_maxLT))</f>
        <v>0</v>
      </c>
      <c r="AF163" s="13">
        <f ca="1">SUMPRODUCT(dFactor,tpSurvPan,INDEX(elecPan,stdCSL+1,3)*allOnes,OFFSET(tPrcElec,0,27,1,_maxLT))</f>
        <v>0</v>
      </c>
      <c r="AG163" s="13">
        <f ca="1">SUMPRODUCT(dFactor,tpSurvPan,INDEX(elecPan,stdCSL+1,3)*allOnes,OFFSET(tPrcElec,0,28,1,_maxLT))</f>
        <v>0</v>
      </c>
      <c r="AH163" s="13">
        <f ca="1">SUMPRODUCT(dFactor,tpSurvPan,INDEX(elecPan,stdCSL+1,3)*allOnes,OFFSET(tPrcElec,0,29,1,_maxLT))</f>
        <v>0</v>
      </c>
      <c r="AI163" s="13">
        <f ca="1">SUMPRODUCT(dFactor,tpSurvPan,INDEX(elecPan,stdCSL+1,3)*allOnes,OFFSET(tPrcElec,0,30,1,_maxLT))</f>
        <v>0</v>
      </c>
      <c r="AJ163" s="13">
        <f ca="1">SUMPRODUCT(dFactor,tpSurvPan,INDEX(elecPan,stdCSL+1,3)*allOnes,OFFSET(tPrcElec,0,31,1,_maxLT))</f>
        <v>0</v>
      </c>
      <c r="AK163" s="13">
        <f ca="1">SUMPRODUCT(dFactor,tpSurvPan,INDEX(elecPan,stdCSL+1,3)*allOnes,OFFSET(tPrcElec,0,32,1,_maxLT))</f>
        <v>0</v>
      </c>
      <c r="AL163" s="56">
        <f ca="1">SUMPRODUCT(dFactor,tpSurvPan,INDEX(elecPan,stdCSL+1,3)*allOnes,OFFSET(tPrcElec,0,33,1,_maxLT))</f>
        <v>0</v>
      </c>
      <c r="AM163" s="10"/>
    </row>
    <row r="164" spans="2:39" ht="15">
      <c r="B164" s="10"/>
      <c r="C164" s="16" t="s">
        <v>79</v>
      </c>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5"/>
      <c r="AM164" s="10"/>
    </row>
    <row r="165" spans="2:39" ht="15">
      <c r="B165" s="10"/>
      <c r="C165" s="28" t="str">
        <f>INDEX(_fuel,1)</f>
        <v>Electricity</v>
      </c>
      <c r="D165" s="12" t="s">
        <v>83</v>
      </c>
      <c r="E165" s="39">
        <f ca="1">SUMPRODUCT(OFFSET(tConvElecPan,0,0,1,_maxLT),INDEX(elecPan,stdCSL+1,3)*allOnes,tpSurvPan)</f>
        <v>0</v>
      </c>
      <c r="F165" s="39">
        <f ca="1">SUMPRODUCT(OFFSET(tConvElecPan,0,1,1,_maxLT),INDEX(elecPan,stdCSL+1,3)*allOnes,tpSurvPan)</f>
        <v>0</v>
      </c>
      <c r="G165" s="39">
        <f ca="1">SUMPRODUCT(OFFSET(tConvElecPan,0,2,1,_maxLT),INDEX(elecPan,stdCSL+1,3)*allOnes,tpSurvPan)</f>
        <v>0</v>
      </c>
      <c r="H165" s="39">
        <f ca="1">SUMPRODUCT(OFFSET(tConvElecPan,0,3,1,_maxLT),INDEX(elecPan,stdCSL+1,3)*allOnes,tpSurvPan)</f>
        <v>0</v>
      </c>
      <c r="I165" s="39">
        <f ca="1">SUMPRODUCT(OFFSET(tConvElecPan,0,4,1,_maxLT),INDEX(elecPan,stdCSL+1,3)*allOnes,tpSurvPan)</f>
        <v>0</v>
      </c>
      <c r="J165" s="39">
        <f ca="1">SUMPRODUCT(OFFSET(tConvElecPan,0,5,1,_maxLT),INDEX(elecPan,stdCSL+1,3)*allOnes,tpSurvPan)</f>
        <v>0</v>
      </c>
      <c r="K165" s="39">
        <f ca="1">SUMPRODUCT(OFFSET(tConvElecPan,0,6,1,_maxLT),INDEX(elecPan,stdCSL+1,3)*allOnes,tpSurvPan)</f>
        <v>0</v>
      </c>
      <c r="L165" s="39">
        <f ca="1">SUMPRODUCT(OFFSET(tConvElecPan,0,7,1,_maxLT),INDEX(elecPan,stdCSL+1,3)*allOnes,tpSurvPan)</f>
        <v>0</v>
      </c>
      <c r="M165" s="39">
        <f ca="1">SUMPRODUCT(OFFSET(tConvElecPan,0,8,1,_maxLT),INDEX(elecPan,stdCSL+1,3)*allOnes,tpSurvPan)</f>
        <v>0</v>
      </c>
      <c r="N165" s="39">
        <f ca="1">SUMPRODUCT(OFFSET(tConvElecPan,0,9,1,_maxLT),INDEX(elecPan,stdCSL+1,3)*allOnes,tpSurvPan)</f>
        <v>0</v>
      </c>
      <c r="O165" s="39">
        <f ca="1">SUMPRODUCT(OFFSET(tConvElecPan,0,10,1,_maxLT),INDEX(elecPan,stdCSL+1,3)*allOnes,tpSurvPan)</f>
        <v>0</v>
      </c>
      <c r="P165" s="39">
        <f ca="1">SUMPRODUCT(OFFSET(tConvElecPan,0,11,1,_maxLT),INDEX(elecPan,stdCSL+1,3)*allOnes,tpSurvPan)</f>
        <v>0</v>
      </c>
      <c r="Q165" s="39">
        <f ca="1">SUMPRODUCT(OFFSET(tConvElecPan,0,12,1,_maxLT),INDEX(elecPan,stdCSL+1,3)*allOnes,tpSurvPan)</f>
        <v>0</v>
      </c>
      <c r="R165" s="39">
        <f ca="1">SUMPRODUCT(OFFSET(tConvElecPan,0,13,1,_maxLT),INDEX(elecPan,stdCSL+1,3)*allOnes,tpSurvPan)</f>
        <v>0</v>
      </c>
      <c r="S165" s="39">
        <f ca="1">SUMPRODUCT(OFFSET(tConvElecPan,0,14,1,_maxLT),INDEX(elecPan,stdCSL+1,3)*allOnes,tpSurvPan)</f>
        <v>0</v>
      </c>
      <c r="T165" s="39">
        <f ca="1">SUMPRODUCT(OFFSET(tConvElecPan,0,15,1,_maxLT),INDEX(elecPan,stdCSL+1,3)*allOnes,tpSurvPan)</f>
        <v>0</v>
      </c>
      <c r="U165" s="39">
        <f ca="1">SUMPRODUCT(OFFSET(tConvElecPan,0,16,1,_maxLT),INDEX(elecPan,stdCSL+1,3)*allOnes,tpSurvPan)</f>
        <v>0</v>
      </c>
      <c r="V165" s="39">
        <f ca="1">SUMPRODUCT(OFFSET(tConvElecPan,0,17,1,_maxLT),INDEX(elecPan,stdCSL+1,3)*allOnes,tpSurvPan)</f>
        <v>0</v>
      </c>
      <c r="W165" s="39">
        <f ca="1">SUMPRODUCT(OFFSET(tConvElecPan,0,18,1,_maxLT),INDEX(elecPan,stdCSL+1,3)*allOnes,tpSurvPan)</f>
        <v>0</v>
      </c>
      <c r="X165" s="39">
        <f ca="1">SUMPRODUCT(OFFSET(tConvElecPan,0,19,1,_maxLT),INDEX(elecPan,stdCSL+1,3)*allOnes,tpSurvPan)</f>
        <v>0</v>
      </c>
      <c r="Y165" s="39">
        <f ca="1">SUMPRODUCT(OFFSET(tConvElecPan,0,20,1,_maxLT),INDEX(elecPan,stdCSL+1,3)*allOnes,tpSurvPan)</f>
        <v>0</v>
      </c>
      <c r="Z165" s="39">
        <f ca="1">SUMPRODUCT(OFFSET(tConvElecPan,0,21,1,_maxLT),INDEX(elecPan,stdCSL+1,3)*allOnes,tpSurvPan)</f>
        <v>0</v>
      </c>
      <c r="AA165" s="39">
        <f ca="1">SUMPRODUCT(OFFSET(tConvElecPan,0,22,1,_maxLT),INDEX(elecPan,stdCSL+1,3)*allOnes,tpSurvPan)</f>
        <v>0</v>
      </c>
      <c r="AB165" s="39">
        <f ca="1">SUMPRODUCT(OFFSET(tConvElecPan,0,23,1,_maxLT),INDEX(elecPan,stdCSL+1,3)*allOnes,tpSurvPan)</f>
        <v>0</v>
      </c>
      <c r="AC165" s="39">
        <f ca="1">SUMPRODUCT(OFFSET(tConvElecPan,0,24,1,_maxLT),INDEX(elecPan,stdCSL+1,3)*allOnes,tpSurvPan)</f>
        <v>0</v>
      </c>
      <c r="AD165" s="39">
        <f ca="1">SUMPRODUCT(OFFSET(tConvElecPan,0,25,1,_maxLT),INDEX(elecPan,stdCSL+1,3)*allOnes,tpSurvPan)</f>
        <v>0</v>
      </c>
      <c r="AE165" s="39">
        <f ca="1">SUMPRODUCT(OFFSET(tConvElecPan,0,26,1,_maxLT),INDEX(elecPan,stdCSL+1,3)*allOnes,tpSurvPan)</f>
        <v>0</v>
      </c>
      <c r="AF165" s="39">
        <f ca="1">SUMPRODUCT(OFFSET(tConvElecPan,0,27,1,_maxLT),INDEX(elecPan,stdCSL+1,3)*allOnes,tpSurvPan)</f>
        <v>0</v>
      </c>
      <c r="AG165" s="39">
        <f ca="1">SUMPRODUCT(OFFSET(tConvElecPan,0,28,1,_maxLT),INDEX(elecPan,stdCSL+1,3)*allOnes,tpSurvPan)</f>
        <v>0</v>
      </c>
      <c r="AH165" s="39">
        <f ca="1">SUMPRODUCT(OFFSET(tConvElecPan,0,29,1,_maxLT),INDEX(elecPan,stdCSL+1,3)*allOnes,tpSurvPan)</f>
        <v>0</v>
      </c>
      <c r="AI165" s="39">
        <f ca="1">SUMPRODUCT(OFFSET(tConvElecPan,0,30,1,_maxLT),INDEX(elecPan,stdCSL+1,3)*allOnes,tpSurvPan)</f>
        <v>0</v>
      </c>
      <c r="AJ165" s="39">
        <f ca="1">SUMPRODUCT(OFFSET(tConvElecPan,0,31,1,_maxLT),INDEX(elecPan,stdCSL+1,3)*allOnes,tpSurvPan)</f>
        <v>0</v>
      </c>
      <c r="AK165" s="39">
        <f ca="1">SUMPRODUCT(OFFSET(tConvElecPan,0,32,1,_maxLT),INDEX(elecPan,stdCSL+1,3)*allOnes,tpSurvPan)</f>
        <v>0</v>
      </c>
      <c r="AL165" s="40">
        <f ca="1">SUMPRODUCT(OFFSET(tConvElecPan,0,33,1,_maxLT),INDEX(elecPan,stdCSL+1,3)*allOnes,tpSurvPan)</f>
        <v>0</v>
      </c>
      <c r="AM165" s="10"/>
    </row>
    <row r="166" spans="2:39" ht="15">
      <c r="B166" s="10"/>
      <c r="C166" s="57" t="str">
        <f>"EL 3: " &amp; INDEX(_doName,2,4)</f>
        <v>EL 3: EL 3</v>
      </c>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3"/>
      <c r="AM166" s="10"/>
    </row>
    <row r="167" spans="2:39" ht="15">
      <c r="B167" s="10"/>
      <c r="C167" s="16" t="s">
        <v>69</v>
      </c>
      <c r="D167" s="12" t="str">
        <f>_yearDol &amp; "$"</f>
        <v>2015$</v>
      </c>
      <c r="E167" s="13">
        <f t="array" aca="1" ref="E167:AL167" ca="1">INDEX(mspPan,stdCSL+1,4)*tPIdxAll + INDEX(instPan,stdCSL+1,4) + IF(bESav,SUMPRODUCT(dFactor,tpSurvPan,INDEX(mrPan,stdCSL+1,4)*allOnes),0)</f>
        <v>0</v>
      </c>
      <c r="F167" s="13">
        <f ca="1"/>
        <v>0</v>
      </c>
      <c r="G167" s="13">
        <f ca="1"/>
        <v>0</v>
      </c>
      <c r="H167" s="13">
        <f ca="1"/>
        <v>0</v>
      </c>
      <c r="I167" s="13">
        <f ca="1"/>
        <v>0</v>
      </c>
      <c r="J167" s="13">
        <f ca="1"/>
        <v>0</v>
      </c>
      <c r="K167" s="13">
        <f ca="1"/>
        <v>0</v>
      </c>
      <c r="L167" s="13">
        <f ca="1"/>
        <v>0</v>
      </c>
      <c r="M167" s="13">
        <f ca="1"/>
        <v>0</v>
      </c>
      <c r="N167" s="13">
        <f ca="1"/>
        <v>0</v>
      </c>
      <c r="O167" s="13">
        <f ca="1"/>
        <v>0</v>
      </c>
      <c r="P167" s="13">
        <f ca="1"/>
        <v>0</v>
      </c>
      <c r="Q167" s="13">
        <f ca="1"/>
        <v>0</v>
      </c>
      <c r="R167" s="13">
        <f ca="1"/>
        <v>0</v>
      </c>
      <c r="S167" s="13">
        <f ca="1"/>
        <v>0</v>
      </c>
      <c r="T167" s="13">
        <f ca="1"/>
        <v>0</v>
      </c>
      <c r="U167" s="13">
        <f ca="1"/>
        <v>0</v>
      </c>
      <c r="V167" s="13">
        <f ca="1"/>
        <v>0</v>
      </c>
      <c r="W167" s="13">
        <f ca="1"/>
        <v>0</v>
      </c>
      <c r="X167" s="13">
        <f ca="1"/>
        <v>0</v>
      </c>
      <c r="Y167" s="13">
        <f ca="1"/>
        <v>0</v>
      </c>
      <c r="Z167" s="13">
        <f ca="1"/>
        <v>0</v>
      </c>
      <c r="AA167" s="13">
        <f ca="1"/>
        <v>0</v>
      </c>
      <c r="AB167" s="13">
        <f ca="1"/>
        <v>0</v>
      </c>
      <c r="AC167" s="13">
        <f ca="1"/>
        <v>0</v>
      </c>
      <c r="AD167" s="13">
        <f ca="1"/>
        <v>0</v>
      </c>
      <c r="AE167" s="13">
        <f ca="1"/>
        <v>0</v>
      </c>
      <c r="AF167" s="13">
        <f ca="1"/>
        <v>0</v>
      </c>
      <c r="AG167" s="13">
        <f ca="1"/>
        <v>0</v>
      </c>
      <c r="AH167" s="13">
        <f ca="1"/>
        <v>0</v>
      </c>
      <c r="AI167" s="13">
        <f ca="1"/>
        <v>0</v>
      </c>
      <c r="AJ167" s="13">
        <f ca="1"/>
        <v>0</v>
      </c>
      <c r="AK167" s="13">
        <f ca="1"/>
        <v>0</v>
      </c>
      <c r="AL167" s="56">
        <f ca="1"/>
        <v>0</v>
      </c>
      <c r="AM167" s="10"/>
    </row>
    <row r="168" spans="2:39" ht="15">
      <c r="B168" s="10"/>
      <c r="C168" s="16" t="str">
        <f>zEO&amp;" Costs"</f>
        <v>Operating Costs</v>
      </c>
      <c r="D168" s="12" t="str">
        <f>_yearDol &amp; "$"</f>
        <v>2015$</v>
      </c>
      <c r="E168" s="13">
        <f t="array" aca="1" ref="E168:AL168" ca="1">(tlccEFuElecpol3) + IF(bOSav,SUMPRODUCT(dFactor,tpSurvPan,INDEX(mrPan,stdCSL+1,4)*allOnes),0)</f>
        <v>0</v>
      </c>
      <c r="F168" s="13">
        <f ca="1"/>
        <v>0</v>
      </c>
      <c r="G168" s="13">
        <f ca="1"/>
        <v>0</v>
      </c>
      <c r="H168" s="13">
        <f ca="1"/>
        <v>0</v>
      </c>
      <c r="I168" s="13">
        <f ca="1"/>
        <v>0</v>
      </c>
      <c r="J168" s="13">
        <f ca="1"/>
        <v>0</v>
      </c>
      <c r="K168" s="13">
        <f ca="1"/>
        <v>0</v>
      </c>
      <c r="L168" s="13">
        <f ca="1"/>
        <v>0</v>
      </c>
      <c r="M168" s="13">
        <f ca="1"/>
        <v>0</v>
      </c>
      <c r="N168" s="13">
        <f ca="1"/>
        <v>0</v>
      </c>
      <c r="O168" s="13">
        <f ca="1"/>
        <v>0</v>
      </c>
      <c r="P168" s="13">
        <f ca="1"/>
        <v>0</v>
      </c>
      <c r="Q168" s="13">
        <f ca="1"/>
        <v>0</v>
      </c>
      <c r="R168" s="13">
        <f ca="1"/>
        <v>0</v>
      </c>
      <c r="S168" s="13">
        <f ca="1"/>
        <v>0</v>
      </c>
      <c r="T168" s="13">
        <f ca="1"/>
        <v>0</v>
      </c>
      <c r="U168" s="13">
        <f ca="1"/>
        <v>0</v>
      </c>
      <c r="V168" s="13">
        <f ca="1"/>
        <v>0</v>
      </c>
      <c r="W168" s="13">
        <f ca="1"/>
        <v>0</v>
      </c>
      <c r="X168" s="13">
        <f ca="1"/>
        <v>0</v>
      </c>
      <c r="Y168" s="13">
        <f ca="1"/>
        <v>0</v>
      </c>
      <c r="Z168" s="13">
        <f ca="1"/>
        <v>0</v>
      </c>
      <c r="AA168" s="13">
        <f ca="1"/>
        <v>0</v>
      </c>
      <c r="AB168" s="13">
        <f ca="1"/>
        <v>0</v>
      </c>
      <c r="AC168" s="13">
        <f ca="1"/>
        <v>0</v>
      </c>
      <c r="AD168" s="13">
        <f ca="1"/>
        <v>0</v>
      </c>
      <c r="AE168" s="13">
        <f ca="1"/>
        <v>0</v>
      </c>
      <c r="AF168" s="13">
        <f ca="1"/>
        <v>0</v>
      </c>
      <c r="AG168" s="13">
        <f ca="1"/>
        <v>0</v>
      </c>
      <c r="AH168" s="13">
        <f ca="1"/>
        <v>0</v>
      </c>
      <c r="AI168" s="13">
        <f ca="1"/>
        <v>0</v>
      </c>
      <c r="AJ168" s="13">
        <f ca="1"/>
        <v>0</v>
      </c>
      <c r="AK168" s="13">
        <f ca="1"/>
        <v>0</v>
      </c>
      <c r="AL168" s="56">
        <f ca="1"/>
        <v>0</v>
      </c>
      <c r="AM168" s="10"/>
    </row>
    <row r="169" spans="2:39" ht="15">
      <c r="B169" s="10"/>
      <c r="C169" s="28" t="str">
        <f>INDEX(_fuel,1)</f>
        <v>Electricity</v>
      </c>
      <c r="D169" s="12" t="str">
        <f>_yearDol &amp; "$"</f>
        <v>2015$</v>
      </c>
      <c r="E169" s="13">
        <f ca="1">SUMPRODUCT(dFactor,tpSurvPan,INDEX(elecPan,stdCSL+1,4)*allOnes,OFFSET(tPrcElec,0,0,1,_maxLT))</f>
        <v>0</v>
      </c>
      <c r="F169" s="13">
        <f ca="1">SUMPRODUCT(dFactor,tpSurvPan,INDEX(elecPan,stdCSL+1,4)*allOnes,OFFSET(tPrcElec,0,1,1,_maxLT))</f>
        <v>0</v>
      </c>
      <c r="G169" s="13">
        <f ca="1">SUMPRODUCT(dFactor,tpSurvPan,INDEX(elecPan,stdCSL+1,4)*allOnes,OFFSET(tPrcElec,0,2,1,_maxLT))</f>
        <v>0</v>
      </c>
      <c r="H169" s="13">
        <f ca="1">SUMPRODUCT(dFactor,tpSurvPan,INDEX(elecPan,stdCSL+1,4)*allOnes,OFFSET(tPrcElec,0,3,1,_maxLT))</f>
        <v>0</v>
      </c>
      <c r="I169" s="13">
        <f ca="1">SUMPRODUCT(dFactor,tpSurvPan,INDEX(elecPan,stdCSL+1,4)*allOnes,OFFSET(tPrcElec,0,4,1,_maxLT))</f>
        <v>0</v>
      </c>
      <c r="J169" s="13">
        <f ca="1">SUMPRODUCT(dFactor,tpSurvPan,INDEX(elecPan,stdCSL+1,4)*allOnes,OFFSET(tPrcElec,0,5,1,_maxLT))</f>
        <v>0</v>
      </c>
      <c r="K169" s="13">
        <f ca="1">SUMPRODUCT(dFactor,tpSurvPan,INDEX(elecPan,stdCSL+1,4)*allOnes,OFFSET(tPrcElec,0,6,1,_maxLT))</f>
        <v>0</v>
      </c>
      <c r="L169" s="13">
        <f ca="1">SUMPRODUCT(dFactor,tpSurvPan,INDEX(elecPan,stdCSL+1,4)*allOnes,OFFSET(tPrcElec,0,7,1,_maxLT))</f>
        <v>0</v>
      </c>
      <c r="M169" s="13">
        <f ca="1">SUMPRODUCT(dFactor,tpSurvPan,INDEX(elecPan,stdCSL+1,4)*allOnes,OFFSET(tPrcElec,0,8,1,_maxLT))</f>
        <v>0</v>
      </c>
      <c r="N169" s="13">
        <f ca="1">SUMPRODUCT(dFactor,tpSurvPan,INDEX(elecPan,stdCSL+1,4)*allOnes,OFFSET(tPrcElec,0,9,1,_maxLT))</f>
        <v>0</v>
      </c>
      <c r="O169" s="13">
        <f ca="1">SUMPRODUCT(dFactor,tpSurvPan,INDEX(elecPan,stdCSL+1,4)*allOnes,OFFSET(tPrcElec,0,10,1,_maxLT))</f>
        <v>0</v>
      </c>
      <c r="P169" s="13">
        <f ca="1">SUMPRODUCT(dFactor,tpSurvPan,INDEX(elecPan,stdCSL+1,4)*allOnes,OFFSET(tPrcElec,0,11,1,_maxLT))</f>
        <v>0</v>
      </c>
      <c r="Q169" s="13">
        <f ca="1">SUMPRODUCT(dFactor,tpSurvPan,INDEX(elecPan,stdCSL+1,4)*allOnes,OFFSET(tPrcElec,0,12,1,_maxLT))</f>
        <v>0</v>
      </c>
      <c r="R169" s="13">
        <f ca="1">SUMPRODUCT(dFactor,tpSurvPan,INDEX(elecPan,stdCSL+1,4)*allOnes,OFFSET(tPrcElec,0,13,1,_maxLT))</f>
        <v>0</v>
      </c>
      <c r="S169" s="13">
        <f ca="1">SUMPRODUCT(dFactor,tpSurvPan,INDEX(elecPan,stdCSL+1,4)*allOnes,OFFSET(tPrcElec,0,14,1,_maxLT))</f>
        <v>0</v>
      </c>
      <c r="T169" s="13">
        <f ca="1">SUMPRODUCT(dFactor,tpSurvPan,INDEX(elecPan,stdCSL+1,4)*allOnes,OFFSET(tPrcElec,0,15,1,_maxLT))</f>
        <v>0</v>
      </c>
      <c r="U169" s="13">
        <f ca="1">SUMPRODUCT(dFactor,tpSurvPan,INDEX(elecPan,stdCSL+1,4)*allOnes,OFFSET(tPrcElec,0,16,1,_maxLT))</f>
        <v>0</v>
      </c>
      <c r="V169" s="13">
        <f ca="1">SUMPRODUCT(dFactor,tpSurvPan,INDEX(elecPan,stdCSL+1,4)*allOnes,OFFSET(tPrcElec,0,17,1,_maxLT))</f>
        <v>0</v>
      </c>
      <c r="W169" s="13">
        <f ca="1">SUMPRODUCT(dFactor,tpSurvPan,INDEX(elecPan,stdCSL+1,4)*allOnes,OFFSET(tPrcElec,0,18,1,_maxLT))</f>
        <v>0</v>
      </c>
      <c r="X169" s="13">
        <f ca="1">SUMPRODUCT(dFactor,tpSurvPan,INDEX(elecPan,stdCSL+1,4)*allOnes,OFFSET(tPrcElec,0,19,1,_maxLT))</f>
        <v>0</v>
      </c>
      <c r="Y169" s="13">
        <f ca="1">SUMPRODUCT(dFactor,tpSurvPan,INDEX(elecPan,stdCSL+1,4)*allOnes,OFFSET(tPrcElec,0,20,1,_maxLT))</f>
        <v>0</v>
      </c>
      <c r="Z169" s="13">
        <f ca="1">SUMPRODUCT(dFactor,tpSurvPan,INDEX(elecPan,stdCSL+1,4)*allOnes,OFFSET(tPrcElec,0,21,1,_maxLT))</f>
        <v>0</v>
      </c>
      <c r="AA169" s="13">
        <f ca="1">SUMPRODUCT(dFactor,tpSurvPan,INDEX(elecPan,stdCSL+1,4)*allOnes,OFFSET(tPrcElec,0,22,1,_maxLT))</f>
        <v>0</v>
      </c>
      <c r="AB169" s="13">
        <f ca="1">SUMPRODUCT(dFactor,tpSurvPan,INDEX(elecPan,stdCSL+1,4)*allOnes,OFFSET(tPrcElec,0,23,1,_maxLT))</f>
        <v>0</v>
      </c>
      <c r="AC169" s="13">
        <f ca="1">SUMPRODUCT(dFactor,tpSurvPan,INDEX(elecPan,stdCSL+1,4)*allOnes,OFFSET(tPrcElec,0,24,1,_maxLT))</f>
        <v>0</v>
      </c>
      <c r="AD169" s="13">
        <f ca="1">SUMPRODUCT(dFactor,tpSurvPan,INDEX(elecPan,stdCSL+1,4)*allOnes,OFFSET(tPrcElec,0,25,1,_maxLT))</f>
        <v>0</v>
      </c>
      <c r="AE169" s="13">
        <f ca="1">SUMPRODUCT(dFactor,tpSurvPan,INDEX(elecPan,stdCSL+1,4)*allOnes,OFFSET(tPrcElec,0,26,1,_maxLT))</f>
        <v>0</v>
      </c>
      <c r="AF169" s="13">
        <f ca="1">SUMPRODUCT(dFactor,tpSurvPan,INDEX(elecPan,stdCSL+1,4)*allOnes,OFFSET(tPrcElec,0,27,1,_maxLT))</f>
        <v>0</v>
      </c>
      <c r="AG169" s="13">
        <f ca="1">SUMPRODUCT(dFactor,tpSurvPan,INDEX(elecPan,stdCSL+1,4)*allOnes,OFFSET(tPrcElec,0,28,1,_maxLT))</f>
        <v>0</v>
      </c>
      <c r="AH169" s="13">
        <f ca="1">SUMPRODUCT(dFactor,tpSurvPan,INDEX(elecPan,stdCSL+1,4)*allOnes,OFFSET(tPrcElec,0,29,1,_maxLT))</f>
        <v>0</v>
      </c>
      <c r="AI169" s="13">
        <f ca="1">SUMPRODUCT(dFactor,tpSurvPan,INDEX(elecPan,stdCSL+1,4)*allOnes,OFFSET(tPrcElec,0,30,1,_maxLT))</f>
        <v>0</v>
      </c>
      <c r="AJ169" s="13">
        <f ca="1">SUMPRODUCT(dFactor,tpSurvPan,INDEX(elecPan,stdCSL+1,4)*allOnes,OFFSET(tPrcElec,0,31,1,_maxLT))</f>
        <v>0</v>
      </c>
      <c r="AK169" s="13">
        <f ca="1">SUMPRODUCT(dFactor,tpSurvPan,INDEX(elecPan,stdCSL+1,4)*allOnes,OFFSET(tPrcElec,0,32,1,_maxLT))</f>
        <v>0</v>
      </c>
      <c r="AL169" s="56">
        <f ca="1">SUMPRODUCT(dFactor,tpSurvPan,INDEX(elecPan,stdCSL+1,4)*allOnes,OFFSET(tPrcElec,0,33,1,_maxLT))</f>
        <v>0</v>
      </c>
      <c r="AM169" s="10"/>
    </row>
    <row r="170" spans="2:39" ht="15">
      <c r="B170" s="10"/>
      <c r="C170" s="16" t="s">
        <v>79</v>
      </c>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5"/>
      <c r="AM170" s="10"/>
    </row>
    <row r="171" spans="2:39" ht="15">
      <c r="B171" s="10"/>
      <c r="C171" s="28" t="str">
        <f>INDEX(_fuel,1)</f>
        <v>Electricity</v>
      </c>
      <c r="D171" s="12" t="s">
        <v>83</v>
      </c>
      <c r="E171" s="39">
        <f ca="1">SUMPRODUCT(OFFSET(tConvElecPan,0,0,1,_maxLT),INDEX(elecPan,stdCSL+1,4)*allOnes,tpSurvPan)</f>
        <v>0</v>
      </c>
      <c r="F171" s="39">
        <f ca="1">SUMPRODUCT(OFFSET(tConvElecPan,0,1,1,_maxLT),INDEX(elecPan,stdCSL+1,4)*allOnes,tpSurvPan)</f>
        <v>0</v>
      </c>
      <c r="G171" s="39">
        <f ca="1">SUMPRODUCT(OFFSET(tConvElecPan,0,2,1,_maxLT),INDEX(elecPan,stdCSL+1,4)*allOnes,tpSurvPan)</f>
        <v>0</v>
      </c>
      <c r="H171" s="39">
        <f ca="1">SUMPRODUCT(OFFSET(tConvElecPan,0,3,1,_maxLT),INDEX(elecPan,stdCSL+1,4)*allOnes,tpSurvPan)</f>
        <v>0</v>
      </c>
      <c r="I171" s="39">
        <f ca="1">SUMPRODUCT(OFFSET(tConvElecPan,0,4,1,_maxLT),INDEX(elecPan,stdCSL+1,4)*allOnes,tpSurvPan)</f>
        <v>0</v>
      </c>
      <c r="J171" s="39">
        <f ca="1">SUMPRODUCT(OFFSET(tConvElecPan,0,5,1,_maxLT),INDEX(elecPan,stdCSL+1,4)*allOnes,tpSurvPan)</f>
        <v>0</v>
      </c>
      <c r="K171" s="39">
        <f ca="1">SUMPRODUCT(OFFSET(tConvElecPan,0,6,1,_maxLT),INDEX(elecPan,stdCSL+1,4)*allOnes,tpSurvPan)</f>
        <v>0</v>
      </c>
      <c r="L171" s="39">
        <f ca="1">SUMPRODUCT(OFFSET(tConvElecPan,0,7,1,_maxLT),INDEX(elecPan,stdCSL+1,4)*allOnes,tpSurvPan)</f>
        <v>0</v>
      </c>
      <c r="M171" s="39">
        <f ca="1">SUMPRODUCT(OFFSET(tConvElecPan,0,8,1,_maxLT),INDEX(elecPan,stdCSL+1,4)*allOnes,tpSurvPan)</f>
        <v>0</v>
      </c>
      <c r="N171" s="39">
        <f ca="1">SUMPRODUCT(OFFSET(tConvElecPan,0,9,1,_maxLT),INDEX(elecPan,stdCSL+1,4)*allOnes,tpSurvPan)</f>
        <v>0</v>
      </c>
      <c r="O171" s="39">
        <f ca="1">SUMPRODUCT(OFFSET(tConvElecPan,0,10,1,_maxLT),INDEX(elecPan,stdCSL+1,4)*allOnes,tpSurvPan)</f>
        <v>0</v>
      </c>
      <c r="P171" s="39">
        <f ca="1">SUMPRODUCT(OFFSET(tConvElecPan,0,11,1,_maxLT),INDEX(elecPan,stdCSL+1,4)*allOnes,tpSurvPan)</f>
        <v>0</v>
      </c>
      <c r="Q171" s="39">
        <f ca="1">SUMPRODUCT(OFFSET(tConvElecPan,0,12,1,_maxLT),INDEX(elecPan,stdCSL+1,4)*allOnes,tpSurvPan)</f>
        <v>0</v>
      </c>
      <c r="R171" s="39">
        <f ca="1">SUMPRODUCT(OFFSET(tConvElecPan,0,13,1,_maxLT),INDEX(elecPan,stdCSL+1,4)*allOnes,tpSurvPan)</f>
        <v>0</v>
      </c>
      <c r="S171" s="39">
        <f ca="1">SUMPRODUCT(OFFSET(tConvElecPan,0,14,1,_maxLT),INDEX(elecPan,stdCSL+1,4)*allOnes,tpSurvPan)</f>
        <v>0</v>
      </c>
      <c r="T171" s="39">
        <f ca="1">SUMPRODUCT(OFFSET(tConvElecPan,0,15,1,_maxLT),INDEX(elecPan,stdCSL+1,4)*allOnes,tpSurvPan)</f>
        <v>0</v>
      </c>
      <c r="U171" s="39">
        <f ca="1">SUMPRODUCT(OFFSET(tConvElecPan,0,16,1,_maxLT),INDEX(elecPan,stdCSL+1,4)*allOnes,tpSurvPan)</f>
        <v>0</v>
      </c>
      <c r="V171" s="39">
        <f ca="1">SUMPRODUCT(OFFSET(tConvElecPan,0,17,1,_maxLT),INDEX(elecPan,stdCSL+1,4)*allOnes,tpSurvPan)</f>
        <v>0</v>
      </c>
      <c r="W171" s="39">
        <f ca="1">SUMPRODUCT(OFFSET(tConvElecPan,0,18,1,_maxLT),INDEX(elecPan,stdCSL+1,4)*allOnes,tpSurvPan)</f>
        <v>0</v>
      </c>
      <c r="X171" s="39">
        <f ca="1">SUMPRODUCT(OFFSET(tConvElecPan,0,19,1,_maxLT),INDEX(elecPan,stdCSL+1,4)*allOnes,tpSurvPan)</f>
        <v>0</v>
      </c>
      <c r="Y171" s="39">
        <f ca="1">SUMPRODUCT(OFFSET(tConvElecPan,0,20,1,_maxLT),INDEX(elecPan,stdCSL+1,4)*allOnes,tpSurvPan)</f>
        <v>0</v>
      </c>
      <c r="Z171" s="39">
        <f ca="1">SUMPRODUCT(OFFSET(tConvElecPan,0,21,1,_maxLT),INDEX(elecPan,stdCSL+1,4)*allOnes,tpSurvPan)</f>
        <v>0</v>
      </c>
      <c r="AA171" s="39">
        <f ca="1">SUMPRODUCT(OFFSET(tConvElecPan,0,22,1,_maxLT),INDEX(elecPan,stdCSL+1,4)*allOnes,tpSurvPan)</f>
        <v>0</v>
      </c>
      <c r="AB171" s="39">
        <f ca="1">SUMPRODUCT(OFFSET(tConvElecPan,0,23,1,_maxLT),INDEX(elecPan,stdCSL+1,4)*allOnes,tpSurvPan)</f>
        <v>0</v>
      </c>
      <c r="AC171" s="39">
        <f ca="1">SUMPRODUCT(OFFSET(tConvElecPan,0,24,1,_maxLT),INDEX(elecPan,stdCSL+1,4)*allOnes,tpSurvPan)</f>
        <v>0</v>
      </c>
      <c r="AD171" s="39">
        <f ca="1">SUMPRODUCT(OFFSET(tConvElecPan,0,25,1,_maxLT),INDEX(elecPan,stdCSL+1,4)*allOnes,tpSurvPan)</f>
        <v>0</v>
      </c>
      <c r="AE171" s="39">
        <f ca="1">SUMPRODUCT(OFFSET(tConvElecPan,0,26,1,_maxLT),INDEX(elecPan,stdCSL+1,4)*allOnes,tpSurvPan)</f>
        <v>0</v>
      </c>
      <c r="AF171" s="39">
        <f ca="1">SUMPRODUCT(OFFSET(tConvElecPan,0,27,1,_maxLT),INDEX(elecPan,stdCSL+1,4)*allOnes,tpSurvPan)</f>
        <v>0</v>
      </c>
      <c r="AG171" s="39">
        <f ca="1">SUMPRODUCT(OFFSET(tConvElecPan,0,28,1,_maxLT),INDEX(elecPan,stdCSL+1,4)*allOnes,tpSurvPan)</f>
        <v>0</v>
      </c>
      <c r="AH171" s="39">
        <f ca="1">SUMPRODUCT(OFFSET(tConvElecPan,0,29,1,_maxLT),INDEX(elecPan,stdCSL+1,4)*allOnes,tpSurvPan)</f>
        <v>0</v>
      </c>
      <c r="AI171" s="39">
        <f ca="1">SUMPRODUCT(OFFSET(tConvElecPan,0,30,1,_maxLT),INDEX(elecPan,stdCSL+1,4)*allOnes,tpSurvPan)</f>
        <v>0</v>
      </c>
      <c r="AJ171" s="39">
        <f ca="1">SUMPRODUCT(OFFSET(tConvElecPan,0,31,1,_maxLT),INDEX(elecPan,stdCSL+1,4)*allOnes,tpSurvPan)</f>
        <v>0</v>
      </c>
      <c r="AK171" s="39">
        <f ca="1">SUMPRODUCT(OFFSET(tConvElecPan,0,32,1,_maxLT),INDEX(elecPan,stdCSL+1,4)*allOnes,tpSurvPan)</f>
        <v>0</v>
      </c>
      <c r="AL171" s="40">
        <f ca="1">SUMPRODUCT(OFFSET(tConvElecPan,0,33,1,_maxLT),INDEX(elecPan,stdCSL+1,4)*allOnes,tpSurvPan)</f>
        <v>0</v>
      </c>
      <c r="AM171" s="10"/>
    </row>
    <row r="172" spans="2:39" ht="15">
      <c r="B172" s="10"/>
      <c r="C172" s="57" t="str">
        <f>"EL 4: " &amp; INDEX(_doName,2,5)</f>
        <v>EL 4: EL 4</v>
      </c>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3"/>
      <c r="AM172" s="10"/>
    </row>
    <row r="173" spans="2:39" ht="15">
      <c r="B173" s="10"/>
      <c r="C173" s="16" t="s">
        <v>69</v>
      </c>
      <c r="D173" s="12" t="str">
        <f>_yearDol &amp; "$"</f>
        <v>2015$</v>
      </c>
      <c r="E173" s="13">
        <f t="array" aca="1" ref="E173:AL173" ca="1">INDEX(mspPan,stdCSL+1,5)*tPIdxAll + INDEX(instPan,stdCSL+1,5) + IF(bESav,SUMPRODUCT(dFactor,tpSurvPan,INDEX(mrPan,stdCSL+1,5)*allOnes),0)</f>
        <v>0</v>
      </c>
      <c r="F173" s="13">
        <f ca="1"/>
        <v>0</v>
      </c>
      <c r="G173" s="13">
        <f ca="1"/>
        <v>0</v>
      </c>
      <c r="H173" s="13">
        <f ca="1"/>
        <v>0</v>
      </c>
      <c r="I173" s="13">
        <f ca="1"/>
        <v>0</v>
      </c>
      <c r="J173" s="13">
        <f ca="1"/>
        <v>0</v>
      </c>
      <c r="K173" s="13">
        <f ca="1"/>
        <v>0</v>
      </c>
      <c r="L173" s="13">
        <f ca="1"/>
        <v>0</v>
      </c>
      <c r="M173" s="13">
        <f ca="1"/>
        <v>0</v>
      </c>
      <c r="N173" s="13">
        <f ca="1"/>
        <v>0</v>
      </c>
      <c r="O173" s="13">
        <f ca="1"/>
        <v>0</v>
      </c>
      <c r="P173" s="13">
        <f ca="1"/>
        <v>0</v>
      </c>
      <c r="Q173" s="13">
        <f ca="1"/>
        <v>0</v>
      </c>
      <c r="R173" s="13">
        <f ca="1"/>
        <v>0</v>
      </c>
      <c r="S173" s="13">
        <f ca="1"/>
        <v>0</v>
      </c>
      <c r="T173" s="13">
        <f ca="1"/>
        <v>0</v>
      </c>
      <c r="U173" s="13">
        <f ca="1"/>
        <v>0</v>
      </c>
      <c r="V173" s="13">
        <f ca="1"/>
        <v>0</v>
      </c>
      <c r="W173" s="13">
        <f ca="1"/>
        <v>0</v>
      </c>
      <c r="X173" s="13">
        <f ca="1"/>
        <v>0</v>
      </c>
      <c r="Y173" s="13">
        <f ca="1"/>
        <v>0</v>
      </c>
      <c r="Z173" s="13">
        <f ca="1"/>
        <v>0</v>
      </c>
      <c r="AA173" s="13">
        <f ca="1"/>
        <v>0</v>
      </c>
      <c r="AB173" s="13">
        <f ca="1"/>
        <v>0</v>
      </c>
      <c r="AC173" s="13">
        <f ca="1"/>
        <v>0</v>
      </c>
      <c r="AD173" s="13">
        <f ca="1"/>
        <v>0</v>
      </c>
      <c r="AE173" s="13">
        <f ca="1"/>
        <v>0</v>
      </c>
      <c r="AF173" s="13">
        <f ca="1"/>
        <v>0</v>
      </c>
      <c r="AG173" s="13">
        <f ca="1"/>
        <v>0</v>
      </c>
      <c r="AH173" s="13">
        <f ca="1"/>
        <v>0</v>
      </c>
      <c r="AI173" s="13">
        <f ca="1"/>
        <v>0</v>
      </c>
      <c r="AJ173" s="13">
        <f ca="1"/>
        <v>0</v>
      </c>
      <c r="AK173" s="13">
        <f ca="1"/>
        <v>0</v>
      </c>
      <c r="AL173" s="56">
        <f ca="1"/>
        <v>0</v>
      </c>
      <c r="AM173" s="10"/>
    </row>
    <row r="174" spans="2:39" ht="15">
      <c r="B174" s="10"/>
      <c r="C174" s="16" t="str">
        <f>zEO&amp;" Costs"</f>
        <v>Operating Costs</v>
      </c>
      <c r="D174" s="12" t="str">
        <f>_yearDol &amp; "$"</f>
        <v>2015$</v>
      </c>
      <c r="E174" s="13">
        <f t="array" aca="1" ref="E174:AL174" ca="1">(tlccEFuElecpol4) + IF(bOSav,SUMPRODUCT(dFactor,tpSurvPan,INDEX(mrPan,stdCSL+1,5)*allOnes),0)</f>
        <v>0</v>
      </c>
      <c r="F174" s="13">
        <f ca="1"/>
        <v>0</v>
      </c>
      <c r="G174" s="13">
        <f ca="1"/>
        <v>0</v>
      </c>
      <c r="H174" s="13">
        <f ca="1"/>
        <v>0</v>
      </c>
      <c r="I174" s="13">
        <f ca="1"/>
        <v>0</v>
      </c>
      <c r="J174" s="13">
        <f ca="1"/>
        <v>0</v>
      </c>
      <c r="K174" s="13">
        <f ca="1"/>
        <v>0</v>
      </c>
      <c r="L174" s="13">
        <f ca="1"/>
        <v>0</v>
      </c>
      <c r="M174" s="13">
        <f ca="1"/>
        <v>0</v>
      </c>
      <c r="N174" s="13">
        <f ca="1"/>
        <v>0</v>
      </c>
      <c r="O174" s="13">
        <f ca="1"/>
        <v>0</v>
      </c>
      <c r="P174" s="13">
        <f ca="1"/>
        <v>0</v>
      </c>
      <c r="Q174" s="13">
        <f ca="1"/>
        <v>0</v>
      </c>
      <c r="R174" s="13">
        <f ca="1"/>
        <v>0</v>
      </c>
      <c r="S174" s="13">
        <f ca="1"/>
        <v>0</v>
      </c>
      <c r="T174" s="13">
        <f ca="1"/>
        <v>0</v>
      </c>
      <c r="U174" s="13">
        <f ca="1"/>
        <v>0</v>
      </c>
      <c r="V174" s="13">
        <f ca="1"/>
        <v>0</v>
      </c>
      <c r="W174" s="13">
        <f ca="1"/>
        <v>0</v>
      </c>
      <c r="X174" s="13">
        <f ca="1"/>
        <v>0</v>
      </c>
      <c r="Y174" s="13">
        <f ca="1"/>
        <v>0</v>
      </c>
      <c r="Z174" s="13">
        <f ca="1"/>
        <v>0</v>
      </c>
      <c r="AA174" s="13">
        <f ca="1"/>
        <v>0</v>
      </c>
      <c r="AB174" s="13">
        <f ca="1"/>
        <v>0</v>
      </c>
      <c r="AC174" s="13">
        <f ca="1"/>
        <v>0</v>
      </c>
      <c r="AD174" s="13">
        <f ca="1"/>
        <v>0</v>
      </c>
      <c r="AE174" s="13">
        <f ca="1"/>
        <v>0</v>
      </c>
      <c r="AF174" s="13">
        <f ca="1"/>
        <v>0</v>
      </c>
      <c r="AG174" s="13">
        <f ca="1"/>
        <v>0</v>
      </c>
      <c r="AH174" s="13">
        <f ca="1"/>
        <v>0</v>
      </c>
      <c r="AI174" s="13">
        <f ca="1"/>
        <v>0</v>
      </c>
      <c r="AJ174" s="13">
        <f ca="1"/>
        <v>0</v>
      </c>
      <c r="AK174" s="13">
        <f ca="1"/>
        <v>0</v>
      </c>
      <c r="AL174" s="56">
        <f ca="1"/>
        <v>0</v>
      </c>
      <c r="AM174" s="10"/>
    </row>
    <row r="175" spans="2:39" ht="15">
      <c r="B175" s="10"/>
      <c r="C175" s="28" t="str">
        <f>INDEX(_fuel,1)</f>
        <v>Electricity</v>
      </c>
      <c r="D175" s="12" t="str">
        <f>_yearDol &amp; "$"</f>
        <v>2015$</v>
      </c>
      <c r="E175" s="13">
        <f ca="1">SUMPRODUCT(dFactor,tpSurvPan,INDEX(elecPan,stdCSL+1,5)*allOnes,OFFSET(tPrcElec,0,0,1,_maxLT))</f>
        <v>0</v>
      </c>
      <c r="F175" s="13">
        <f ca="1">SUMPRODUCT(dFactor,tpSurvPan,INDEX(elecPan,stdCSL+1,5)*allOnes,OFFSET(tPrcElec,0,1,1,_maxLT))</f>
        <v>0</v>
      </c>
      <c r="G175" s="13">
        <f ca="1">SUMPRODUCT(dFactor,tpSurvPan,INDEX(elecPan,stdCSL+1,5)*allOnes,OFFSET(tPrcElec,0,2,1,_maxLT))</f>
        <v>0</v>
      </c>
      <c r="H175" s="13">
        <f ca="1">SUMPRODUCT(dFactor,tpSurvPan,INDEX(elecPan,stdCSL+1,5)*allOnes,OFFSET(tPrcElec,0,3,1,_maxLT))</f>
        <v>0</v>
      </c>
      <c r="I175" s="13">
        <f ca="1">SUMPRODUCT(dFactor,tpSurvPan,INDEX(elecPan,stdCSL+1,5)*allOnes,OFFSET(tPrcElec,0,4,1,_maxLT))</f>
        <v>0</v>
      </c>
      <c r="J175" s="13">
        <f ca="1">SUMPRODUCT(dFactor,tpSurvPan,INDEX(elecPan,stdCSL+1,5)*allOnes,OFFSET(tPrcElec,0,5,1,_maxLT))</f>
        <v>0</v>
      </c>
      <c r="K175" s="13">
        <f ca="1">SUMPRODUCT(dFactor,tpSurvPan,INDEX(elecPan,stdCSL+1,5)*allOnes,OFFSET(tPrcElec,0,6,1,_maxLT))</f>
        <v>0</v>
      </c>
      <c r="L175" s="13">
        <f ca="1">SUMPRODUCT(dFactor,tpSurvPan,INDEX(elecPan,stdCSL+1,5)*allOnes,OFFSET(tPrcElec,0,7,1,_maxLT))</f>
        <v>0</v>
      </c>
      <c r="M175" s="13">
        <f ca="1">SUMPRODUCT(dFactor,tpSurvPan,INDEX(elecPan,stdCSL+1,5)*allOnes,OFFSET(tPrcElec,0,8,1,_maxLT))</f>
        <v>0</v>
      </c>
      <c r="N175" s="13">
        <f ca="1">SUMPRODUCT(dFactor,tpSurvPan,INDEX(elecPan,stdCSL+1,5)*allOnes,OFFSET(tPrcElec,0,9,1,_maxLT))</f>
        <v>0</v>
      </c>
      <c r="O175" s="13">
        <f ca="1">SUMPRODUCT(dFactor,tpSurvPan,INDEX(elecPan,stdCSL+1,5)*allOnes,OFFSET(tPrcElec,0,10,1,_maxLT))</f>
        <v>0</v>
      </c>
      <c r="P175" s="13">
        <f ca="1">SUMPRODUCT(dFactor,tpSurvPan,INDEX(elecPan,stdCSL+1,5)*allOnes,OFFSET(tPrcElec,0,11,1,_maxLT))</f>
        <v>0</v>
      </c>
      <c r="Q175" s="13">
        <f ca="1">SUMPRODUCT(dFactor,tpSurvPan,INDEX(elecPan,stdCSL+1,5)*allOnes,OFFSET(tPrcElec,0,12,1,_maxLT))</f>
        <v>0</v>
      </c>
      <c r="R175" s="13">
        <f ca="1">SUMPRODUCT(dFactor,tpSurvPan,INDEX(elecPan,stdCSL+1,5)*allOnes,OFFSET(tPrcElec,0,13,1,_maxLT))</f>
        <v>0</v>
      </c>
      <c r="S175" s="13">
        <f ca="1">SUMPRODUCT(dFactor,tpSurvPan,INDEX(elecPan,stdCSL+1,5)*allOnes,OFFSET(tPrcElec,0,14,1,_maxLT))</f>
        <v>0</v>
      </c>
      <c r="T175" s="13">
        <f ca="1">SUMPRODUCT(dFactor,tpSurvPan,INDEX(elecPan,stdCSL+1,5)*allOnes,OFFSET(tPrcElec,0,15,1,_maxLT))</f>
        <v>0</v>
      </c>
      <c r="U175" s="13">
        <f ca="1">SUMPRODUCT(dFactor,tpSurvPan,INDEX(elecPan,stdCSL+1,5)*allOnes,OFFSET(tPrcElec,0,16,1,_maxLT))</f>
        <v>0</v>
      </c>
      <c r="V175" s="13">
        <f ca="1">SUMPRODUCT(dFactor,tpSurvPan,INDEX(elecPan,stdCSL+1,5)*allOnes,OFFSET(tPrcElec,0,17,1,_maxLT))</f>
        <v>0</v>
      </c>
      <c r="W175" s="13">
        <f ca="1">SUMPRODUCT(dFactor,tpSurvPan,INDEX(elecPan,stdCSL+1,5)*allOnes,OFFSET(tPrcElec,0,18,1,_maxLT))</f>
        <v>0</v>
      </c>
      <c r="X175" s="13">
        <f ca="1">SUMPRODUCT(dFactor,tpSurvPan,INDEX(elecPan,stdCSL+1,5)*allOnes,OFFSET(tPrcElec,0,19,1,_maxLT))</f>
        <v>0</v>
      </c>
      <c r="Y175" s="13">
        <f ca="1">SUMPRODUCT(dFactor,tpSurvPan,INDEX(elecPan,stdCSL+1,5)*allOnes,OFFSET(tPrcElec,0,20,1,_maxLT))</f>
        <v>0</v>
      </c>
      <c r="Z175" s="13">
        <f ca="1">SUMPRODUCT(dFactor,tpSurvPan,INDEX(elecPan,stdCSL+1,5)*allOnes,OFFSET(tPrcElec,0,21,1,_maxLT))</f>
        <v>0</v>
      </c>
      <c r="AA175" s="13">
        <f ca="1">SUMPRODUCT(dFactor,tpSurvPan,INDEX(elecPan,stdCSL+1,5)*allOnes,OFFSET(tPrcElec,0,22,1,_maxLT))</f>
        <v>0</v>
      </c>
      <c r="AB175" s="13">
        <f ca="1">SUMPRODUCT(dFactor,tpSurvPan,INDEX(elecPan,stdCSL+1,5)*allOnes,OFFSET(tPrcElec,0,23,1,_maxLT))</f>
        <v>0</v>
      </c>
      <c r="AC175" s="13">
        <f ca="1">SUMPRODUCT(dFactor,tpSurvPan,INDEX(elecPan,stdCSL+1,5)*allOnes,OFFSET(tPrcElec,0,24,1,_maxLT))</f>
        <v>0</v>
      </c>
      <c r="AD175" s="13">
        <f ca="1">SUMPRODUCT(dFactor,tpSurvPan,INDEX(elecPan,stdCSL+1,5)*allOnes,OFFSET(tPrcElec,0,25,1,_maxLT))</f>
        <v>0</v>
      </c>
      <c r="AE175" s="13">
        <f ca="1">SUMPRODUCT(dFactor,tpSurvPan,INDEX(elecPan,stdCSL+1,5)*allOnes,OFFSET(tPrcElec,0,26,1,_maxLT))</f>
        <v>0</v>
      </c>
      <c r="AF175" s="13">
        <f ca="1">SUMPRODUCT(dFactor,tpSurvPan,INDEX(elecPan,stdCSL+1,5)*allOnes,OFFSET(tPrcElec,0,27,1,_maxLT))</f>
        <v>0</v>
      </c>
      <c r="AG175" s="13">
        <f ca="1">SUMPRODUCT(dFactor,tpSurvPan,INDEX(elecPan,stdCSL+1,5)*allOnes,OFFSET(tPrcElec,0,28,1,_maxLT))</f>
        <v>0</v>
      </c>
      <c r="AH175" s="13">
        <f ca="1">SUMPRODUCT(dFactor,tpSurvPan,INDEX(elecPan,stdCSL+1,5)*allOnes,OFFSET(tPrcElec,0,29,1,_maxLT))</f>
        <v>0</v>
      </c>
      <c r="AI175" s="13">
        <f ca="1">SUMPRODUCT(dFactor,tpSurvPan,INDEX(elecPan,stdCSL+1,5)*allOnes,OFFSET(tPrcElec,0,30,1,_maxLT))</f>
        <v>0</v>
      </c>
      <c r="AJ175" s="13">
        <f ca="1">SUMPRODUCT(dFactor,tpSurvPan,INDEX(elecPan,stdCSL+1,5)*allOnes,OFFSET(tPrcElec,0,31,1,_maxLT))</f>
        <v>0</v>
      </c>
      <c r="AK175" s="13">
        <f ca="1">SUMPRODUCT(dFactor,tpSurvPan,INDEX(elecPan,stdCSL+1,5)*allOnes,OFFSET(tPrcElec,0,32,1,_maxLT))</f>
        <v>0</v>
      </c>
      <c r="AL175" s="56">
        <f ca="1">SUMPRODUCT(dFactor,tpSurvPan,INDEX(elecPan,stdCSL+1,5)*allOnes,OFFSET(tPrcElec,0,33,1,_maxLT))</f>
        <v>0</v>
      </c>
      <c r="AM175" s="10"/>
    </row>
    <row r="176" spans="2:39" ht="15">
      <c r="B176" s="10"/>
      <c r="C176" s="16" t="s">
        <v>79</v>
      </c>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5"/>
      <c r="AM176" s="10"/>
    </row>
    <row r="177" spans="2:39" ht="15">
      <c r="B177" s="10"/>
      <c r="C177" s="28" t="str">
        <f>INDEX(_fuel,1)</f>
        <v>Electricity</v>
      </c>
      <c r="D177" s="12" t="s">
        <v>83</v>
      </c>
      <c r="E177" s="39">
        <f ca="1">SUMPRODUCT(OFFSET(tConvElecPan,0,0,1,_maxLT),INDEX(elecPan,stdCSL+1,5)*allOnes,tpSurvPan)</f>
        <v>0</v>
      </c>
      <c r="F177" s="39">
        <f ca="1">SUMPRODUCT(OFFSET(tConvElecPan,0,1,1,_maxLT),INDEX(elecPan,stdCSL+1,5)*allOnes,tpSurvPan)</f>
        <v>0</v>
      </c>
      <c r="G177" s="39">
        <f ca="1">SUMPRODUCT(OFFSET(tConvElecPan,0,2,1,_maxLT),INDEX(elecPan,stdCSL+1,5)*allOnes,tpSurvPan)</f>
        <v>0</v>
      </c>
      <c r="H177" s="39">
        <f ca="1">SUMPRODUCT(OFFSET(tConvElecPan,0,3,1,_maxLT),INDEX(elecPan,stdCSL+1,5)*allOnes,tpSurvPan)</f>
        <v>0</v>
      </c>
      <c r="I177" s="39">
        <f ca="1">SUMPRODUCT(OFFSET(tConvElecPan,0,4,1,_maxLT),INDEX(elecPan,stdCSL+1,5)*allOnes,tpSurvPan)</f>
        <v>0</v>
      </c>
      <c r="J177" s="39">
        <f ca="1">SUMPRODUCT(OFFSET(tConvElecPan,0,5,1,_maxLT),INDEX(elecPan,stdCSL+1,5)*allOnes,tpSurvPan)</f>
        <v>0</v>
      </c>
      <c r="K177" s="39">
        <f ca="1">SUMPRODUCT(OFFSET(tConvElecPan,0,6,1,_maxLT),INDEX(elecPan,stdCSL+1,5)*allOnes,tpSurvPan)</f>
        <v>0</v>
      </c>
      <c r="L177" s="39">
        <f ca="1">SUMPRODUCT(OFFSET(tConvElecPan,0,7,1,_maxLT),INDEX(elecPan,stdCSL+1,5)*allOnes,tpSurvPan)</f>
        <v>0</v>
      </c>
      <c r="M177" s="39">
        <f ca="1">SUMPRODUCT(OFFSET(tConvElecPan,0,8,1,_maxLT),INDEX(elecPan,stdCSL+1,5)*allOnes,tpSurvPan)</f>
        <v>0</v>
      </c>
      <c r="N177" s="39">
        <f ca="1">SUMPRODUCT(OFFSET(tConvElecPan,0,9,1,_maxLT),INDEX(elecPan,stdCSL+1,5)*allOnes,tpSurvPan)</f>
        <v>0</v>
      </c>
      <c r="O177" s="39">
        <f ca="1">SUMPRODUCT(OFFSET(tConvElecPan,0,10,1,_maxLT),INDEX(elecPan,stdCSL+1,5)*allOnes,tpSurvPan)</f>
        <v>0</v>
      </c>
      <c r="P177" s="39">
        <f ca="1">SUMPRODUCT(OFFSET(tConvElecPan,0,11,1,_maxLT),INDEX(elecPan,stdCSL+1,5)*allOnes,tpSurvPan)</f>
        <v>0</v>
      </c>
      <c r="Q177" s="39">
        <f ca="1">SUMPRODUCT(OFFSET(tConvElecPan,0,12,1,_maxLT),INDEX(elecPan,stdCSL+1,5)*allOnes,tpSurvPan)</f>
        <v>0</v>
      </c>
      <c r="R177" s="39">
        <f ca="1">SUMPRODUCT(OFFSET(tConvElecPan,0,13,1,_maxLT),INDEX(elecPan,stdCSL+1,5)*allOnes,tpSurvPan)</f>
        <v>0</v>
      </c>
      <c r="S177" s="39">
        <f ca="1">SUMPRODUCT(OFFSET(tConvElecPan,0,14,1,_maxLT),INDEX(elecPan,stdCSL+1,5)*allOnes,tpSurvPan)</f>
        <v>0</v>
      </c>
      <c r="T177" s="39">
        <f ca="1">SUMPRODUCT(OFFSET(tConvElecPan,0,15,1,_maxLT),INDEX(elecPan,stdCSL+1,5)*allOnes,tpSurvPan)</f>
        <v>0</v>
      </c>
      <c r="U177" s="39">
        <f ca="1">SUMPRODUCT(OFFSET(tConvElecPan,0,16,1,_maxLT),INDEX(elecPan,stdCSL+1,5)*allOnes,tpSurvPan)</f>
        <v>0</v>
      </c>
      <c r="V177" s="39">
        <f ca="1">SUMPRODUCT(OFFSET(tConvElecPan,0,17,1,_maxLT),INDEX(elecPan,stdCSL+1,5)*allOnes,tpSurvPan)</f>
        <v>0</v>
      </c>
      <c r="W177" s="39">
        <f ca="1">SUMPRODUCT(OFFSET(tConvElecPan,0,18,1,_maxLT),INDEX(elecPan,stdCSL+1,5)*allOnes,tpSurvPan)</f>
        <v>0</v>
      </c>
      <c r="X177" s="39">
        <f ca="1">SUMPRODUCT(OFFSET(tConvElecPan,0,19,1,_maxLT),INDEX(elecPan,stdCSL+1,5)*allOnes,tpSurvPan)</f>
        <v>0</v>
      </c>
      <c r="Y177" s="39">
        <f ca="1">SUMPRODUCT(OFFSET(tConvElecPan,0,20,1,_maxLT),INDEX(elecPan,stdCSL+1,5)*allOnes,tpSurvPan)</f>
        <v>0</v>
      </c>
      <c r="Z177" s="39">
        <f ca="1">SUMPRODUCT(OFFSET(tConvElecPan,0,21,1,_maxLT),INDEX(elecPan,stdCSL+1,5)*allOnes,tpSurvPan)</f>
        <v>0</v>
      </c>
      <c r="AA177" s="39">
        <f ca="1">SUMPRODUCT(OFFSET(tConvElecPan,0,22,1,_maxLT),INDEX(elecPan,stdCSL+1,5)*allOnes,tpSurvPan)</f>
        <v>0</v>
      </c>
      <c r="AB177" s="39">
        <f ca="1">SUMPRODUCT(OFFSET(tConvElecPan,0,23,1,_maxLT),INDEX(elecPan,stdCSL+1,5)*allOnes,tpSurvPan)</f>
        <v>0</v>
      </c>
      <c r="AC177" s="39">
        <f ca="1">SUMPRODUCT(OFFSET(tConvElecPan,0,24,1,_maxLT),INDEX(elecPan,stdCSL+1,5)*allOnes,tpSurvPan)</f>
        <v>0</v>
      </c>
      <c r="AD177" s="39">
        <f ca="1">SUMPRODUCT(OFFSET(tConvElecPan,0,25,1,_maxLT),INDEX(elecPan,stdCSL+1,5)*allOnes,tpSurvPan)</f>
        <v>0</v>
      </c>
      <c r="AE177" s="39">
        <f ca="1">SUMPRODUCT(OFFSET(tConvElecPan,0,26,1,_maxLT),INDEX(elecPan,stdCSL+1,5)*allOnes,tpSurvPan)</f>
        <v>0</v>
      </c>
      <c r="AF177" s="39">
        <f ca="1">SUMPRODUCT(OFFSET(tConvElecPan,0,27,1,_maxLT),INDEX(elecPan,stdCSL+1,5)*allOnes,tpSurvPan)</f>
        <v>0</v>
      </c>
      <c r="AG177" s="39">
        <f ca="1">SUMPRODUCT(OFFSET(tConvElecPan,0,28,1,_maxLT),INDEX(elecPan,stdCSL+1,5)*allOnes,tpSurvPan)</f>
        <v>0</v>
      </c>
      <c r="AH177" s="39">
        <f ca="1">SUMPRODUCT(OFFSET(tConvElecPan,0,29,1,_maxLT),INDEX(elecPan,stdCSL+1,5)*allOnes,tpSurvPan)</f>
        <v>0</v>
      </c>
      <c r="AI177" s="39">
        <f ca="1">SUMPRODUCT(OFFSET(tConvElecPan,0,30,1,_maxLT),INDEX(elecPan,stdCSL+1,5)*allOnes,tpSurvPan)</f>
        <v>0</v>
      </c>
      <c r="AJ177" s="39">
        <f ca="1">SUMPRODUCT(OFFSET(tConvElecPan,0,31,1,_maxLT),INDEX(elecPan,stdCSL+1,5)*allOnes,tpSurvPan)</f>
        <v>0</v>
      </c>
      <c r="AK177" s="39">
        <f ca="1">SUMPRODUCT(OFFSET(tConvElecPan,0,32,1,_maxLT),INDEX(elecPan,stdCSL+1,5)*allOnes,tpSurvPan)</f>
        <v>0</v>
      </c>
      <c r="AL177" s="40">
        <f ca="1">SUMPRODUCT(OFFSET(tConvElecPan,0,33,1,_maxLT),INDEX(elecPan,stdCSL+1,5)*allOnes,tpSurvPan)</f>
        <v>0</v>
      </c>
      <c r="AM177" s="10"/>
    </row>
    <row r="178" spans="2:39" ht="15">
      <c r="B178" s="10"/>
      <c r="C178" s="57" t="str">
        <f>"EL 5: " &amp; INDEX(_doName,2,6)</f>
        <v>EL 5: EL 5</v>
      </c>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3"/>
      <c r="AM178" s="10"/>
    </row>
    <row r="179" spans="2:39" ht="15">
      <c r="B179" s="10"/>
      <c r="C179" s="16" t="s">
        <v>69</v>
      </c>
      <c r="D179" s="12" t="str">
        <f>_yearDol &amp; "$"</f>
        <v>2015$</v>
      </c>
      <c r="E179" s="13">
        <f t="array" aca="1" ref="E179:AL179" ca="1">INDEX(mspPan,stdCSL+1,6)*tPIdxAll + INDEX(instPan,stdCSL+1,6) + IF(bESav,SUMPRODUCT(dFactor,tpSurvPan,INDEX(mrPan,stdCSL+1,6)*allOnes),0)</f>
        <v>1779.9263209999999</v>
      </c>
      <c r="F179" s="13">
        <f ca="1"/>
        <v>1779.9263209999999</v>
      </c>
      <c r="G179" s="13">
        <f ca="1"/>
        <v>1779.9263209999999</v>
      </c>
      <c r="H179" s="13">
        <f ca="1"/>
        <v>1779.9263209999999</v>
      </c>
      <c r="I179" s="13">
        <f ca="1"/>
        <v>1779.9263209999999</v>
      </c>
      <c r="J179" s="13">
        <f ca="1"/>
        <v>1779.9263209999999</v>
      </c>
      <c r="K179" s="13">
        <f ca="1"/>
        <v>1779.9263209999999</v>
      </c>
      <c r="L179" s="13">
        <f ca="1"/>
        <v>1779.9263209999999</v>
      </c>
      <c r="M179" s="13">
        <f ca="1"/>
        <v>1779.9263209999999</v>
      </c>
      <c r="N179" s="13">
        <f ca="1"/>
        <v>1779.9263209999999</v>
      </c>
      <c r="O179" s="13">
        <f ca="1"/>
        <v>1779.9263209999999</v>
      </c>
      <c r="P179" s="13">
        <f ca="1"/>
        <v>1779.9263209999999</v>
      </c>
      <c r="Q179" s="13">
        <f ca="1"/>
        <v>1779.9263209999999</v>
      </c>
      <c r="R179" s="13">
        <f ca="1"/>
        <v>1779.9263209999999</v>
      </c>
      <c r="S179" s="13">
        <f ca="1"/>
        <v>1779.9263209999999</v>
      </c>
      <c r="T179" s="13">
        <f ca="1"/>
        <v>1779.9263209999999</v>
      </c>
      <c r="U179" s="13">
        <f ca="1"/>
        <v>1779.9263209999999</v>
      </c>
      <c r="V179" s="13">
        <f ca="1"/>
        <v>1779.9263209999999</v>
      </c>
      <c r="W179" s="13">
        <f ca="1"/>
        <v>1779.9263209999999</v>
      </c>
      <c r="X179" s="13">
        <f ca="1"/>
        <v>1779.9263209999999</v>
      </c>
      <c r="Y179" s="13">
        <f ca="1"/>
        <v>1779.9263209999999</v>
      </c>
      <c r="Z179" s="13">
        <f ca="1"/>
        <v>1779.9263209999999</v>
      </c>
      <c r="AA179" s="13">
        <f ca="1"/>
        <v>1779.9263209999999</v>
      </c>
      <c r="AB179" s="13">
        <f ca="1"/>
        <v>1779.9263209999999</v>
      </c>
      <c r="AC179" s="13">
        <f ca="1"/>
        <v>1779.9263209999999</v>
      </c>
      <c r="AD179" s="13">
        <f ca="1"/>
        <v>1779.9263209999999</v>
      </c>
      <c r="AE179" s="13">
        <f ca="1"/>
        <v>1779.9263209999999</v>
      </c>
      <c r="AF179" s="13">
        <f ca="1"/>
        <v>1779.9263209999999</v>
      </c>
      <c r="AG179" s="13">
        <f ca="1"/>
        <v>1779.9263209999999</v>
      </c>
      <c r="AH179" s="13">
        <f ca="1"/>
        <v>1779.9263209999999</v>
      </c>
      <c r="AI179" s="13">
        <f ca="1"/>
        <v>1779.9263209999999</v>
      </c>
      <c r="AJ179" s="13">
        <f ca="1"/>
        <v>1779.9263209999999</v>
      </c>
      <c r="AK179" s="13">
        <f ca="1"/>
        <v>1779.9263209999999</v>
      </c>
      <c r="AL179" s="56">
        <f ca="1"/>
        <v>1779.9263209999999</v>
      </c>
      <c r="AM179" s="10"/>
    </row>
    <row r="180" spans="2:39" ht="15">
      <c r="B180" s="10"/>
      <c r="C180" s="16" t="str">
        <f>zEO&amp;" Costs"</f>
        <v>Operating Costs</v>
      </c>
      <c r="D180" s="12" t="str">
        <f>_yearDol &amp; "$"</f>
        <v>2015$</v>
      </c>
      <c r="E180" s="13">
        <f t="array" aca="1" ref="E180:AL180" ca="1">(tlccEFuElecpol5) + IF(bOSav,SUMPRODUCT(dFactor,tpSurvPan,INDEX(mrPan,stdCSL+1,6)*allOnes),0)</f>
        <v>2949.0250258654792</v>
      </c>
      <c r="F180" s="13">
        <f ca="1"/>
        <v>2973.3357777806709</v>
      </c>
      <c r="G180" s="13">
        <f ca="1"/>
        <v>2996.8696451289234</v>
      </c>
      <c r="H180" s="13">
        <f ca="1"/>
        <v>3017.9638832468731</v>
      </c>
      <c r="I180" s="13">
        <f ca="1"/>
        <v>3036.9706511188392</v>
      </c>
      <c r="J180" s="13">
        <f ca="1"/>
        <v>3056.0996705855605</v>
      </c>
      <c r="K180" s="13">
        <f ca="1"/>
        <v>3075.3517465682426</v>
      </c>
      <c r="L180" s="13">
        <f ca="1"/>
        <v>3094.7276894206616</v>
      </c>
      <c r="M180" s="13">
        <f ca="1"/>
        <v>3114.228314966751</v>
      </c>
      <c r="N180" s="13">
        <f ca="1"/>
        <v>3133.8544445384737</v>
      </c>
      <c r="O180" s="13">
        <f ca="1"/>
        <v>3153.6069050139317</v>
      </c>
      <c r="P180" s="13">
        <f ca="1"/>
        <v>3173.4865288557689</v>
      </c>
      <c r="Q180" s="13">
        <f ca="1"/>
        <v>3193.4941541498615</v>
      </c>
      <c r="R180" s="13">
        <f ca="1"/>
        <v>3213.6306246442246</v>
      </c>
      <c r="S180" s="13">
        <f ca="1"/>
        <v>3233.8967897882699</v>
      </c>
      <c r="T180" s="13">
        <f ca="1"/>
        <v>3254.293504772279</v>
      </c>
      <c r="U180" s="13">
        <f ca="1"/>
        <v>3274.8216305671967</v>
      </c>
      <c r="V180" s="13">
        <f ca="1"/>
        <v>3295.4820339646835</v>
      </c>
      <c r="W180" s="13">
        <f ca="1"/>
        <v>3316.2755876174651</v>
      </c>
      <c r="X180" s="13">
        <f ca="1"/>
        <v>3337.2031700799653</v>
      </c>
      <c r="Y180" s="13">
        <f ca="1"/>
        <v>3358.2656658492265</v>
      </c>
      <c r="Z180" s="13">
        <f ca="1"/>
        <v>3379.4639654061211</v>
      </c>
      <c r="AA180" s="13">
        <f ca="1"/>
        <v>3400.798965256844</v>
      </c>
      <c r="AB180" s="13">
        <f ca="1"/>
        <v>3422.2715679747389</v>
      </c>
      <c r="AC180" s="13">
        <f ca="1"/>
        <v>3443.8826822423571</v>
      </c>
      <c r="AD180" s="13">
        <f ca="1"/>
        <v>3465.6332228938859</v>
      </c>
      <c r="AE180" s="13">
        <f ca="1"/>
        <v>3487.5241109578205</v>
      </c>
      <c r="AF180" s="13">
        <f ca="1"/>
        <v>3509.5562736999818</v>
      </c>
      <c r="AG180" s="13">
        <f ca="1"/>
        <v>3531.7306446668035</v>
      </c>
      <c r="AH180" s="13">
        <f ca="1"/>
        <v>3554.0481637289572</v>
      </c>
      <c r="AI180" s="13">
        <f ca="1"/>
        <v>3576.5097771252754</v>
      </c>
      <c r="AJ180" s="13">
        <f ca="1"/>
        <v>3599.1164375069811</v>
      </c>
      <c r="AK180" s="13">
        <f ca="1"/>
        <v>3621.869103982242</v>
      </c>
      <c r="AL180" s="56">
        <f ca="1"/>
        <v>3644.7687421610326</v>
      </c>
      <c r="AM180" s="10"/>
    </row>
    <row r="181" spans="2:39" ht="15">
      <c r="B181" s="10"/>
      <c r="C181" s="28" t="str">
        <f>INDEX(_fuel,1)</f>
        <v>Electricity</v>
      </c>
      <c r="D181" s="12" t="str">
        <f>_yearDol &amp; "$"</f>
        <v>2015$</v>
      </c>
      <c r="E181" s="13">
        <f ca="1">SUMPRODUCT(dFactor,tpSurvPan,INDEX(elecPan,stdCSL+1,6)*allOnes,OFFSET(tPrcElec,0,0,1,_maxLT))</f>
        <v>2949.0250258654792</v>
      </c>
      <c r="F181" s="13">
        <f ca="1">SUMPRODUCT(dFactor,tpSurvPan,INDEX(elecPan,stdCSL+1,6)*allOnes,OFFSET(tPrcElec,0,1,1,_maxLT))</f>
        <v>2973.3357777806709</v>
      </c>
      <c r="G181" s="13">
        <f ca="1">SUMPRODUCT(dFactor,tpSurvPan,INDEX(elecPan,stdCSL+1,6)*allOnes,OFFSET(tPrcElec,0,2,1,_maxLT))</f>
        <v>2996.8696451289234</v>
      </c>
      <c r="H181" s="13">
        <f ca="1">SUMPRODUCT(dFactor,tpSurvPan,INDEX(elecPan,stdCSL+1,6)*allOnes,OFFSET(tPrcElec,0,3,1,_maxLT))</f>
        <v>3017.9638832468731</v>
      </c>
      <c r="I181" s="13">
        <f ca="1">SUMPRODUCT(dFactor,tpSurvPan,INDEX(elecPan,stdCSL+1,6)*allOnes,OFFSET(tPrcElec,0,4,1,_maxLT))</f>
        <v>3036.9706511188392</v>
      </c>
      <c r="J181" s="13">
        <f ca="1">SUMPRODUCT(dFactor,tpSurvPan,INDEX(elecPan,stdCSL+1,6)*allOnes,OFFSET(tPrcElec,0,5,1,_maxLT))</f>
        <v>3056.0996705855605</v>
      </c>
      <c r="K181" s="13">
        <f ca="1">SUMPRODUCT(dFactor,tpSurvPan,INDEX(elecPan,stdCSL+1,6)*allOnes,OFFSET(tPrcElec,0,6,1,_maxLT))</f>
        <v>3075.3517465682426</v>
      </c>
      <c r="L181" s="13">
        <f ca="1">SUMPRODUCT(dFactor,tpSurvPan,INDEX(elecPan,stdCSL+1,6)*allOnes,OFFSET(tPrcElec,0,7,1,_maxLT))</f>
        <v>3094.7276894206616</v>
      </c>
      <c r="M181" s="13">
        <f ca="1">SUMPRODUCT(dFactor,tpSurvPan,INDEX(elecPan,stdCSL+1,6)*allOnes,OFFSET(tPrcElec,0,8,1,_maxLT))</f>
        <v>3114.228314966751</v>
      </c>
      <c r="N181" s="13">
        <f ca="1">SUMPRODUCT(dFactor,tpSurvPan,INDEX(elecPan,stdCSL+1,6)*allOnes,OFFSET(tPrcElec,0,9,1,_maxLT))</f>
        <v>3133.8544445384737</v>
      </c>
      <c r="O181" s="13">
        <f ca="1">SUMPRODUCT(dFactor,tpSurvPan,INDEX(elecPan,stdCSL+1,6)*allOnes,OFFSET(tPrcElec,0,10,1,_maxLT))</f>
        <v>3153.6069050139317</v>
      </c>
      <c r="P181" s="13">
        <f ca="1">SUMPRODUCT(dFactor,tpSurvPan,INDEX(elecPan,stdCSL+1,6)*allOnes,OFFSET(tPrcElec,0,11,1,_maxLT))</f>
        <v>3173.4865288557689</v>
      </c>
      <c r="Q181" s="13">
        <f ca="1">SUMPRODUCT(dFactor,tpSurvPan,INDEX(elecPan,stdCSL+1,6)*allOnes,OFFSET(tPrcElec,0,12,1,_maxLT))</f>
        <v>3193.4941541498615</v>
      </c>
      <c r="R181" s="13">
        <f ca="1">SUMPRODUCT(dFactor,tpSurvPan,INDEX(elecPan,stdCSL+1,6)*allOnes,OFFSET(tPrcElec,0,13,1,_maxLT))</f>
        <v>3213.6306246442246</v>
      </c>
      <c r="S181" s="13">
        <f ca="1">SUMPRODUCT(dFactor,tpSurvPan,INDEX(elecPan,stdCSL+1,6)*allOnes,OFFSET(tPrcElec,0,14,1,_maxLT))</f>
        <v>3233.8967897882699</v>
      </c>
      <c r="T181" s="13">
        <f ca="1">SUMPRODUCT(dFactor,tpSurvPan,INDEX(elecPan,stdCSL+1,6)*allOnes,OFFSET(tPrcElec,0,15,1,_maxLT))</f>
        <v>3254.293504772279</v>
      </c>
      <c r="U181" s="13">
        <f ca="1">SUMPRODUCT(dFactor,tpSurvPan,INDEX(elecPan,stdCSL+1,6)*allOnes,OFFSET(tPrcElec,0,16,1,_maxLT))</f>
        <v>3274.8216305671967</v>
      </c>
      <c r="V181" s="13">
        <f ca="1">SUMPRODUCT(dFactor,tpSurvPan,INDEX(elecPan,stdCSL+1,6)*allOnes,OFFSET(tPrcElec,0,17,1,_maxLT))</f>
        <v>3295.4820339646835</v>
      </c>
      <c r="W181" s="13">
        <f ca="1">SUMPRODUCT(dFactor,tpSurvPan,INDEX(elecPan,stdCSL+1,6)*allOnes,OFFSET(tPrcElec,0,18,1,_maxLT))</f>
        <v>3316.2755876174651</v>
      </c>
      <c r="X181" s="13">
        <f ca="1">SUMPRODUCT(dFactor,tpSurvPan,INDEX(elecPan,stdCSL+1,6)*allOnes,OFFSET(tPrcElec,0,19,1,_maxLT))</f>
        <v>3337.2031700799653</v>
      </c>
      <c r="Y181" s="13">
        <f ca="1">SUMPRODUCT(dFactor,tpSurvPan,INDEX(elecPan,stdCSL+1,6)*allOnes,OFFSET(tPrcElec,0,20,1,_maxLT))</f>
        <v>3358.2656658492265</v>
      </c>
      <c r="Z181" s="13">
        <f ca="1">SUMPRODUCT(dFactor,tpSurvPan,INDEX(elecPan,stdCSL+1,6)*allOnes,OFFSET(tPrcElec,0,21,1,_maxLT))</f>
        <v>3379.4639654061211</v>
      </c>
      <c r="AA181" s="13">
        <f ca="1">SUMPRODUCT(dFactor,tpSurvPan,INDEX(elecPan,stdCSL+1,6)*allOnes,OFFSET(tPrcElec,0,22,1,_maxLT))</f>
        <v>3400.798965256844</v>
      </c>
      <c r="AB181" s="13">
        <f ca="1">SUMPRODUCT(dFactor,tpSurvPan,INDEX(elecPan,stdCSL+1,6)*allOnes,OFFSET(tPrcElec,0,23,1,_maxLT))</f>
        <v>3422.2715679747389</v>
      </c>
      <c r="AC181" s="13">
        <f ca="1">SUMPRODUCT(dFactor,tpSurvPan,INDEX(elecPan,stdCSL+1,6)*allOnes,OFFSET(tPrcElec,0,24,1,_maxLT))</f>
        <v>3443.8826822423571</v>
      </c>
      <c r="AD181" s="13">
        <f ca="1">SUMPRODUCT(dFactor,tpSurvPan,INDEX(elecPan,stdCSL+1,6)*allOnes,OFFSET(tPrcElec,0,25,1,_maxLT))</f>
        <v>3465.6332228938859</v>
      </c>
      <c r="AE181" s="13">
        <f ca="1">SUMPRODUCT(dFactor,tpSurvPan,INDEX(elecPan,stdCSL+1,6)*allOnes,OFFSET(tPrcElec,0,26,1,_maxLT))</f>
        <v>3487.5241109578205</v>
      </c>
      <c r="AF181" s="13">
        <f ca="1">SUMPRODUCT(dFactor,tpSurvPan,INDEX(elecPan,stdCSL+1,6)*allOnes,OFFSET(tPrcElec,0,27,1,_maxLT))</f>
        <v>3509.5562736999818</v>
      </c>
      <c r="AG181" s="13">
        <f ca="1">SUMPRODUCT(dFactor,tpSurvPan,INDEX(elecPan,stdCSL+1,6)*allOnes,OFFSET(tPrcElec,0,28,1,_maxLT))</f>
        <v>3531.7306446668035</v>
      </c>
      <c r="AH181" s="13">
        <f ca="1">SUMPRODUCT(dFactor,tpSurvPan,INDEX(elecPan,stdCSL+1,6)*allOnes,OFFSET(tPrcElec,0,29,1,_maxLT))</f>
        <v>3554.0481637289572</v>
      </c>
      <c r="AI181" s="13">
        <f ca="1">SUMPRODUCT(dFactor,tpSurvPan,INDEX(elecPan,stdCSL+1,6)*allOnes,OFFSET(tPrcElec,0,30,1,_maxLT))</f>
        <v>3576.5097771252754</v>
      </c>
      <c r="AJ181" s="13">
        <f ca="1">SUMPRODUCT(dFactor,tpSurvPan,INDEX(elecPan,stdCSL+1,6)*allOnes,OFFSET(tPrcElec,0,31,1,_maxLT))</f>
        <v>3599.1164375069811</v>
      </c>
      <c r="AK181" s="13">
        <f ca="1">SUMPRODUCT(dFactor,tpSurvPan,INDEX(elecPan,stdCSL+1,6)*allOnes,OFFSET(tPrcElec,0,32,1,_maxLT))</f>
        <v>3621.869103982242</v>
      </c>
      <c r="AL181" s="56">
        <f ca="1">SUMPRODUCT(dFactor,tpSurvPan,INDEX(elecPan,stdCSL+1,6)*allOnes,OFFSET(tPrcElec,0,33,1,_maxLT))</f>
        <v>3644.7687421610326</v>
      </c>
      <c r="AM181" s="10"/>
    </row>
    <row r="182" spans="2:39" ht="15">
      <c r="B182" s="10"/>
      <c r="C182" s="16" t="s">
        <v>79</v>
      </c>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5"/>
      <c r="AM182" s="10"/>
    </row>
    <row r="183" spans="2:39" ht="15">
      <c r="B183" s="10"/>
      <c r="C183" s="28" t="str">
        <f>INDEX(_fuel,1)</f>
        <v>Electricity</v>
      </c>
      <c r="D183" s="12" t="s">
        <v>83</v>
      </c>
      <c r="E183" s="39">
        <f ca="1">SUMPRODUCT(OFFSET(tConvElecPan,0,0,1,_maxLT),INDEX(elecPan,stdCSL+1,6)*allOnes,tpSurvPan)</f>
        <v>549.01349536668602</v>
      </c>
      <c r="F183" s="39">
        <f ca="1">SUMPRODUCT(OFFSET(tConvElecPan,0,1,1,_maxLT),INDEX(elecPan,stdCSL+1,6)*allOnes,tpSurvPan)</f>
        <v>544.59387007327484</v>
      </c>
      <c r="G183" s="39">
        <f ca="1">SUMPRODUCT(OFFSET(tConvElecPan,0,2,1,_maxLT),INDEX(elecPan,stdCSL+1,6)*allOnes,tpSurvPan)</f>
        <v>540.68576654163166</v>
      </c>
      <c r="H183" s="39">
        <f ca="1">SUMPRODUCT(OFFSET(tConvElecPan,0,3,1,_maxLT),INDEX(elecPan,stdCSL+1,6)*allOnes,tpSurvPan)</f>
        <v>536.96235934077561</v>
      </c>
      <c r="I183" s="39">
        <f ca="1">SUMPRODUCT(OFFSET(tConvElecPan,0,4,1,_maxLT),INDEX(elecPan,stdCSL+1,6)*allOnes,tpSurvPan)</f>
        <v>533.69583926807877</v>
      </c>
      <c r="J183" s="39">
        <f ca="1">SUMPRODUCT(OFFSET(tConvElecPan,0,5,1,_maxLT),INDEX(elecPan,stdCSL+1,6)*allOnes,tpSurvPan)</f>
        <v>531.1466182984891</v>
      </c>
      <c r="K183" s="39">
        <f ca="1">SUMPRODUCT(OFFSET(tConvElecPan,0,6,1,_maxLT),INDEX(elecPan,stdCSL+1,6)*allOnes,tpSurvPan)</f>
        <v>529.02200823266321</v>
      </c>
      <c r="L183" s="39">
        <f ca="1">SUMPRODUCT(OFFSET(tConvElecPan,0,7,1,_maxLT),INDEX(elecPan,stdCSL+1,6)*allOnes,tpSurvPan)</f>
        <v>526.8806854556467</v>
      </c>
      <c r="M183" s="39">
        <f ca="1">SUMPRODUCT(OFFSET(tConvElecPan,0,8,1,_maxLT),INDEX(elecPan,stdCSL+1,6)*allOnes,tpSurvPan)</f>
        <v>525.15337150987784</v>
      </c>
      <c r="N183" s="39">
        <f ca="1">SUMPRODUCT(OFFSET(tConvElecPan,0,9,1,_maxLT),INDEX(elecPan,stdCSL+1,6)*allOnes,tpSurvPan)</f>
        <v>523.94514964044822</v>
      </c>
      <c r="O183" s="39">
        <f ca="1">SUMPRODUCT(OFFSET(tConvElecPan,0,10,1,_maxLT),INDEX(elecPan,stdCSL+1,6)*allOnes,tpSurvPan)</f>
        <v>523.04916020345422</v>
      </c>
      <c r="P183" s="39">
        <f ca="1">SUMPRODUCT(OFFSET(tConvElecPan,0,11,1,_maxLT),INDEX(elecPan,stdCSL+1,6)*allOnes,tpSurvPan)</f>
        <v>522.28703175465182</v>
      </c>
      <c r="Q183" s="39">
        <f ca="1">SUMPRODUCT(OFFSET(tConvElecPan,0,12,1,_maxLT),INDEX(elecPan,stdCSL+1,6)*allOnes,tpSurvPan)</f>
        <v>521.71664256089025</v>
      </c>
      <c r="R183" s="39">
        <f ca="1">SUMPRODUCT(OFFSET(tConvElecPan,0,13,1,_maxLT),INDEX(elecPan,stdCSL+1,6)*allOnes,tpSurvPan)</f>
        <v>521.27497811701016</v>
      </c>
      <c r="S183" s="39">
        <f ca="1">SUMPRODUCT(OFFSET(tConvElecPan,0,14,1,_maxLT),INDEX(elecPan,stdCSL+1,6)*allOnes,tpSurvPan)</f>
        <v>521.19080165063019</v>
      </c>
      <c r="T183" s="39">
        <f ca="1">SUMPRODUCT(OFFSET(tConvElecPan,0,15,1,_maxLT),INDEX(elecPan,stdCSL+1,6)*allOnes,tpSurvPan)</f>
        <v>521.26605163842748</v>
      </c>
      <c r="U183" s="39">
        <f ca="1">SUMPRODUCT(OFFSET(tConvElecPan,0,16,1,_maxLT),INDEX(elecPan,stdCSL+1,6)*allOnes,tpSurvPan)</f>
        <v>521.39309578725465</v>
      </c>
      <c r="V183" s="39">
        <f ca="1">SUMPRODUCT(OFFSET(tConvElecPan,0,17,1,_maxLT),INDEX(elecPan,stdCSL+1,6)*allOnes,tpSurvPan)</f>
        <v>521.58771560211267</v>
      </c>
      <c r="W183" s="39">
        <f ca="1">SUMPRODUCT(OFFSET(tConvElecPan,0,18,1,_maxLT),INDEX(elecPan,stdCSL+1,6)*allOnes,tpSurvPan)</f>
        <v>521.77526299371596</v>
      </c>
      <c r="X183" s="39">
        <f ca="1">SUMPRODUCT(OFFSET(tConvElecPan,0,19,1,_maxLT),INDEX(elecPan,stdCSL+1,6)*allOnes,tpSurvPan)</f>
        <v>521.93103133104808</v>
      </c>
      <c r="Y183" s="39">
        <f ca="1">SUMPRODUCT(OFFSET(tConvElecPan,0,20,1,_maxLT),INDEX(elecPan,stdCSL+1,6)*allOnes,tpSurvPan)</f>
        <v>522.035221704734</v>
      </c>
      <c r="Z183" s="39">
        <f ca="1">SUMPRODUCT(OFFSET(tConvElecPan,0,21,1,_maxLT),INDEX(elecPan,stdCSL+1,6)*allOnes,tpSurvPan)</f>
        <v>522.10683876224698</v>
      </c>
      <c r="AA183" s="39">
        <f ca="1">SUMPRODUCT(OFFSET(tConvElecPan,0,22,1,_maxLT),INDEX(elecPan,stdCSL+1,6)*allOnes,tpSurvPan)</f>
        <v>522.10683876224698</v>
      </c>
      <c r="AB183" s="39">
        <f ca="1">SUMPRODUCT(OFFSET(tConvElecPan,0,23,1,_maxLT),INDEX(elecPan,stdCSL+1,6)*allOnes,tpSurvPan)</f>
        <v>522.10683876224698</v>
      </c>
      <c r="AC183" s="39">
        <f ca="1">SUMPRODUCT(OFFSET(tConvElecPan,0,24,1,_maxLT),INDEX(elecPan,stdCSL+1,6)*allOnes,tpSurvPan)</f>
        <v>522.10683876224698</v>
      </c>
      <c r="AD183" s="39">
        <f ca="1">SUMPRODUCT(OFFSET(tConvElecPan,0,25,1,_maxLT),INDEX(elecPan,stdCSL+1,6)*allOnes,tpSurvPan)</f>
        <v>522.10683876224698</v>
      </c>
      <c r="AE183" s="39">
        <f ca="1">SUMPRODUCT(OFFSET(tConvElecPan,0,26,1,_maxLT),INDEX(elecPan,stdCSL+1,6)*allOnes,tpSurvPan)</f>
        <v>522.10683876224698</v>
      </c>
      <c r="AF183" s="39">
        <f ca="1">SUMPRODUCT(OFFSET(tConvElecPan,0,27,1,_maxLT),INDEX(elecPan,stdCSL+1,6)*allOnes,tpSurvPan)</f>
        <v>522.10683876224698</v>
      </c>
      <c r="AG183" s="39">
        <f ca="1">SUMPRODUCT(OFFSET(tConvElecPan,0,28,1,_maxLT),INDEX(elecPan,stdCSL+1,6)*allOnes,tpSurvPan)</f>
        <v>522.10683876224698</v>
      </c>
      <c r="AH183" s="39">
        <f ca="1">SUMPRODUCT(OFFSET(tConvElecPan,0,29,1,_maxLT),INDEX(elecPan,stdCSL+1,6)*allOnes,tpSurvPan)</f>
        <v>522.10683876224698</v>
      </c>
      <c r="AI183" s="39">
        <f ca="1">SUMPRODUCT(OFFSET(tConvElecPan,0,30,1,_maxLT),INDEX(elecPan,stdCSL+1,6)*allOnes,tpSurvPan)</f>
        <v>522.10683876224698</v>
      </c>
      <c r="AJ183" s="39">
        <f ca="1">SUMPRODUCT(OFFSET(tConvElecPan,0,31,1,_maxLT),INDEX(elecPan,stdCSL+1,6)*allOnes,tpSurvPan)</f>
        <v>522.10683876224698</v>
      </c>
      <c r="AK183" s="39">
        <f ca="1">SUMPRODUCT(OFFSET(tConvElecPan,0,32,1,_maxLT),INDEX(elecPan,stdCSL+1,6)*allOnes,tpSurvPan)</f>
        <v>522.10683876224698</v>
      </c>
      <c r="AL183" s="40">
        <f ca="1">SUMPRODUCT(OFFSET(tConvElecPan,0,33,1,_maxLT),INDEX(elecPan,stdCSL+1,6)*allOnes,tpSurvPan)</f>
        <v>522.10683876224698</v>
      </c>
      <c r="AM183" s="10"/>
    </row>
    <row r="184" spans="2:39" ht="15">
      <c r="B184" s="10"/>
      <c r="C184" s="57" t="str">
        <f>"EL 6: " &amp; INDEX(_doName,2,7)</f>
        <v>EL 6: EL 6</v>
      </c>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3"/>
      <c r="AM184" s="10"/>
    </row>
    <row r="185" spans="2:39" ht="15">
      <c r="B185" s="10"/>
      <c r="C185" s="16" t="s">
        <v>69</v>
      </c>
      <c r="D185" s="12" t="str">
        <f>_yearDol &amp; "$"</f>
        <v>2015$</v>
      </c>
      <c r="E185" s="13">
        <f t="array" aca="1" ref="E185:AL185" ca="1">INDEX(mspPan,stdCSL+1,7)*tPIdxAll + INDEX(instPan,stdCSL+1,7) + IF(bESav,SUMPRODUCT(dFactor,tpSurvPan,INDEX(mrPan,stdCSL+1,7)*allOnes),0)</f>
        <v>1854.510309</v>
      </c>
      <c r="F185" s="13">
        <f ca="1"/>
        <v>1854.510309</v>
      </c>
      <c r="G185" s="13">
        <f ca="1"/>
        <v>1854.510309</v>
      </c>
      <c r="H185" s="13">
        <f ca="1"/>
        <v>1854.510309</v>
      </c>
      <c r="I185" s="13">
        <f ca="1"/>
        <v>1854.510309</v>
      </c>
      <c r="J185" s="13">
        <f ca="1"/>
        <v>1854.510309</v>
      </c>
      <c r="K185" s="13">
        <f ca="1"/>
        <v>1854.510309</v>
      </c>
      <c r="L185" s="13">
        <f ca="1"/>
        <v>1854.510309</v>
      </c>
      <c r="M185" s="13">
        <f ca="1"/>
        <v>1854.510309</v>
      </c>
      <c r="N185" s="13">
        <f ca="1"/>
        <v>1854.510309</v>
      </c>
      <c r="O185" s="13">
        <f ca="1"/>
        <v>1854.510309</v>
      </c>
      <c r="P185" s="13">
        <f ca="1"/>
        <v>1854.510309</v>
      </c>
      <c r="Q185" s="13">
        <f ca="1"/>
        <v>1854.510309</v>
      </c>
      <c r="R185" s="13">
        <f ca="1"/>
        <v>1854.510309</v>
      </c>
      <c r="S185" s="13">
        <f ca="1"/>
        <v>1854.510309</v>
      </c>
      <c r="T185" s="13">
        <f ca="1"/>
        <v>1854.510309</v>
      </c>
      <c r="U185" s="13">
        <f ca="1"/>
        <v>1854.510309</v>
      </c>
      <c r="V185" s="13">
        <f ca="1"/>
        <v>1854.510309</v>
      </c>
      <c r="W185" s="13">
        <f ca="1"/>
        <v>1854.510309</v>
      </c>
      <c r="X185" s="13">
        <f ca="1"/>
        <v>1854.510309</v>
      </c>
      <c r="Y185" s="13">
        <f ca="1"/>
        <v>1854.510309</v>
      </c>
      <c r="Z185" s="13">
        <f ca="1"/>
        <v>1854.510309</v>
      </c>
      <c r="AA185" s="13">
        <f ca="1"/>
        <v>1854.510309</v>
      </c>
      <c r="AB185" s="13">
        <f ca="1"/>
        <v>1854.510309</v>
      </c>
      <c r="AC185" s="13">
        <f ca="1"/>
        <v>1854.510309</v>
      </c>
      <c r="AD185" s="13">
        <f ca="1"/>
        <v>1854.510309</v>
      </c>
      <c r="AE185" s="13">
        <f ca="1"/>
        <v>1854.510309</v>
      </c>
      <c r="AF185" s="13">
        <f ca="1"/>
        <v>1854.510309</v>
      </c>
      <c r="AG185" s="13">
        <f ca="1"/>
        <v>1854.510309</v>
      </c>
      <c r="AH185" s="13">
        <f ca="1"/>
        <v>1854.510309</v>
      </c>
      <c r="AI185" s="13">
        <f ca="1"/>
        <v>1854.510309</v>
      </c>
      <c r="AJ185" s="13">
        <f ca="1"/>
        <v>1854.510309</v>
      </c>
      <c r="AK185" s="13">
        <f ca="1"/>
        <v>1854.510309</v>
      </c>
      <c r="AL185" s="56">
        <f ca="1"/>
        <v>1854.510309</v>
      </c>
      <c r="AM185" s="10"/>
    </row>
    <row r="186" spans="2:39" ht="15">
      <c r="B186" s="10"/>
      <c r="C186" s="16" t="str">
        <f>zEO&amp;" Costs"</f>
        <v>Operating Costs</v>
      </c>
      <c r="D186" s="12" t="str">
        <f>_yearDol &amp; "$"</f>
        <v>2015$</v>
      </c>
      <c r="E186" s="13">
        <f t="array" aca="1" ref="E186:AL186" ca="1">(tlccEFuElecpol6) + IF(bOSav,SUMPRODUCT(dFactor,tpSurvPan,INDEX(mrPan,stdCSL+1,7)*allOnes),0)</f>
        <v>2814.129139107326</v>
      </c>
      <c r="F186" s="13">
        <f ca="1"/>
        <v>2837.3278555502538</v>
      </c>
      <c r="G186" s="13">
        <f ca="1"/>
        <v>2859.7852240973948</v>
      </c>
      <c r="H186" s="13">
        <f ca="1"/>
        <v>2879.9145582448973</v>
      </c>
      <c r="I186" s="13">
        <f ca="1"/>
        <v>2898.0519083316631</v>
      </c>
      <c r="J186" s="13">
        <f ca="1"/>
        <v>2916.3059179150669</v>
      </c>
      <c r="K186" s="13">
        <f ca="1"/>
        <v>2934.6773550971811</v>
      </c>
      <c r="L186" s="13">
        <f ca="1"/>
        <v>2953.1669931641454</v>
      </c>
      <c r="M186" s="13">
        <f ca="1"/>
        <v>2971.7756106220363</v>
      </c>
      <c r="N186" s="13">
        <f ca="1"/>
        <v>2990.503991233003</v>
      </c>
      <c r="O186" s="13">
        <f ca="1"/>
        <v>3009.3529240516514</v>
      </c>
      <c r="P186" s="13">
        <f ca="1"/>
        <v>3028.3232034616713</v>
      </c>
      <c r="Q186" s="13">
        <f ca="1"/>
        <v>3047.4156292127591</v>
      </c>
      <c r="R186" s="13">
        <f ca="1"/>
        <v>3066.6310064577683</v>
      </c>
      <c r="S186" s="13">
        <f ca="1"/>
        <v>3085.9701457901233</v>
      </c>
      <c r="T186" s="13">
        <f ca="1"/>
        <v>3105.4338632815411</v>
      </c>
      <c r="U186" s="13">
        <f ca="1"/>
        <v>3125.0229805199683</v>
      </c>
      <c r="V186" s="13">
        <f ca="1"/>
        <v>3144.7383246478194</v>
      </c>
      <c r="W186" s="13">
        <f ca="1"/>
        <v>3164.5807284004668</v>
      </c>
      <c r="X186" s="13">
        <f ca="1"/>
        <v>3184.5510301450277</v>
      </c>
      <c r="Y186" s="13">
        <f ca="1"/>
        <v>3204.6500739194048</v>
      </c>
      <c r="Z186" s="13">
        <f ca="1"/>
        <v>3224.8787094716131</v>
      </c>
      <c r="AA186" s="13">
        <f ca="1"/>
        <v>3245.2377922993887</v>
      </c>
      <c r="AB186" s="13">
        <f ca="1"/>
        <v>3265.7281836900693</v>
      </c>
      <c r="AC186" s="13">
        <f ca="1"/>
        <v>3286.3507507607696</v>
      </c>
      <c r="AD186" s="13">
        <f ca="1"/>
        <v>3307.106366498836</v>
      </c>
      <c r="AE186" s="13">
        <f ca="1"/>
        <v>3327.9959098025879</v>
      </c>
      <c r="AF186" s="13">
        <f ca="1"/>
        <v>3349.0202655223452</v>
      </c>
      <c r="AG186" s="13">
        <f ca="1"/>
        <v>3370.1803245017686</v>
      </c>
      <c r="AH186" s="13">
        <f ca="1"/>
        <v>3391.4769836194573</v>
      </c>
      <c r="AI186" s="13">
        <f ca="1"/>
        <v>3412.9111458308794</v>
      </c>
      <c r="AJ186" s="13">
        <f ca="1"/>
        <v>3434.4837202105732</v>
      </c>
      <c r="AK186" s="13">
        <f ca="1"/>
        <v>3456.1956219946651</v>
      </c>
      <c r="AL186" s="56">
        <f ca="1"/>
        <v>3478.0477726236822</v>
      </c>
      <c r="AM186" s="10"/>
    </row>
    <row r="187" spans="2:39" ht="15">
      <c r="B187" s="10"/>
      <c r="C187" s="28" t="str">
        <f>INDEX(_fuel,1)</f>
        <v>Electricity</v>
      </c>
      <c r="D187" s="12" t="str">
        <f>_yearDol &amp; "$"</f>
        <v>2015$</v>
      </c>
      <c r="E187" s="13">
        <f ca="1">SUMPRODUCT(dFactor,tpSurvPan,INDEX(elecPan,stdCSL+1,7)*allOnes,OFFSET(tPrcElec,0,0,1,_maxLT))</f>
        <v>2814.129139107326</v>
      </c>
      <c r="F187" s="13">
        <f ca="1">SUMPRODUCT(dFactor,tpSurvPan,INDEX(elecPan,stdCSL+1,7)*allOnes,OFFSET(tPrcElec,0,1,1,_maxLT))</f>
        <v>2837.3278555502538</v>
      </c>
      <c r="G187" s="13">
        <f ca="1">SUMPRODUCT(dFactor,tpSurvPan,INDEX(elecPan,stdCSL+1,7)*allOnes,OFFSET(tPrcElec,0,2,1,_maxLT))</f>
        <v>2859.7852240973948</v>
      </c>
      <c r="H187" s="13">
        <f ca="1">SUMPRODUCT(dFactor,tpSurvPan,INDEX(elecPan,stdCSL+1,7)*allOnes,OFFSET(tPrcElec,0,3,1,_maxLT))</f>
        <v>2879.9145582448973</v>
      </c>
      <c r="I187" s="13">
        <f ca="1">SUMPRODUCT(dFactor,tpSurvPan,INDEX(elecPan,stdCSL+1,7)*allOnes,OFFSET(tPrcElec,0,4,1,_maxLT))</f>
        <v>2898.0519083316631</v>
      </c>
      <c r="J187" s="13">
        <f ca="1">SUMPRODUCT(dFactor,tpSurvPan,INDEX(elecPan,stdCSL+1,7)*allOnes,OFFSET(tPrcElec,0,5,1,_maxLT))</f>
        <v>2916.3059179150669</v>
      </c>
      <c r="K187" s="13">
        <f ca="1">SUMPRODUCT(dFactor,tpSurvPan,INDEX(elecPan,stdCSL+1,7)*allOnes,OFFSET(tPrcElec,0,6,1,_maxLT))</f>
        <v>2934.6773550971811</v>
      </c>
      <c r="L187" s="13">
        <f ca="1">SUMPRODUCT(dFactor,tpSurvPan,INDEX(elecPan,stdCSL+1,7)*allOnes,OFFSET(tPrcElec,0,7,1,_maxLT))</f>
        <v>2953.1669931641454</v>
      </c>
      <c r="M187" s="13">
        <f ca="1">SUMPRODUCT(dFactor,tpSurvPan,INDEX(elecPan,stdCSL+1,7)*allOnes,OFFSET(tPrcElec,0,8,1,_maxLT))</f>
        <v>2971.7756106220363</v>
      </c>
      <c r="N187" s="13">
        <f ca="1">SUMPRODUCT(dFactor,tpSurvPan,INDEX(elecPan,stdCSL+1,7)*allOnes,OFFSET(tPrcElec,0,9,1,_maxLT))</f>
        <v>2990.503991233003</v>
      </c>
      <c r="O187" s="13">
        <f ca="1">SUMPRODUCT(dFactor,tpSurvPan,INDEX(elecPan,stdCSL+1,7)*allOnes,OFFSET(tPrcElec,0,10,1,_maxLT))</f>
        <v>3009.3529240516514</v>
      </c>
      <c r="P187" s="13">
        <f ca="1">SUMPRODUCT(dFactor,tpSurvPan,INDEX(elecPan,stdCSL+1,7)*allOnes,OFFSET(tPrcElec,0,11,1,_maxLT))</f>
        <v>3028.3232034616713</v>
      </c>
      <c r="Q187" s="13">
        <f ca="1">SUMPRODUCT(dFactor,tpSurvPan,INDEX(elecPan,stdCSL+1,7)*allOnes,OFFSET(tPrcElec,0,12,1,_maxLT))</f>
        <v>3047.4156292127591</v>
      </c>
      <c r="R187" s="13">
        <f ca="1">SUMPRODUCT(dFactor,tpSurvPan,INDEX(elecPan,stdCSL+1,7)*allOnes,OFFSET(tPrcElec,0,13,1,_maxLT))</f>
        <v>3066.6310064577683</v>
      </c>
      <c r="S187" s="13">
        <f ca="1">SUMPRODUCT(dFactor,tpSurvPan,INDEX(elecPan,stdCSL+1,7)*allOnes,OFFSET(tPrcElec,0,14,1,_maxLT))</f>
        <v>3085.9701457901233</v>
      </c>
      <c r="T187" s="13">
        <f ca="1">SUMPRODUCT(dFactor,tpSurvPan,INDEX(elecPan,stdCSL+1,7)*allOnes,OFFSET(tPrcElec,0,15,1,_maxLT))</f>
        <v>3105.4338632815411</v>
      </c>
      <c r="U187" s="13">
        <f ca="1">SUMPRODUCT(dFactor,tpSurvPan,INDEX(elecPan,stdCSL+1,7)*allOnes,OFFSET(tPrcElec,0,16,1,_maxLT))</f>
        <v>3125.0229805199683</v>
      </c>
      <c r="V187" s="13">
        <f ca="1">SUMPRODUCT(dFactor,tpSurvPan,INDEX(elecPan,stdCSL+1,7)*allOnes,OFFSET(tPrcElec,0,17,1,_maxLT))</f>
        <v>3144.7383246478194</v>
      </c>
      <c r="W187" s="13">
        <f ca="1">SUMPRODUCT(dFactor,tpSurvPan,INDEX(elecPan,stdCSL+1,7)*allOnes,OFFSET(tPrcElec,0,18,1,_maxLT))</f>
        <v>3164.5807284004668</v>
      </c>
      <c r="X187" s="13">
        <f ca="1">SUMPRODUCT(dFactor,tpSurvPan,INDEX(elecPan,stdCSL+1,7)*allOnes,OFFSET(tPrcElec,0,19,1,_maxLT))</f>
        <v>3184.5510301450277</v>
      </c>
      <c r="Y187" s="13">
        <f ca="1">SUMPRODUCT(dFactor,tpSurvPan,INDEX(elecPan,stdCSL+1,7)*allOnes,OFFSET(tPrcElec,0,20,1,_maxLT))</f>
        <v>3204.6500739194048</v>
      </c>
      <c r="Z187" s="13">
        <f ca="1">SUMPRODUCT(dFactor,tpSurvPan,INDEX(elecPan,stdCSL+1,7)*allOnes,OFFSET(tPrcElec,0,21,1,_maxLT))</f>
        <v>3224.8787094716131</v>
      </c>
      <c r="AA187" s="13">
        <f ca="1">SUMPRODUCT(dFactor,tpSurvPan,INDEX(elecPan,stdCSL+1,7)*allOnes,OFFSET(tPrcElec,0,22,1,_maxLT))</f>
        <v>3245.2377922993887</v>
      </c>
      <c r="AB187" s="13">
        <f ca="1">SUMPRODUCT(dFactor,tpSurvPan,INDEX(elecPan,stdCSL+1,7)*allOnes,OFFSET(tPrcElec,0,23,1,_maxLT))</f>
        <v>3265.7281836900693</v>
      </c>
      <c r="AC187" s="13">
        <f ca="1">SUMPRODUCT(dFactor,tpSurvPan,INDEX(elecPan,stdCSL+1,7)*allOnes,OFFSET(tPrcElec,0,24,1,_maxLT))</f>
        <v>3286.3507507607696</v>
      </c>
      <c r="AD187" s="13">
        <f ca="1">SUMPRODUCT(dFactor,tpSurvPan,INDEX(elecPan,stdCSL+1,7)*allOnes,OFFSET(tPrcElec,0,25,1,_maxLT))</f>
        <v>3307.106366498836</v>
      </c>
      <c r="AE187" s="13">
        <f ca="1">SUMPRODUCT(dFactor,tpSurvPan,INDEX(elecPan,stdCSL+1,7)*allOnes,OFFSET(tPrcElec,0,26,1,_maxLT))</f>
        <v>3327.9959098025879</v>
      </c>
      <c r="AF187" s="13">
        <f ca="1">SUMPRODUCT(dFactor,tpSurvPan,INDEX(elecPan,stdCSL+1,7)*allOnes,OFFSET(tPrcElec,0,27,1,_maxLT))</f>
        <v>3349.0202655223452</v>
      </c>
      <c r="AG187" s="13">
        <f ca="1">SUMPRODUCT(dFactor,tpSurvPan,INDEX(elecPan,stdCSL+1,7)*allOnes,OFFSET(tPrcElec,0,28,1,_maxLT))</f>
        <v>3370.1803245017686</v>
      </c>
      <c r="AH187" s="13">
        <f ca="1">SUMPRODUCT(dFactor,tpSurvPan,INDEX(elecPan,stdCSL+1,7)*allOnes,OFFSET(tPrcElec,0,29,1,_maxLT))</f>
        <v>3391.4769836194573</v>
      </c>
      <c r="AI187" s="13">
        <f ca="1">SUMPRODUCT(dFactor,tpSurvPan,INDEX(elecPan,stdCSL+1,7)*allOnes,OFFSET(tPrcElec,0,30,1,_maxLT))</f>
        <v>3412.9111458308794</v>
      </c>
      <c r="AJ187" s="13">
        <f ca="1">SUMPRODUCT(dFactor,tpSurvPan,INDEX(elecPan,stdCSL+1,7)*allOnes,OFFSET(tPrcElec,0,31,1,_maxLT))</f>
        <v>3434.4837202105732</v>
      </c>
      <c r="AK187" s="13">
        <f ca="1">SUMPRODUCT(dFactor,tpSurvPan,INDEX(elecPan,stdCSL+1,7)*allOnes,OFFSET(tPrcElec,0,32,1,_maxLT))</f>
        <v>3456.1956219946651</v>
      </c>
      <c r="AL187" s="56">
        <f ca="1">SUMPRODUCT(dFactor,tpSurvPan,INDEX(elecPan,stdCSL+1,7)*allOnes,OFFSET(tPrcElec,0,33,1,_maxLT))</f>
        <v>3478.0477726236822</v>
      </c>
      <c r="AM187" s="10"/>
    </row>
    <row r="188" spans="2:39" ht="15">
      <c r="B188" s="10"/>
      <c r="C188" s="16" t="s">
        <v>79</v>
      </c>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5"/>
      <c r="AM188" s="10"/>
    </row>
    <row r="189" spans="2:39" ht="15">
      <c r="B189" s="10"/>
      <c r="C189" s="45" t="str">
        <f>INDEX(_fuel,1)</f>
        <v>Electricity</v>
      </c>
      <c r="D189" s="18" t="s">
        <v>83</v>
      </c>
      <c r="E189" s="49">
        <f ca="1">SUMPRODUCT(OFFSET(tConvElecPan,0,0,1,_maxLT),INDEX(elecPan,stdCSL+1,7)*allOnes,tpSurvPan)</f>
        <v>523.90022516717409</v>
      </c>
      <c r="F189" s="49">
        <f ca="1">SUMPRODUCT(OFFSET(tConvElecPan,0,1,1,_maxLT),INDEX(elecPan,stdCSL+1,7)*allOnes,tpSurvPan)</f>
        <v>519.68276474787024</v>
      </c>
      <c r="G189" s="49">
        <f ca="1">SUMPRODUCT(OFFSET(tConvElecPan,0,2,1,_maxLT),INDEX(elecPan,stdCSL+1,7)*allOnes,tpSurvPan)</f>
        <v>515.95342778715133</v>
      </c>
      <c r="H189" s="49">
        <f ca="1">SUMPRODUCT(OFFSET(tConvElecPan,0,3,1,_maxLT),INDEX(elecPan,stdCSL+1,7)*allOnes,tpSurvPan)</f>
        <v>512.40033867844977</v>
      </c>
      <c r="I189" s="49">
        <f ca="1">SUMPRODUCT(OFFSET(tConvElecPan,0,4,1,_maxLT),INDEX(elecPan,stdCSL+1,7)*allOnes,tpSurvPan)</f>
        <v>509.28323752148117</v>
      </c>
      <c r="J189" s="49">
        <f ca="1">SUMPRODUCT(OFFSET(tConvElecPan,0,5,1,_maxLT),INDEX(elecPan,stdCSL+1,7)*allOnes,tpSurvPan)</f>
        <v>506.8506243867584</v>
      </c>
      <c r="K189" s="49">
        <f ca="1">SUMPRODUCT(OFFSET(tConvElecPan,0,6,1,_maxLT),INDEX(elecPan,stdCSL+1,7)*allOnes,tpSurvPan)</f>
        <v>504.82319937576625</v>
      </c>
      <c r="L189" s="49">
        <f ca="1">SUMPRODUCT(OFFSET(tConvElecPan,0,7,1,_maxLT),INDEX(elecPan,stdCSL+1,7)*allOnes,tpSurvPan)</f>
        <v>502.77982613539587</v>
      </c>
      <c r="M189" s="49">
        <f ca="1">SUMPRODUCT(OFFSET(tConvElecPan,0,8,1,_maxLT),INDEX(elecPan,stdCSL+1,7)*allOnes,tpSurvPan)</f>
        <v>501.1315239119354</v>
      </c>
      <c r="N189" s="49">
        <f ca="1">SUMPRODUCT(OFFSET(tConvElecPan,0,9,1,_maxLT),INDEX(elecPan,stdCSL+1,7)*allOnes,tpSurvPan)</f>
        <v>499.97856917623568</v>
      </c>
      <c r="O189" s="49">
        <f ca="1">SUMPRODUCT(OFFSET(tConvElecPan,0,10,1,_maxLT),INDEX(elecPan,stdCSL+1,7)*allOnes,tpSurvPan)</f>
        <v>499.12356456933611</v>
      </c>
      <c r="P189" s="49">
        <f ca="1">SUMPRODUCT(OFFSET(tConvElecPan,0,11,1,_maxLT),INDEX(elecPan,stdCSL+1,7)*allOnes,tpSurvPan)</f>
        <v>498.39629780940493</v>
      </c>
      <c r="Q189" s="49">
        <f ca="1">SUMPRODUCT(OFFSET(tConvElecPan,0,12,1,_maxLT),INDEX(elecPan,stdCSL+1,7)*allOnes,tpSurvPan)</f>
        <v>497.85199966452046</v>
      </c>
      <c r="R189" s="49">
        <f ca="1">SUMPRODUCT(OFFSET(tConvElecPan,0,13,1,_maxLT),INDEX(elecPan,stdCSL+1,7)*allOnes,tpSurvPan)</f>
        <v>497.43053807286589</v>
      </c>
      <c r="S189" s="49">
        <f ca="1">SUMPRODUCT(OFFSET(tConvElecPan,0,14,1,_maxLT),INDEX(elecPan,stdCSL+1,7)*allOnes,tpSurvPan)</f>
        <v>497.35021205162519</v>
      </c>
      <c r="T189" s="49">
        <f ca="1">SUMPRODUCT(OFFSET(tConvElecPan,0,15,1,_maxLT),INDEX(elecPan,stdCSL+1,7)*allOnes,tpSurvPan)</f>
        <v>497.42201991406125</v>
      </c>
      <c r="U189" s="49">
        <f ca="1">SUMPRODUCT(OFFSET(tConvElecPan,0,16,1,_maxLT),INDEX(elecPan,stdCSL+1,7)*allOnes,tpSurvPan)</f>
        <v>497.54325274119282</v>
      </c>
      <c r="V189" s="49">
        <f ca="1">SUMPRODUCT(OFFSET(tConvElecPan,0,17,1,_maxLT),INDEX(elecPan,stdCSL+1,7)*allOnes,tpSurvPan)</f>
        <v>497.72897015194252</v>
      </c>
      <c r="W189" s="49">
        <f ca="1">SUMPRODUCT(OFFSET(tConvElecPan,0,18,1,_maxLT),INDEX(elecPan,stdCSL+1,7)*allOnes,tpSurvPan)</f>
        <v>497.9079386500207</v>
      </c>
      <c r="X189" s="49">
        <f ca="1">SUMPRODUCT(OFFSET(tConvElecPan,0,19,1,_maxLT),INDEX(elecPan,stdCSL+1,7)*allOnes,tpSurvPan)</f>
        <v>498.05658174839795</v>
      </c>
      <c r="Y189" s="49">
        <f ca="1">SUMPRODUCT(OFFSET(tConvElecPan,0,20,1,_maxLT),INDEX(elecPan,stdCSL+1,7)*allOnes,tpSurvPan)</f>
        <v>498.15600619004647</v>
      </c>
      <c r="Z189" s="49">
        <f ca="1">SUMPRODUCT(OFFSET(tConvElecPan,0,21,1,_maxLT),INDEX(elecPan,stdCSL+1,7)*allOnes,tpSurvPan)</f>
        <v>498.22434730164662</v>
      </c>
      <c r="AA189" s="49">
        <f ca="1">SUMPRODUCT(OFFSET(tConvElecPan,0,22,1,_maxLT),INDEX(elecPan,stdCSL+1,7)*allOnes,tpSurvPan)</f>
        <v>498.22434730164662</v>
      </c>
      <c r="AB189" s="49">
        <f ca="1">SUMPRODUCT(OFFSET(tConvElecPan,0,23,1,_maxLT),INDEX(elecPan,stdCSL+1,7)*allOnes,tpSurvPan)</f>
        <v>498.22434730164662</v>
      </c>
      <c r="AC189" s="49">
        <f ca="1">SUMPRODUCT(OFFSET(tConvElecPan,0,24,1,_maxLT),INDEX(elecPan,stdCSL+1,7)*allOnes,tpSurvPan)</f>
        <v>498.22434730164662</v>
      </c>
      <c r="AD189" s="49">
        <f ca="1">SUMPRODUCT(OFFSET(tConvElecPan,0,25,1,_maxLT),INDEX(elecPan,stdCSL+1,7)*allOnes,tpSurvPan)</f>
        <v>498.22434730164662</v>
      </c>
      <c r="AE189" s="49">
        <f ca="1">SUMPRODUCT(OFFSET(tConvElecPan,0,26,1,_maxLT),INDEX(elecPan,stdCSL+1,7)*allOnes,tpSurvPan)</f>
        <v>498.22434730164662</v>
      </c>
      <c r="AF189" s="49">
        <f ca="1">SUMPRODUCT(OFFSET(tConvElecPan,0,27,1,_maxLT),INDEX(elecPan,stdCSL+1,7)*allOnes,tpSurvPan)</f>
        <v>498.22434730164662</v>
      </c>
      <c r="AG189" s="49">
        <f ca="1">SUMPRODUCT(OFFSET(tConvElecPan,0,28,1,_maxLT),INDEX(elecPan,stdCSL+1,7)*allOnes,tpSurvPan)</f>
        <v>498.22434730164662</v>
      </c>
      <c r="AH189" s="49">
        <f ca="1">SUMPRODUCT(OFFSET(tConvElecPan,0,29,1,_maxLT),INDEX(elecPan,stdCSL+1,7)*allOnes,tpSurvPan)</f>
        <v>498.22434730164662</v>
      </c>
      <c r="AI189" s="49">
        <f ca="1">SUMPRODUCT(OFFSET(tConvElecPan,0,30,1,_maxLT),INDEX(elecPan,stdCSL+1,7)*allOnes,tpSurvPan)</f>
        <v>498.22434730164662</v>
      </c>
      <c r="AJ189" s="49">
        <f ca="1">SUMPRODUCT(OFFSET(tConvElecPan,0,31,1,_maxLT),INDEX(elecPan,stdCSL+1,7)*allOnes,tpSurvPan)</f>
        <v>498.22434730164662</v>
      </c>
      <c r="AK189" s="49">
        <f ca="1">SUMPRODUCT(OFFSET(tConvElecPan,0,32,1,_maxLT),INDEX(elecPan,stdCSL+1,7)*allOnes,tpSurvPan)</f>
        <v>498.22434730164662</v>
      </c>
      <c r="AL189" s="50">
        <f ca="1">SUMPRODUCT(OFFSET(tConvElecPan,0,33,1,_maxLT),INDEX(elecPan,stdCSL+1,7)*allOnes,tpSurvPan)</f>
        <v>498.22434730164662</v>
      </c>
      <c r="AM189" s="10"/>
    </row>
    <row r="190" spans="2:39" ht="15">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row>
  </sheetData>
  <conditionalFormatting sqref="E106:AL106">
    <cfRule type="containsBlanks" dxfId="3136" priority="1" stopIfTrue="1">
      <formula>LEN(TRIM(E106))=0</formula>
    </cfRule>
    <cfRule type="notContainsBlanks" dxfId="3135" priority="2" stopIfTrue="1">
      <formula>LEN(TRIM(E106))&gt;0</formula>
    </cfRule>
  </conditionalFormatting>
  <conditionalFormatting sqref="E107:AL107">
    <cfRule type="containsBlanks" dxfId="3134" priority="3" stopIfTrue="1">
      <formula>LEN(TRIM(E107))=0</formula>
    </cfRule>
    <cfRule type="notContainsBlanks" dxfId="3133" priority="4" stopIfTrue="1">
      <formula>LEN(TRIM(E107))&gt;0</formula>
    </cfRule>
  </conditionalFormatting>
  <conditionalFormatting sqref="E108:AL108">
    <cfRule type="containsBlanks" dxfId="3132" priority="5" stopIfTrue="1">
      <formula>LEN(TRIM(E108))=0</formula>
    </cfRule>
    <cfRule type="notContainsBlanks" dxfId="3131" priority="6" stopIfTrue="1">
      <formula>LEN(TRIM(E108))&gt;0</formula>
    </cfRule>
  </conditionalFormatting>
  <conditionalFormatting sqref="E110:AL110">
    <cfRule type="containsBlanks" dxfId="3130" priority="7" stopIfTrue="1">
      <formula>LEN(TRIM(E110))=0</formula>
    </cfRule>
    <cfRule type="notContainsBlanks" dxfId="3129" priority="8" stopIfTrue="1">
      <formula>LEN(TRIM(E110))&gt;0</formula>
    </cfRule>
  </conditionalFormatting>
  <conditionalFormatting sqref="E112:AL112">
    <cfRule type="containsBlanks" dxfId="3128" priority="9" stopIfTrue="1">
      <formula>LEN(TRIM(E112))=0</formula>
    </cfRule>
    <cfRule type="notContainsBlanks" dxfId="3127" priority="10" stopIfTrue="1">
      <formula>LEN(TRIM(E112))&gt;0</formula>
    </cfRule>
  </conditionalFormatting>
  <conditionalFormatting sqref="E113:AL113">
    <cfRule type="containsBlanks" dxfId="3126" priority="11" stopIfTrue="1">
      <formula>LEN(TRIM(E113))=0</formula>
    </cfRule>
    <cfRule type="notContainsBlanks" dxfId="3125" priority="12" stopIfTrue="1">
      <formula>LEN(TRIM(E113))&gt;0</formula>
    </cfRule>
  </conditionalFormatting>
  <conditionalFormatting sqref="E114:AL114">
    <cfRule type="containsBlanks" dxfId="3124" priority="13" stopIfTrue="1">
      <formula>LEN(TRIM(E114))=0</formula>
    </cfRule>
    <cfRule type="notContainsBlanks" dxfId="3123" priority="14" stopIfTrue="1">
      <formula>LEN(TRIM(E114))&gt;0</formula>
    </cfRule>
  </conditionalFormatting>
  <conditionalFormatting sqref="E116:AL116">
    <cfRule type="containsBlanks" dxfId="3122" priority="15" stopIfTrue="1">
      <formula>LEN(TRIM(E116))=0</formula>
    </cfRule>
    <cfRule type="notContainsBlanks" dxfId="3121" priority="16" stopIfTrue="1">
      <formula>LEN(TRIM(E116))&gt;0</formula>
    </cfRule>
  </conditionalFormatting>
  <conditionalFormatting sqref="E118:AL118">
    <cfRule type="containsBlanks" dxfId="3120" priority="17" stopIfTrue="1">
      <formula>LEN(TRIM(E118))=0</formula>
    </cfRule>
    <cfRule type="notContainsBlanks" dxfId="3119" priority="18" stopIfTrue="1">
      <formula>LEN(TRIM(E118))&gt;0</formula>
    </cfRule>
  </conditionalFormatting>
  <conditionalFormatting sqref="E119:AL119">
    <cfRule type="containsBlanks" dxfId="3118" priority="19" stopIfTrue="1">
      <formula>LEN(TRIM(E119))=0</formula>
    </cfRule>
    <cfRule type="notContainsBlanks" dxfId="3117" priority="20" stopIfTrue="1">
      <formula>LEN(TRIM(E119))&gt;0</formula>
    </cfRule>
  </conditionalFormatting>
  <conditionalFormatting sqref="E120:AL120">
    <cfRule type="containsBlanks" dxfId="3116" priority="21" stopIfTrue="1">
      <formula>LEN(TRIM(E120))=0</formula>
    </cfRule>
    <cfRule type="notContainsBlanks" dxfId="3115" priority="22" stopIfTrue="1">
      <formula>LEN(TRIM(E120))&gt;0</formula>
    </cfRule>
  </conditionalFormatting>
  <conditionalFormatting sqref="E122:AL122">
    <cfRule type="containsBlanks" dxfId="3114" priority="23" stopIfTrue="1">
      <formula>LEN(TRIM(E122))=0</formula>
    </cfRule>
    <cfRule type="notContainsBlanks" dxfId="3113" priority="24" stopIfTrue="1">
      <formula>LEN(TRIM(E122))&gt;0</formula>
    </cfRule>
  </conditionalFormatting>
  <conditionalFormatting sqref="E124:AL124">
    <cfRule type="containsBlanks" dxfId="3112" priority="25" stopIfTrue="1">
      <formula>LEN(TRIM(E124))=0</formula>
    </cfRule>
    <cfRule type="notContainsBlanks" dxfId="3111" priority="26" stopIfTrue="1">
      <formula>LEN(TRIM(E124))&gt;0</formula>
    </cfRule>
  </conditionalFormatting>
  <conditionalFormatting sqref="E125:AL125">
    <cfRule type="containsBlanks" dxfId="3110" priority="27" stopIfTrue="1">
      <formula>LEN(TRIM(E125))=0</formula>
    </cfRule>
    <cfRule type="notContainsBlanks" dxfId="3109" priority="28" stopIfTrue="1">
      <formula>LEN(TRIM(E125))&gt;0</formula>
    </cfRule>
  </conditionalFormatting>
  <conditionalFormatting sqref="E126:AL126">
    <cfRule type="containsBlanks" dxfId="3108" priority="29" stopIfTrue="1">
      <formula>LEN(TRIM(E126))=0</formula>
    </cfRule>
    <cfRule type="notContainsBlanks" dxfId="3107" priority="30" stopIfTrue="1">
      <formula>LEN(TRIM(E126))&gt;0</formula>
    </cfRule>
  </conditionalFormatting>
  <conditionalFormatting sqref="E128:AL128">
    <cfRule type="containsBlanks" dxfId="3106" priority="31" stopIfTrue="1">
      <formula>LEN(TRIM(E128))=0</formula>
    </cfRule>
    <cfRule type="notContainsBlanks" dxfId="3105" priority="32" stopIfTrue="1">
      <formula>LEN(TRIM(E128))&gt;0</formula>
    </cfRule>
  </conditionalFormatting>
  <conditionalFormatting sqref="E130:AL130">
    <cfRule type="containsBlanks" dxfId="3104" priority="33" stopIfTrue="1">
      <formula>LEN(TRIM(E130))=0</formula>
    </cfRule>
    <cfRule type="notContainsBlanks" dxfId="3103" priority="34" stopIfTrue="1">
      <formula>LEN(TRIM(E130))&gt;0</formula>
    </cfRule>
  </conditionalFormatting>
  <conditionalFormatting sqref="E131:AL131">
    <cfRule type="containsBlanks" dxfId="3102" priority="35" stopIfTrue="1">
      <formula>LEN(TRIM(E131))=0</formula>
    </cfRule>
    <cfRule type="notContainsBlanks" dxfId="3101" priority="36" stopIfTrue="1">
      <formula>LEN(TRIM(E131))&gt;0</formula>
    </cfRule>
  </conditionalFormatting>
  <conditionalFormatting sqref="E132:AL132">
    <cfRule type="containsBlanks" dxfId="3100" priority="37" stopIfTrue="1">
      <formula>LEN(TRIM(E132))=0</formula>
    </cfRule>
    <cfRule type="notContainsBlanks" dxfId="3099" priority="38" stopIfTrue="1">
      <formula>LEN(TRIM(E132))&gt;0</formula>
    </cfRule>
  </conditionalFormatting>
  <conditionalFormatting sqref="E134:AL134">
    <cfRule type="containsBlanks" dxfId="3098" priority="39" stopIfTrue="1">
      <formula>LEN(TRIM(E134))=0</formula>
    </cfRule>
    <cfRule type="notContainsBlanks" dxfId="3097" priority="40" stopIfTrue="1">
      <formula>LEN(TRIM(E134))&gt;0</formula>
    </cfRule>
  </conditionalFormatting>
  <conditionalFormatting sqref="E136:AL136">
    <cfRule type="containsBlanks" dxfId="3096" priority="41" stopIfTrue="1">
      <formula>LEN(TRIM(E136))=0</formula>
    </cfRule>
  </conditionalFormatting>
  <conditionalFormatting sqref="E136:AL136">
    <cfRule type="notContainsBlanks" dxfId="3095" priority="42" stopIfTrue="1">
      <formula>LEN(TRIM(E136))&gt;0</formula>
    </cfRule>
  </conditionalFormatting>
  <conditionalFormatting sqref="E137:AL137">
    <cfRule type="containsBlanks" dxfId="3094" priority="43" stopIfTrue="1">
      <formula>LEN(TRIM(E137))=0</formula>
    </cfRule>
  </conditionalFormatting>
  <conditionalFormatting sqref="E137:AL137">
    <cfRule type="notContainsBlanks" dxfId="3093" priority="44" stopIfTrue="1">
      <formula>LEN(TRIM(E137))&gt;0</formula>
    </cfRule>
  </conditionalFormatting>
  <conditionalFormatting sqref="E138:AL138">
    <cfRule type="containsBlanks" dxfId="3092" priority="45" stopIfTrue="1">
      <formula>LEN(TRIM(E138))=0</formula>
    </cfRule>
  </conditionalFormatting>
  <conditionalFormatting sqref="E138:AL138">
    <cfRule type="notContainsBlanks" dxfId="3091" priority="46" stopIfTrue="1">
      <formula>LEN(TRIM(E138))&gt;0</formula>
    </cfRule>
  </conditionalFormatting>
  <conditionalFormatting sqref="E140:AL140">
    <cfRule type="containsBlanks" dxfId="3090" priority="47" stopIfTrue="1">
      <formula>LEN(TRIM(E140))=0</formula>
    </cfRule>
  </conditionalFormatting>
  <conditionalFormatting sqref="E140:AL140">
    <cfRule type="notContainsBlanks" dxfId="3089" priority="48" stopIfTrue="1">
      <formula>LEN(TRIM(E140))&gt;0</formula>
    </cfRule>
  </conditionalFormatting>
  <conditionalFormatting sqref="E142:AL142">
    <cfRule type="containsBlanks" dxfId="3088" priority="49" stopIfTrue="1">
      <formula>LEN(TRIM(E142))=0</formula>
    </cfRule>
  </conditionalFormatting>
  <conditionalFormatting sqref="E142:AL142">
    <cfRule type="notContainsBlanks" dxfId="3087" priority="50" stopIfTrue="1">
      <formula>LEN(TRIM(E142))&gt;0</formula>
    </cfRule>
  </conditionalFormatting>
  <conditionalFormatting sqref="E143:AL143">
    <cfRule type="containsBlanks" dxfId="3086" priority="51" stopIfTrue="1">
      <formula>LEN(TRIM(E143))=0</formula>
    </cfRule>
  </conditionalFormatting>
  <conditionalFormatting sqref="E143:AL143">
    <cfRule type="notContainsBlanks" dxfId="3085" priority="52" stopIfTrue="1">
      <formula>LEN(TRIM(E143))&gt;0</formula>
    </cfRule>
  </conditionalFormatting>
  <conditionalFormatting sqref="E144:AL144">
    <cfRule type="containsBlanks" dxfId="3084" priority="53" stopIfTrue="1">
      <formula>LEN(TRIM(E144))=0</formula>
    </cfRule>
  </conditionalFormatting>
  <conditionalFormatting sqref="E144:AL144">
    <cfRule type="notContainsBlanks" dxfId="3083" priority="54" stopIfTrue="1">
      <formula>LEN(TRIM(E144))&gt;0</formula>
    </cfRule>
  </conditionalFormatting>
  <conditionalFormatting sqref="E146:AL146">
    <cfRule type="containsBlanks" dxfId="3082" priority="55" stopIfTrue="1">
      <formula>LEN(TRIM(E146))=0</formula>
    </cfRule>
  </conditionalFormatting>
  <conditionalFormatting sqref="E146:AL146">
    <cfRule type="notContainsBlanks" dxfId="3081" priority="56" stopIfTrue="1">
      <formula>LEN(TRIM(E146))&gt;0</formula>
    </cfRule>
  </conditionalFormatting>
  <conditionalFormatting sqref="E149:AL149">
    <cfRule type="containsBlanks" dxfId="3080" priority="57" stopIfTrue="1">
      <formula>LEN(TRIM(E149))=0</formula>
    </cfRule>
  </conditionalFormatting>
  <conditionalFormatting sqref="E149:AL149">
    <cfRule type="notContainsBlanks" dxfId="3079" priority="58" stopIfTrue="1">
      <formula>LEN(TRIM(E149))&gt;0</formula>
    </cfRule>
  </conditionalFormatting>
  <conditionalFormatting sqref="E150:AL150">
    <cfRule type="containsBlanks" dxfId="3078" priority="59" stopIfTrue="1">
      <formula>LEN(TRIM(E150))=0</formula>
    </cfRule>
  </conditionalFormatting>
  <conditionalFormatting sqref="E150:AL150">
    <cfRule type="notContainsBlanks" dxfId="3077" priority="60" stopIfTrue="1">
      <formula>LEN(TRIM(E150))&gt;0</formula>
    </cfRule>
  </conditionalFormatting>
  <conditionalFormatting sqref="E151:AL151">
    <cfRule type="containsBlanks" dxfId="3076" priority="61" stopIfTrue="1">
      <formula>LEN(TRIM(E151))=0</formula>
    </cfRule>
  </conditionalFormatting>
  <conditionalFormatting sqref="E151:AL151">
    <cfRule type="notContainsBlanks" dxfId="3075" priority="62" stopIfTrue="1">
      <formula>LEN(TRIM(E151))&gt;0</formula>
    </cfRule>
  </conditionalFormatting>
  <conditionalFormatting sqref="E153:AL153">
    <cfRule type="containsBlanks" dxfId="3074" priority="63" stopIfTrue="1">
      <formula>LEN(TRIM(E153))=0</formula>
    </cfRule>
  </conditionalFormatting>
  <conditionalFormatting sqref="E153:AL153">
    <cfRule type="notContainsBlanks" dxfId="3073" priority="64" stopIfTrue="1">
      <formula>LEN(TRIM(E153))&gt;0</formula>
    </cfRule>
  </conditionalFormatting>
  <conditionalFormatting sqref="E155:AL155">
    <cfRule type="containsBlanks" dxfId="3072" priority="65" stopIfTrue="1">
      <formula>LEN(TRIM(E155))=0</formula>
    </cfRule>
  </conditionalFormatting>
  <conditionalFormatting sqref="E155:AL155">
    <cfRule type="notContainsBlanks" dxfId="3071" priority="66" stopIfTrue="1">
      <formula>LEN(TRIM(E155))&gt;0</formula>
    </cfRule>
  </conditionalFormatting>
  <conditionalFormatting sqref="E156:AL156">
    <cfRule type="containsBlanks" dxfId="3070" priority="67" stopIfTrue="1">
      <formula>LEN(TRIM(E156))=0</formula>
    </cfRule>
  </conditionalFormatting>
  <conditionalFormatting sqref="E156:AL156">
    <cfRule type="notContainsBlanks" dxfId="3069" priority="68" stopIfTrue="1">
      <formula>LEN(TRIM(E156))&gt;0</formula>
    </cfRule>
  </conditionalFormatting>
  <conditionalFormatting sqref="E157:AL157">
    <cfRule type="containsBlanks" dxfId="3068" priority="69" stopIfTrue="1">
      <formula>LEN(TRIM(E157))=0</formula>
    </cfRule>
  </conditionalFormatting>
  <conditionalFormatting sqref="E157:AL157">
    <cfRule type="notContainsBlanks" dxfId="3067" priority="70" stopIfTrue="1">
      <formula>LEN(TRIM(E157))&gt;0</formula>
    </cfRule>
  </conditionalFormatting>
  <conditionalFormatting sqref="E159:AL159">
    <cfRule type="containsBlanks" dxfId="3066" priority="71" stopIfTrue="1">
      <formula>LEN(TRIM(E159))=0</formula>
    </cfRule>
  </conditionalFormatting>
  <conditionalFormatting sqref="E159:AL159">
    <cfRule type="notContainsBlanks" dxfId="3065" priority="72" stopIfTrue="1">
      <formula>LEN(TRIM(E159))&gt;0</formula>
    </cfRule>
  </conditionalFormatting>
  <conditionalFormatting sqref="E161:AL161">
    <cfRule type="containsBlanks" dxfId="3064" priority="73" stopIfTrue="1">
      <formula>LEN(TRIM(E161))=0</formula>
    </cfRule>
  </conditionalFormatting>
  <conditionalFormatting sqref="E161:AL161">
    <cfRule type="notContainsBlanks" dxfId="3063" priority="74" stopIfTrue="1">
      <formula>LEN(TRIM(E161))&gt;0</formula>
    </cfRule>
  </conditionalFormatting>
  <conditionalFormatting sqref="E162:AL162">
    <cfRule type="containsBlanks" dxfId="3062" priority="75" stopIfTrue="1">
      <formula>LEN(TRIM(E162))=0</formula>
    </cfRule>
  </conditionalFormatting>
  <conditionalFormatting sqref="E162:AL162">
    <cfRule type="notContainsBlanks" dxfId="3061" priority="76" stopIfTrue="1">
      <formula>LEN(TRIM(E162))&gt;0</formula>
    </cfRule>
  </conditionalFormatting>
  <conditionalFormatting sqref="E163:AL163">
    <cfRule type="containsBlanks" dxfId="3060" priority="77" stopIfTrue="1">
      <formula>LEN(TRIM(E163))=0</formula>
    </cfRule>
  </conditionalFormatting>
  <conditionalFormatting sqref="E163:AL163">
    <cfRule type="notContainsBlanks" dxfId="3059" priority="78" stopIfTrue="1">
      <formula>LEN(TRIM(E163))&gt;0</formula>
    </cfRule>
  </conditionalFormatting>
  <conditionalFormatting sqref="E165:AL165">
    <cfRule type="containsBlanks" dxfId="3058" priority="79" stopIfTrue="1">
      <formula>LEN(TRIM(E165))=0</formula>
    </cfRule>
  </conditionalFormatting>
  <conditionalFormatting sqref="E165:AL165">
    <cfRule type="notContainsBlanks" dxfId="3057" priority="80" stopIfTrue="1">
      <formula>LEN(TRIM(E165))&gt;0</formula>
    </cfRule>
  </conditionalFormatting>
  <conditionalFormatting sqref="E167:AL167">
    <cfRule type="containsBlanks" dxfId="3056" priority="81" stopIfTrue="1">
      <formula>LEN(TRIM(E167))=0</formula>
    </cfRule>
  </conditionalFormatting>
  <conditionalFormatting sqref="E167:AL167">
    <cfRule type="notContainsBlanks" dxfId="3055" priority="82" stopIfTrue="1">
      <formula>LEN(TRIM(E167))&gt;0</formula>
    </cfRule>
  </conditionalFormatting>
  <conditionalFormatting sqref="E168:AL168">
    <cfRule type="containsBlanks" dxfId="3054" priority="83" stopIfTrue="1">
      <formula>LEN(TRIM(E168))=0</formula>
    </cfRule>
  </conditionalFormatting>
  <conditionalFormatting sqref="E168:AL168">
    <cfRule type="notContainsBlanks" dxfId="3053" priority="84" stopIfTrue="1">
      <formula>LEN(TRIM(E168))&gt;0</formula>
    </cfRule>
  </conditionalFormatting>
  <conditionalFormatting sqref="E169:AL169">
    <cfRule type="containsBlanks" dxfId="3052" priority="85" stopIfTrue="1">
      <formula>LEN(TRIM(E169))=0</formula>
    </cfRule>
  </conditionalFormatting>
  <conditionalFormatting sqref="E169:AL169">
    <cfRule type="notContainsBlanks" dxfId="3051" priority="86" stopIfTrue="1">
      <formula>LEN(TRIM(E169))&gt;0</formula>
    </cfRule>
  </conditionalFormatting>
  <conditionalFormatting sqref="E171:AL171">
    <cfRule type="containsBlanks" dxfId="3050" priority="87" stopIfTrue="1">
      <formula>LEN(TRIM(E171))=0</formula>
    </cfRule>
  </conditionalFormatting>
  <conditionalFormatting sqref="E171:AL171">
    <cfRule type="notContainsBlanks" dxfId="3049" priority="88" stopIfTrue="1">
      <formula>LEN(TRIM(E171))&gt;0</formula>
    </cfRule>
  </conditionalFormatting>
  <conditionalFormatting sqref="E173:AL173">
    <cfRule type="containsBlanks" dxfId="3048" priority="89" stopIfTrue="1">
      <formula>LEN(TRIM(E173))=0</formula>
    </cfRule>
  </conditionalFormatting>
  <conditionalFormatting sqref="E173:AL173">
    <cfRule type="notContainsBlanks" dxfId="3047" priority="90" stopIfTrue="1">
      <formula>LEN(TRIM(E173))&gt;0</formula>
    </cfRule>
  </conditionalFormatting>
  <conditionalFormatting sqref="E174:AL174">
    <cfRule type="containsBlanks" dxfId="3046" priority="91" stopIfTrue="1">
      <formula>LEN(TRIM(E174))=0</formula>
    </cfRule>
  </conditionalFormatting>
  <conditionalFormatting sqref="E174:AL174">
    <cfRule type="notContainsBlanks" dxfId="3045" priority="92" stopIfTrue="1">
      <formula>LEN(TRIM(E174))&gt;0</formula>
    </cfRule>
  </conditionalFormatting>
  <conditionalFormatting sqref="E175:AL175">
    <cfRule type="containsBlanks" dxfId="3044" priority="93" stopIfTrue="1">
      <formula>LEN(TRIM(E175))=0</formula>
    </cfRule>
  </conditionalFormatting>
  <conditionalFormatting sqref="E175:AL175">
    <cfRule type="notContainsBlanks" dxfId="3043" priority="94" stopIfTrue="1">
      <formula>LEN(TRIM(E175))&gt;0</formula>
    </cfRule>
  </conditionalFormatting>
  <conditionalFormatting sqref="E177:AL177">
    <cfRule type="containsBlanks" dxfId="3042" priority="95" stopIfTrue="1">
      <formula>LEN(TRIM(E177))=0</formula>
    </cfRule>
  </conditionalFormatting>
  <conditionalFormatting sqref="E177:AL177">
    <cfRule type="notContainsBlanks" dxfId="3041" priority="96" stopIfTrue="1">
      <formula>LEN(TRIM(E177))&gt;0</formula>
    </cfRule>
  </conditionalFormatting>
  <conditionalFormatting sqref="E179:AL179">
    <cfRule type="containsBlanks" dxfId="3040" priority="97" stopIfTrue="1">
      <formula>LEN(TRIM(E179))=0</formula>
    </cfRule>
  </conditionalFormatting>
  <conditionalFormatting sqref="E179:AL179">
    <cfRule type="notContainsBlanks" dxfId="3039" priority="98" stopIfTrue="1">
      <formula>LEN(TRIM(E179))&gt;0</formula>
    </cfRule>
  </conditionalFormatting>
  <conditionalFormatting sqref="E180:AL180">
    <cfRule type="containsBlanks" dxfId="3038" priority="99" stopIfTrue="1">
      <formula>LEN(TRIM(E180))=0</formula>
    </cfRule>
  </conditionalFormatting>
  <conditionalFormatting sqref="E180:AL180">
    <cfRule type="notContainsBlanks" dxfId="3037" priority="100" stopIfTrue="1">
      <formula>LEN(TRIM(E180))&gt;0</formula>
    </cfRule>
  </conditionalFormatting>
  <conditionalFormatting sqref="E181:AL181">
    <cfRule type="containsBlanks" dxfId="3036" priority="101" stopIfTrue="1">
      <formula>LEN(TRIM(E181))=0</formula>
    </cfRule>
  </conditionalFormatting>
  <conditionalFormatting sqref="E181:AL181">
    <cfRule type="notContainsBlanks" dxfId="3035" priority="102" stopIfTrue="1">
      <formula>LEN(TRIM(E181))&gt;0</formula>
    </cfRule>
  </conditionalFormatting>
  <conditionalFormatting sqref="E183:AL183">
    <cfRule type="containsBlanks" dxfId="3034" priority="103" stopIfTrue="1">
      <formula>LEN(TRIM(E183))=0</formula>
    </cfRule>
  </conditionalFormatting>
  <conditionalFormatting sqref="E183:AL183">
    <cfRule type="notContainsBlanks" dxfId="3033" priority="104" stopIfTrue="1">
      <formula>LEN(TRIM(E183))&gt;0</formula>
    </cfRule>
  </conditionalFormatting>
  <conditionalFormatting sqref="E185:AL185">
    <cfRule type="containsBlanks" dxfId="3032" priority="105" stopIfTrue="1">
      <formula>LEN(TRIM(E185))=0</formula>
    </cfRule>
  </conditionalFormatting>
  <conditionalFormatting sqref="E185:AL185">
    <cfRule type="notContainsBlanks" dxfId="3031" priority="106" stopIfTrue="1">
      <formula>LEN(TRIM(E185))&gt;0</formula>
    </cfRule>
  </conditionalFormatting>
  <conditionalFormatting sqref="E186:AL186">
    <cfRule type="containsBlanks" dxfId="3030" priority="107" stopIfTrue="1">
      <formula>LEN(TRIM(E186))=0</formula>
    </cfRule>
  </conditionalFormatting>
  <conditionalFormatting sqref="E186:AL186">
    <cfRule type="notContainsBlanks" dxfId="3029" priority="108" stopIfTrue="1">
      <formula>LEN(TRIM(E186))&gt;0</formula>
    </cfRule>
  </conditionalFormatting>
  <conditionalFormatting sqref="E187:AL187">
    <cfRule type="containsBlanks" dxfId="3028" priority="109" stopIfTrue="1">
      <formula>LEN(TRIM(E187))=0</formula>
    </cfRule>
  </conditionalFormatting>
  <conditionalFormatting sqref="E187:AL187">
    <cfRule type="notContainsBlanks" dxfId="3027" priority="110" stopIfTrue="1">
      <formula>LEN(TRIM(E187))&gt;0</formula>
    </cfRule>
  </conditionalFormatting>
  <conditionalFormatting sqref="E189:AL189">
    <cfRule type="containsBlanks" dxfId="3026" priority="111" stopIfTrue="1">
      <formula>LEN(TRIM(E189))=0</formula>
    </cfRule>
  </conditionalFormatting>
  <conditionalFormatting sqref="E189:AL189">
    <cfRule type="notContainsBlanks" dxfId="3025" priority="112" stopIfTrue="1">
      <formula>LEN(TRIM(E189))&gt;0</formula>
    </cfRule>
  </conditionalFormatting>
  <conditionalFormatting sqref="E95:AL95">
    <cfRule type="containsBlanks" dxfId="3024" priority="113" stopIfTrue="1">
      <formula>LEN(TRIM(E95))=0</formula>
    </cfRule>
    <cfRule type="notContainsBlanks" dxfId="3023" priority="114" stopIfTrue="1">
      <formula>LEN(TRIM(E95))&gt;0</formula>
    </cfRule>
  </conditionalFormatting>
  <conditionalFormatting sqref="E96:AL96">
    <cfRule type="containsBlanks" dxfId="3022" priority="115" stopIfTrue="1">
      <formula>LEN(TRIM(E96))=0</formula>
    </cfRule>
    <cfRule type="notContainsBlanks" dxfId="3021" priority="116" stopIfTrue="1">
      <formula>LEN(TRIM(E96))&gt;0</formula>
    </cfRule>
  </conditionalFormatting>
  <conditionalFormatting sqref="E97:AL97">
    <cfRule type="containsBlanks" dxfId="3020" priority="117" stopIfTrue="1">
      <formula>LEN(TRIM(E97))=0</formula>
    </cfRule>
    <cfRule type="notContainsBlanks" dxfId="3019" priority="118" stopIfTrue="1">
      <formula>LEN(TRIM(E97))&gt;0</formula>
    </cfRule>
  </conditionalFormatting>
  <conditionalFormatting sqref="E98:AL98">
    <cfRule type="containsBlanks" dxfId="3018" priority="119" stopIfTrue="1">
      <formula>LEN(TRIM(E98))=0</formula>
    </cfRule>
    <cfRule type="notContainsBlanks" dxfId="3017" priority="120" stopIfTrue="1">
      <formula>LEN(TRIM(E98))&gt;0</formula>
    </cfRule>
  </conditionalFormatting>
  <conditionalFormatting sqref="E99:AL99">
    <cfRule type="containsBlanks" dxfId="3016" priority="121" stopIfTrue="1">
      <formula>LEN(TRIM(E99))=0</formula>
    </cfRule>
    <cfRule type="notContainsBlanks" dxfId="3015" priority="122" stopIfTrue="1">
      <formula>LEN(TRIM(E99))&gt;0</formula>
    </cfRule>
  </conditionalFormatting>
  <conditionalFormatting sqref="E100:AL100">
    <cfRule type="containsBlanks" dxfId="3014" priority="123" stopIfTrue="1">
      <formula>LEN(TRIM(E100))=0</formula>
    </cfRule>
    <cfRule type="notContainsBlanks" dxfId="3013" priority="124" stopIfTrue="1">
      <formula>LEN(TRIM(E100))&gt;0</formula>
    </cfRule>
  </conditionalFormatting>
  <conditionalFormatting sqref="E101:AL101">
    <cfRule type="containsBlanks" dxfId="3012" priority="125" stopIfTrue="1">
      <formula>LEN(TRIM(E101))=0</formula>
    </cfRule>
    <cfRule type="notContainsBlanks" dxfId="3011" priority="126" stopIfTrue="1">
      <formula>LEN(TRIM(E101))&gt;0</formula>
    </cfRule>
  </conditionalFormatting>
  <conditionalFormatting sqref="E86:AL86">
    <cfRule type="containsBlanks" dxfId="3010" priority="127" stopIfTrue="1">
      <formula>LEN(TRIM(E86))=0</formula>
    </cfRule>
    <cfRule type="notContainsBlanks" dxfId="3009" priority="128" stopIfTrue="1">
      <formula>LEN(TRIM(E86))&gt;0</formula>
    </cfRule>
  </conditionalFormatting>
  <conditionalFormatting sqref="E87:AL87">
    <cfRule type="containsBlanks" dxfId="3008" priority="129" stopIfTrue="1">
      <formula>LEN(TRIM(E87))=0</formula>
    </cfRule>
    <cfRule type="notContainsBlanks" dxfId="3007" priority="130" stopIfTrue="1">
      <formula>LEN(TRIM(E87))&gt;0</formula>
    </cfRule>
  </conditionalFormatting>
  <conditionalFormatting sqref="E88:AL88">
    <cfRule type="containsBlanks" dxfId="3006" priority="131" stopIfTrue="1">
      <formula>LEN(TRIM(E88))=0</formula>
    </cfRule>
    <cfRule type="notContainsBlanks" dxfId="3005" priority="132" stopIfTrue="1">
      <formula>LEN(TRIM(E88))&gt;0</formula>
    </cfRule>
  </conditionalFormatting>
  <conditionalFormatting sqref="E89:AL89">
    <cfRule type="containsBlanks" dxfId="3004" priority="133" stopIfTrue="1">
      <formula>LEN(TRIM(E89))=0</formula>
    </cfRule>
    <cfRule type="notContainsBlanks" dxfId="3003" priority="134" stopIfTrue="1">
      <formula>LEN(TRIM(E89))&gt;0</formula>
    </cfRule>
  </conditionalFormatting>
  <conditionalFormatting sqref="E90:AL90">
    <cfRule type="containsBlanks" dxfId="3002" priority="135" stopIfTrue="1">
      <formula>LEN(TRIM(E90))=0</formula>
    </cfRule>
    <cfRule type="notContainsBlanks" dxfId="3001" priority="136" stopIfTrue="1">
      <formula>LEN(TRIM(E90))&gt;0</formula>
    </cfRule>
  </conditionalFormatting>
  <conditionalFormatting sqref="E91:AL91">
    <cfRule type="containsBlanks" dxfId="3000" priority="137" stopIfTrue="1">
      <formula>LEN(TRIM(E91))=0</formula>
    </cfRule>
    <cfRule type="notContainsBlanks" dxfId="2999" priority="138" stopIfTrue="1">
      <formula>LEN(TRIM(E91))&gt;0</formula>
    </cfRule>
  </conditionalFormatting>
  <conditionalFormatting sqref="E92:AL92">
    <cfRule type="containsBlanks" dxfId="2998" priority="139" stopIfTrue="1">
      <formula>LEN(TRIM(E92))=0</formula>
    </cfRule>
    <cfRule type="notContainsBlanks" dxfId="2997" priority="140" stopIfTrue="1">
      <formula>LEN(TRIM(E92))&gt;0</formula>
    </cfRule>
  </conditionalFormatting>
  <conditionalFormatting sqref="E77:AL77">
    <cfRule type="containsBlanks" dxfId="2996" priority="141" stopIfTrue="1">
      <formula>LEN(TRIM(E77))=0</formula>
    </cfRule>
    <cfRule type="notContainsBlanks" dxfId="2995" priority="142" stopIfTrue="1">
      <formula>LEN(TRIM(E77))&gt;0</formula>
    </cfRule>
  </conditionalFormatting>
  <conditionalFormatting sqref="E78:AL78">
    <cfRule type="containsBlanks" dxfId="2994" priority="143" stopIfTrue="1">
      <formula>LEN(TRIM(E78))=0</formula>
    </cfRule>
    <cfRule type="notContainsBlanks" dxfId="2993" priority="144" stopIfTrue="1">
      <formula>LEN(TRIM(E78))&gt;0</formula>
    </cfRule>
  </conditionalFormatting>
  <conditionalFormatting sqref="E79:AL79">
    <cfRule type="containsBlanks" dxfId="2992" priority="145" stopIfTrue="1">
      <formula>LEN(TRIM(E79))=0</formula>
    </cfRule>
    <cfRule type="notContainsBlanks" dxfId="2991" priority="146" stopIfTrue="1">
      <formula>LEN(TRIM(E79))&gt;0</formula>
    </cfRule>
  </conditionalFormatting>
  <conditionalFormatting sqref="E80:AL80">
    <cfRule type="containsBlanks" dxfId="2990" priority="147" stopIfTrue="1">
      <formula>LEN(TRIM(E80))=0</formula>
    </cfRule>
    <cfRule type="notContainsBlanks" dxfId="2989" priority="148" stopIfTrue="1">
      <formula>LEN(TRIM(E80))&gt;0</formula>
    </cfRule>
  </conditionalFormatting>
  <conditionalFormatting sqref="E81:AL81">
    <cfRule type="containsBlanks" dxfId="2988" priority="149" stopIfTrue="1">
      <formula>LEN(TRIM(E81))=0</formula>
    </cfRule>
    <cfRule type="notContainsBlanks" dxfId="2987" priority="150" stopIfTrue="1">
      <formula>LEN(TRIM(E81))&gt;0</formula>
    </cfRule>
  </conditionalFormatting>
  <conditionalFormatting sqref="E82:AL82">
    <cfRule type="containsBlanks" dxfId="2986" priority="151" stopIfTrue="1">
      <formula>LEN(TRIM(E82))=0</formula>
    </cfRule>
    <cfRule type="notContainsBlanks" dxfId="2985" priority="152" stopIfTrue="1">
      <formula>LEN(TRIM(E82))&gt;0</formula>
    </cfRule>
  </conditionalFormatting>
  <conditionalFormatting sqref="E83:AL83">
    <cfRule type="containsBlanks" dxfId="2984" priority="153" stopIfTrue="1">
      <formula>LEN(TRIM(E83))=0</formula>
    </cfRule>
    <cfRule type="notContainsBlanks" dxfId="2983" priority="154" stopIfTrue="1">
      <formula>LEN(TRIM(E83))&gt;0</formula>
    </cfRule>
  </conditionalFormatting>
  <conditionalFormatting sqref="E68:AL68">
    <cfRule type="containsBlanks" dxfId="2982" priority="155" stopIfTrue="1">
      <formula>LEN(TRIM(E68))=0</formula>
    </cfRule>
    <cfRule type="notContainsBlanks" dxfId="2981" priority="156" stopIfTrue="1">
      <formula>LEN(TRIM(E68))&gt;0</formula>
    </cfRule>
  </conditionalFormatting>
  <conditionalFormatting sqref="E69:AL69">
    <cfRule type="containsBlanks" dxfId="2980" priority="157" stopIfTrue="1">
      <formula>LEN(TRIM(E69))=0</formula>
    </cfRule>
    <cfRule type="notContainsBlanks" dxfId="2979" priority="158" stopIfTrue="1">
      <formula>LEN(TRIM(E69))&gt;0</formula>
    </cfRule>
  </conditionalFormatting>
  <conditionalFormatting sqref="E70:AL70">
    <cfRule type="containsBlanks" dxfId="2978" priority="159" stopIfTrue="1">
      <formula>LEN(TRIM(E70))=0</formula>
    </cfRule>
    <cfRule type="notContainsBlanks" dxfId="2977" priority="160" stopIfTrue="1">
      <formula>LEN(TRIM(E70))&gt;0</formula>
    </cfRule>
  </conditionalFormatting>
  <conditionalFormatting sqref="E71:AL71">
    <cfRule type="containsBlanks" dxfId="2976" priority="161" stopIfTrue="1">
      <formula>LEN(TRIM(E71))=0</formula>
    </cfRule>
    <cfRule type="notContainsBlanks" dxfId="2975" priority="162" stopIfTrue="1">
      <formula>LEN(TRIM(E71))&gt;0</formula>
    </cfRule>
  </conditionalFormatting>
  <conditionalFormatting sqref="E72:AL72">
    <cfRule type="containsBlanks" dxfId="2974" priority="163" stopIfTrue="1">
      <formula>LEN(TRIM(E72))=0</formula>
    </cfRule>
    <cfRule type="notContainsBlanks" dxfId="2973" priority="164" stopIfTrue="1">
      <formula>LEN(TRIM(E72))&gt;0</formula>
    </cfRule>
  </conditionalFormatting>
  <conditionalFormatting sqref="E73:AL73">
    <cfRule type="containsBlanks" dxfId="2972" priority="165" stopIfTrue="1">
      <formula>LEN(TRIM(E73))=0</formula>
    </cfRule>
    <cfRule type="notContainsBlanks" dxfId="2971" priority="166" stopIfTrue="1">
      <formula>LEN(TRIM(E73))&gt;0</formula>
    </cfRule>
  </conditionalFormatting>
  <conditionalFormatting sqref="E74:AL74">
    <cfRule type="containsBlanks" dxfId="2970" priority="167" stopIfTrue="1">
      <formula>LEN(TRIM(E74))=0</formula>
    </cfRule>
    <cfRule type="notContainsBlanks" dxfId="2969" priority="168" stopIfTrue="1">
      <formula>LEN(TRIM(E74))&gt;0</formula>
    </cfRule>
  </conditionalFormatting>
  <conditionalFormatting sqref="E59:AL59">
    <cfRule type="containsBlanks" dxfId="2968" priority="169" stopIfTrue="1">
      <formula>LEN(TRIM(E59))=0</formula>
    </cfRule>
    <cfRule type="notContainsBlanks" dxfId="2967" priority="170" stopIfTrue="1">
      <formula>LEN(TRIM(E59))&gt;0</formula>
    </cfRule>
  </conditionalFormatting>
  <conditionalFormatting sqref="E60:AL60">
    <cfRule type="containsBlanks" dxfId="2966" priority="171" stopIfTrue="1">
      <formula>LEN(TRIM(E60))=0</formula>
    </cfRule>
    <cfRule type="notContainsBlanks" dxfId="2965" priority="172" stopIfTrue="1">
      <formula>LEN(TRIM(E60))&gt;0</formula>
    </cfRule>
  </conditionalFormatting>
  <conditionalFormatting sqref="E61:AL61">
    <cfRule type="containsBlanks" dxfId="2964" priority="173" stopIfTrue="1">
      <formula>LEN(TRIM(E61))=0</formula>
    </cfRule>
    <cfRule type="notContainsBlanks" dxfId="2963" priority="174" stopIfTrue="1">
      <formula>LEN(TRIM(E61))&gt;0</formula>
    </cfRule>
  </conditionalFormatting>
  <conditionalFormatting sqref="E62:AL62">
    <cfRule type="containsBlanks" dxfId="2962" priority="175" stopIfTrue="1">
      <formula>LEN(TRIM(E62))=0</formula>
    </cfRule>
    <cfRule type="notContainsBlanks" dxfId="2961" priority="176" stopIfTrue="1">
      <formula>LEN(TRIM(E62))&gt;0</formula>
    </cfRule>
  </conditionalFormatting>
  <conditionalFormatting sqref="E63:AL63">
    <cfRule type="containsBlanks" dxfId="2960" priority="177" stopIfTrue="1">
      <formula>LEN(TRIM(E63))=0</formula>
    </cfRule>
    <cfRule type="notContainsBlanks" dxfId="2959" priority="178" stopIfTrue="1">
      <formula>LEN(TRIM(E63))&gt;0</formula>
    </cfRule>
  </conditionalFormatting>
  <conditionalFormatting sqref="E64:AL64">
    <cfRule type="containsBlanks" dxfId="2958" priority="179" stopIfTrue="1">
      <formula>LEN(TRIM(E64))=0</formula>
    </cfRule>
    <cfRule type="notContainsBlanks" dxfId="2957" priority="180" stopIfTrue="1">
      <formula>LEN(TRIM(E64))&gt;0</formula>
    </cfRule>
  </conditionalFormatting>
  <conditionalFormatting sqref="E65:AL65">
    <cfRule type="containsBlanks" dxfId="2956" priority="181" stopIfTrue="1">
      <formula>LEN(TRIM(E65))=0</formula>
    </cfRule>
    <cfRule type="notContainsBlanks" dxfId="2955" priority="182" stopIfTrue="1">
      <formula>LEN(TRIM(E65))&gt;0</formula>
    </cfRule>
  </conditionalFormatting>
  <conditionalFormatting sqref="E50:AL50">
    <cfRule type="containsBlanks" dxfId="2954" priority="183" stopIfTrue="1">
      <formula>LEN(TRIM(E50))=0</formula>
    </cfRule>
    <cfRule type="notContainsBlanks" dxfId="2953" priority="184" stopIfTrue="1">
      <formula>LEN(TRIM(E50))&gt;0</formula>
    </cfRule>
  </conditionalFormatting>
  <conditionalFormatting sqref="E51:AL51">
    <cfRule type="containsBlanks" dxfId="2952" priority="185" stopIfTrue="1">
      <formula>LEN(TRIM(E51))=0</formula>
    </cfRule>
    <cfRule type="notContainsBlanks" dxfId="2951" priority="186" stopIfTrue="1">
      <formula>LEN(TRIM(E51))&gt;0</formula>
    </cfRule>
  </conditionalFormatting>
  <conditionalFormatting sqref="E52:AL52">
    <cfRule type="containsBlanks" dxfId="2950" priority="187" stopIfTrue="1">
      <formula>LEN(TRIM(E52))=0</formula>
    </cfRule>
    <cfRule type="notContainsBlanks" dxfId="2949" priority="188" stopIfTrue="1">
      <formula>LEN(TRIM(E52))&gt;0</formula>
    </cfRule>
  </conditionalFormatting>
  <conditionalFormatting sqref="E53:AL53">
    <cfRule type="containsBlanks" dxfId="2948" priority="189" stopIfTrue="1">
      <formula>LEN(TRIM(E53))=0</formula>
    </cfRule>
    <cfRule type="notContainsBlanks" dxfId="2947" priority="190" stopIfTrue="1">
      <formula>LEN(TRIM(E53))&gt;0</formula>
    </cfRule>
  </conditionalFormatting>
  <conditionalFormatting sqref="E54:AL54">
    <cfRule type="containsBlanks" dxfId="2946" priority="191" stopIfTrue="1">
      <formula>LEN(TRIM(E54))=0</formula>
    </cfRule>
    <cfRule type="notContainsBlanks" dxfId="2945" priority="192" stopIfTrue="1">
      <formula>LEN(TRIM(E54))&gt;0</formula>
    </cfRule>
  </conditionalFormatting>
  <conditionalFormatting sqref="E55:AL55">
    <cfRule type="containsBlanks" dxfId="2944" priority="193" stopIfTrue="1">
      <formula>LEN(TRIM(E55))=0</formula>
    </cfRule>
    <cfRule type="notContainsBlanks" dxfId="2943" priority="194" stopIfTrue="1">
      <formula>LEN(TRIM(E55))&gt;0</formula>
    </cfRule>
  </conditionalFormatting>
  <conditionalFormatting sqref="E56:AL56">
    <cfRule type="containsBlanks" dxfId="2942" priority="195" stopIfTrue="1">
      <formula>LEN(TRIM(E56))=0</formula>
    </cfRule>
    <cfRule type="notContainsBlanks" dxfId="2941" priority="196" stopIfTrue="1">
      <formula>LEN(TRIM(E56))&gt;0</formula>
    </cfRule>
  </conditionalFormatting>
  <conditionalFormatting sqref="E41:E47">
    <cfRule type="containsBlanks" dxfId="2940" priority="211" stopIfTrue="1">
      <formula>LEN(TRIM(E41))=0</formula>
    </cfRule>
    <cfRule type="expression" dxfId="2939" priority="212" stopIfTrue="1">
      <formula>SUM($E$41:$E$47)&lt;&gt;1</formula>
    </cfRule>
    <cfRule type="notContainsBlanks" dxfId="2938" priority="213" stopIfTrue="1">
      <formula>LEN(TRIM(E41))&gt;0</formula>
    </cfRule>
  </conditionalFormatting>
  <conditionalFormatting sqref="F41:F47">
    <cfRule type="containsBlanks" dxfId="2937" priority="214" stopIfTrue="1">
      <formula>LEN(TRIM(F41))=0</formula>
    </cfRule>
    <cfRule type="expression" dxfId="2936" priority="215" stopIfTrue="1">
      <formula>SUM($F$41:$F$47)&lt;&gt;1</formula>
    </cfRule>
    <cfRule type="notContainsBlanks" dxfId="2935" priority="216" stopIfTrue="1">
      <formula>LEN(TRIM(F41))&gt;0</formula>
    </cfRule>
  </conditionalFormatting>
  <conditionalFormatting sqref="G41:G47">
    <cfRule type="containsBlanks" dxfId="2934" priority="217" stopIfTrue="1">
      <formula>LEN(TRIM(G41))=0</formula>
    </cfRule>
    <cfRule type="expression" dxfId="2933" priority="218" stopIfTrue="1">
      <formula>SUM($G$41:$G$47)&lt;&gt;1</formula>
    </cfRule>
    <cfRule type="notContainsBlanks" dxfId="2932" priority="219" stopIfTrue="1">
      <formula>LEN(TRIM(G41))&gt;0</formula>
    </cfRule>
  </conditionalFormatting>
  <conditionalFormatting sqref="H41:H47">
    <cfRule type="containsBlanks" dxfId="2931" priority="220" stopIfTrue="1">
      <formula>LEN(TRIM(H41))=0</formula>
    </cfRule>
    <cfRule type="expression" dxfId="2930" priority="221" stopIfTrue="1">
      <formula>SUM($H$41:$H$47)&lt;&gt;1</formula>
    </cfRule>
    <cfRule type="notContainsBlanks" dxfId="2929" priority="222" stopIfTrue="1">
      <formula>LEN(TRIM(H41))&gt;0</formula>
    </cfRule>
  </conditionalFormatting>
  <conditionalFormatting sqref="I41:I47">
    <cfRule type="containsBlanks" dxfId="2928" priority="223" stopIfTrue="1">
      <formula>LEN(TRIM(I41))=0</formula>
    </cfRule>
    <cfRule type="expression" dxfId="2927" priority="224" stopIfTrue="1">
      <formula>SUM($I$41:$I$47)&lt;&gt;1</formula>
    </cfRule>
    <cfRule type="notContainsBlanks" dxfId="2926" priority="225" stopIfTrue="1">
      <formula>LEN(TRIM(I41))&gt;0</formula>
    </cfRule>
  </conditionalFormatting>
  <conditionalFormatting sqref="J41:J47">
    <cfRule type="containsBlanks" dxfId="2925" priority="226" stopIfTrue="1">
      <formula>LEN(TRIM(J41))=0</formula>
    </cfRule>
    <cfRule type="expression" dxfId="2924" priority="227" stopIfTrue="1">
      <formula>SUM($J$41:$J$47)&lt;&gt;1</formula>
    </cfRule>
    <cfRule type="notContainsBlanks" dxfId="2923" priority="228" stopIfTrue="1">
      <formula>LEN(TRIM(J41))&gt;0</formula>
    </cfRule>
  </conditionalFormatting>
  <conditionalFormatting sqref="K41:K47">
    <cfRule type="containsBlanks" dxfId="2922" priority="229" stopIfTrue="1">
      <formula>LEN(TRIM(K41))=0</formula>
    </cfRule>
    <cfRule type="expression" dxfId="2921" priority="230" stopIfTrue="1">
      <formula>SUM($K$41:$K$47)&lt;&gt;1</formula>
    </cfRule>
    <cfRule type="notContainsBlanks" dxfId="2920" priority="231" stopIfTrue="1">
      <formula>LEN(TRIM(K41))&gt;0</formula>
    </cfRule>
  </conditionalFormatting>
  <conditionalFormatting sqref="L41:L47">
    <cfRule type="containsBlanks" dxfId="2919" priority="232" stopIfTrue="1">
      <formula>LEN(TRIM(L41))=0</formula>
    </cfRule>
    <cfRule type="expression" dxfId="2918" priority="233" stopIfTrue="1">
      <formula>SUM($L$41:$L$47)&lt;&gt;1</formula>
    </cfRule>
    <cfRule type="notContainsBlanks" dxfId="2917" priority="234" stopIfTrue="1">
      <formula>LEN(TRIM(L41))&gt;0</formula>
    </cfRule>
  </conditionalFormatting>
  <conditionalFormatting sqref="M41:M47">
    <cfRule type="containsBlanks" dxfId="2916" priority="235" stopIfTrue="1">
      <formula>LEN(TRIM(M41))=0</formula>
    </cfRule>
    <cfRule type="expression" dxfId="2915" priority="236" stopIfTrue="1">
      <formula>SUM($M$41:$M$47)&lt;&gt;1</formula>
    </cfRule>
    <cfRule type="notContainsBlanks" dxfId="2914" priority="237" stopIfTrue="1">
      <formula>LEN(TRIM(M41))&gt;0</formula>
    </cfRule>
  </conditionalFormatting>
  <conditionalFormatting sqref="N41:N47">
    <cfRule type="containsBlanks" dxfId="2913" priority="238" stopIfTrue="1">
      <formula>LEN(TRIM(N41))=0</formula>
    </cfRule>
    <cfRule type="expression" dxfId="2912" priority="239" stopIfTrue="1">
      <formula>SUM($N$41:$N$47)&lt;&gt;1</formula>
    </cfRule>
    <cfRule type="notContainsBlanks" dxfId="2911" priority="240" stopIfTrue="1">
      <formula>LEN(TRIM(N41))&gt;0</formula>
    </cfRule>
  </conditionalFormatting>
  <conditionalFormatting sqref="O41:O47">
    <cfRule type="containsBlanks" dxfId="2910" priority="241" stopIfTrue="1">
      <formula>LEN(TRIM(O41))=0</formula>
    </cfRule>
    <cfRule type="expression" dxfId="2909" priority="242" stopIfTrue="1">
      <formula>SUM($O$41:$O$47)&lt;&gt;1</formula>
    </cfRule>
    <cfRule type="notContainsBlanks" dxfId="2908" priority="243" stopIfTrue="1">
      <formula>LEN(TRIM(O41))&gt;0</formula>
    </cfRule>
  </conditionalFormatting>
  <conditionalFormatting sqref="P41:P47">
    <cfRule type="containsBlanks" dxfId="2907" priority="244" stopIfTrue="1">
      <formula>LEN(TRIM(P41))=0</formula>
    </cfRule>
    <cfRule type="expression" dxfId="2906" priority="245" stopIfTrue="1">
      <formula>SUM($P$41:$P$47)&lt;&gt;1</formula>
    </cfRule>
    <cfRule type="notContainsBlanks" dxfId="2905" priority="246" stopIfTrue="1">
      <formula>LEN(TRIM(P41))&gt;0</formula>
    </cfRule>
  </conditionalFormatting>
  <conditionalFormatting sqref="Q41:Q47">
    <cfRule type="containsBlanks" dxfId="2904" priority="247" stopIfTrue="1">
      <formula>LEN(TRIM(Q41))=0</formula>
    </cfRule>
    <cfRule type="expression" dxfId="2903" priority="248" stopIfTrue="1">
      <formula>SUM($Q$41:$Q$47)&lt;&gt;1</formula>
    </cfRule>
    <cfRule type="notContainsBlanks" dxfId="2902" priority="249" stopIfTrue="1">
      <formula>LEN(TRIM(Q41))&gt;0</formula>
    </cfRule>
  </conditionalFormatting>
  <conditionalFormatting sqref="R41:R47">
    <cfRule type="containsBlanks" dxfId="2901" priority="250" stopIfTrue="1">
      <formula>LEN(TRIM(R41))=0</formula>
    </cfRule>
  </conditionalFormatting>
  <conditionalFormatting sqref="R41:R47">
    <cfRule type="expression" dxfId="2900" priority="251" stopIfTrue="1">
      <formula>SUM($R$41:$R$47)&lt;&gt;1</formula>
    </cfRule>
  </conditionalFormatting>
  <conditionalFormatting sqref="R41:R47">
    <cfRule type="notContainsBlanks" dxfId="2899" priority="252" stopIfTrue="1">
      <formula>LEN(TRIM(R41))&gt;0</formula>
    </cfRule>
  </conditionalFormatting>
  <conditionalFormatting sqref="S41:S47">
    <cfRule type="containsBlanks" dxfId="2898" priority="253" stopIfTrue="1">
      <formula>LEN(TRIM(S41))=0</formula>
    </cfRule>
  </conditionalFormatting>
  <conditionalFormatting sqref="S41:S47">
    <cfRule type="expression" dxfId="2897" priority="254" stopIfTrue="1">
      <formula>SUM($S$41:$S$47)&lt;&gt;1</formula>
    </cfRule>
  </conditionalFormatting>
  <conditionalFormatting sqref="S41:S47">
    <cfRule type="notContainsBlanks" dxfId="2896" priority="255" stopIfTrue="1">
      <formula>LEN(TRIM(S41))&gt;0</formula>
    </cfRule>
  </conditionalFormatting>
  <conditionalFormatting sqref="T41:T47">
    <cfRule type="containsBlanks" dxfId="2895" priority="256" stopIfTrue="1">
      <formula>LEN(TRIM(T41))=0</formula>
    </cfRule>
  </conditionalFormatting>
  <conditionalFormatting sqref="T41:T47">
    <cfRule type="expression" dxfId="2894" priority="257" stopIfTrue="1">
      <formula>SUM($T$41:$T$47)&lt;&gt;1</formula>
    </cfRule>
  </conditionalFormatting>
  <conditionalFormatting sqref="T41:T47">
    <cfRule type="notContainsBlanks" dxfId="2893" priority="258" stopIfTrue="1">
      <formula>LEN(TRIM(T41))&gt;0</formula>
    </cfRule>
  </conditionalFormatting>
  <conditionalFormatting sqref="U41:U47">
    <cfRule type="containsBlanks" dxfId="2892" priority="259" stopIfTrue="1">
      <formula>LEN(TRIM(U41))=0</formula>
    </cfRule>
  </conditionalFormatting>
  <conditionalFormatting sqref="U41:U47">
    <cfRule type="expression" dxfId="2891" priority="260" stopIfTrue="1">
      <formula>SUM($U$41:$U$47)&lt;&gt;1</formula>
    </cfRule>
  </conditionalFormatting>
  <conditionalFormatting sqref="U41:U47">
    <cfRule type="notContainsBlanks" dxfId="2890" priority="261" stopIfTrue="1">
      <formula>LEN(TRIM(U41))&gt;0</formula>
    </cfRule>
  </conditionalFormatting>
  <conditionalFormatting sqref="V41:V47">
    <cfRule type="containsBlanks" dxfId="2889" priority="262" stopIfTrue="1">
      <formula>LEN(TRIM(V41))=0</formula>
    </cfRule>
  </conditionalFormatting>
  <conditionalFormatting sqref="V41:V47">
    <cfRule type="expression" dxfId="2888" priority="263" stopIfTrue="1">
      <formula>SUM($V$41:$V$47)&lt;&gt;1</formula>
    </cfRule>
  </conditionalFormatting>
  <conditionalFormatting sqref="V41:V47">
    <cfRule type="notContainsBlanks" dxfId="2887" priority="264" stopIfTrue="1">
      <formula>LEN(TRIM(V41))&gt;0</formula>
    </cfRule>
  </conditionalFormatting>
  <conditionalFormatting sqref="W41:W47">
    <cfRule type="containsBlanks" dxfId="2886" priority="265" stopIfTrue="1">
      <formula>LEN(TRIM(W41))=0</formula>
    </cfRule>
  </conditionalFormatting>
  <conditionalFormatting sqref="W41:W47">
    <cfRule type="expression" dxfId="2885" priority="266" stopIfTrue="1">
      <formula>SUM($W$41:$W$47)&lt;&gt;1</formula>
    </cfRule>
  </conditionalFormatting>
  <conditionalFormatting sqref="W41:W47">
    <cfRule type="notContainsBlanks" dxfId="2884" priority="267" stopIfTrue="1">
      <formula>LEN(TRIM(W41))&gt;0</formula>
    </cfRule>
  </conditionalFormatting>
  <conditionalFormatting sqref="X41:X47">
    <cfRule type="containsBlanks" dxfId="2883" priority="268" stopIfTrue="1">
      <formula>LEN(TRIM(X41))=0</formula>
    </cfRule>
  </conditionalFormatting>
  <conditionalFormatting sqref="X41:X47">
    <cfRule type="expression" dxfId="2882" priority="269" stopIfTrue="1">
      <formula>SUM($X$41:$X$47)&lt;&gt;1</formula>
    </cfRule>
  </conditionalFormatting>
  <conditionalFormatting sqref="X41:X47">
    <cfRule type="notContainsBlanks" dxfId="2881" priority="270" stopIfTrue="1">
      <formula>LEN(TRIM(X41))&gt;0</formula>
    </cfRule>
  </conditionalFormatting>
  <conditionalFormatting sqref="Y41:Y47">
    <cfRule type="containsBlanks" dxfId="2880" priority="271" stopIfTrue="1">
      <formula>LEN(TRIM(Y41))=0</formula>
    </cfRule>
  </conditionalFormatting>
  <conditionalFormatting sqref="Y41:Y47">
    <cfRule type="expression" dxfId="2879" priority="272" stopIfTrue="1">
      <formula>SUM($Y$41:$Y$47)&lt;&gt;1</formula>
    </cfRule>
  </conditionalFormatting>
  <conditionalFormatting sqref="Y41:Y47">
    <cfRule type="notContainsBlanks" dxfId="2878" priority="273" stopIfTrue="1">
      <formula>LEN(TRIM(Y41))&gt;0</formula>
    </cfRule>
  </conditionalFormatting>
  <conditionalFormatting sqref="Z41:Z47">
    <cfRule type="containsBlanks" dxfId="2877" priority="274" stopIfTrue="1">
      <formula>LEN(TRIM(Z41))=0</formula>
    </cfRule>
  </conditionalFormatting>
  <conditionalFormatting sqref="Z41:Z47">
    <cfRule type="expression" dxfId="2876" priority="275" stopIfTrue="1">
      <formula>SUM($Z$41:$Z$47)&lt;&gt;1</formula>
    </cfRule>
  </conditionalFormatting>
  <conditionalFormatting sqref="Z41:Z47">
    <cfRule type="notContainsBlanks" dxfId="2875" priority="276" stopIfTrue="1">
      <formula>LEN(TRIM(Z41))&gt;0</formula>
    </cfRule>
  </conditionalFormatting>
  <conditionalFormatting sqref="AA41:AA47">
    <cfRule type="containsBlanks" dxfId="2874" priority="277" stopIfTrue="1">
      <formula>LEN(TRIM(AA41))=0</formula>
    </cfRule>
  </conditionalFormatting>
  <conditionalFormatting sqref="AA41:AA47">
    <cfRule type="expression" dxfId="2873" priority="278" stopIfTrue="1">
      <formula>SUM($AA$41:$AA$47)&lt;&gt;1</formula>
    </cfRule>
  </conditionalFormatting>
  <conditionalFormatting sqref="AA41:AA47">
    <cfRule type="notContainsBlanks" dxfId="2872" priority="279" stopIfTrue="1">
      <formula>LEN(TRIM(AA41))&gt;0</formula>
    </cfRule>
  </conditionalFormatting>
  <conditionalFormatting sqref="AB41:AB47">
    <cfRule type="containsBlanks" dxfId="2871" priority="280" stopIfTrue="1">
      <formula>LEN(TRIM(AB41))=0</formula>
    </cfRule>
  </conditionalFormatting>
  <conditionalFormatting sqref="AB41:AB47">
    <cfRule type="expression" dxfId="2870" priority="281" stopIfTrue="1">
      <formula>SUM($AB$41:$AB$47)&lt;&gt;1</formula>
    </cfRule>
  </conditionalFormatting>
  <conditionalFormatting sqref="AB41:AB47">
    <cfRule type="notContainsBlanks" dxfId="2869" priority="282" stopIfTrue="1">
      <formula>LEN(TRIM(AB41))&gt;0</formula>
    </cfRule>
  </conditionalFormatting>
  <conditionalFormatting sqref="AC41:AC47">
    <cfRule type="containsBlanks" dxfId="2868" priority="283" stopIfTrue="1">
      <formula>LEN(TRIM(AC41))=0</formula>
    </cfRule>
  </conditionalFormatting>
  <conditionalFormatting sqref="AC41:AC47">
    <cfRule type="expression" dxfId="2867" priority="284" stopIfTrue="1">
      <formula>SUM($AC$41:$AC$47)&lt;&gt;1</formula>
    </cfRule>
  </conditionalFormatting>
  <conditionalFormatting sqref="AC41:AC47">
    <cfRule type="notContainsBlanks" dxfId="2866" priority="285" stopIfTrue="1">
      <formula>LEN(TRIM(AC41))&gt;0</formula>
    </cfRule>
  </conditionalFormatting>
  <conditionalFormatting sqref="AD41:AD47">
    <cfRule type="containsBlanks" dxfId="2865" priority="286" stopIfTrue="1">
      <formula>LEN(TRIM(AD41))=0</formula>
    </cfRule>
  </conditionalFormatting>
  <conditionalFormatting sqref="AD41:AD47">
    <cfRule type="expression" dxfId="2864" priority="287" stopIfTrue="1">
      <formula>SUM($AD$41:$AD$47)&lt;&gt;1</formula>
    </cfRule>
  </conditionalFormatting>
  <conditionalFormatting sqref="AD41:AD47">
    <cfRule type="notContainsBlanks" dxfId="2863" priority="288" stopIfTrue="1">
      <formula>LEN(TRIM(AD41))&gt;0</formula>
    </cfRule>
  </conditionalFormatting>
  <conditionalFormatting sqref="AE41:AE47">
    <cfRule type="containsBlanks" dxfId="2862" priority="289" stopIfTrue="1">
      <formula>LEN(TRIM(AE41))=0</formula>
    </cfRule>
  </conditionalFormatting>
  <conditionalFormatting sqref="AE41:AE47">
    <cfRule type="expression" dxfId="2861" priority="290" stopIfTrue="1">
      <formula>SUM($AE$41:$AE$47)&lt;&gt;1</formula>
    </cfRule>
  </conditionalFormatting>
  <conditionalFormatting sqref="AE41:AE47">
    <cfRule type="notContainsBlanks" dxfId="2860" priority="291" stopIfTrue="1">
      <formula>LEN(TRIM(AE41))&gt;0</formula>
    </cfRule>
  </conditionalFormatting>
  <conditionalFormatting sqref="AF41:AF47">
    <cfRule type="containsBlanks" dxfId="2859" priority="292" stopIfTrue="1">
      <formula>LEN(TRIM(AF41))=0</formula>
    </cfRule>
  </conditionalFormatting>
  <conditionalFormatting sqref="AF41:AF47">
    <cfRule type="expression" dxfId="2858" priority="293" stopIfTrue="1">
      <formula>SUM($AF$41:$AF$47)&lt;&gt;1</formula>
    </cfRule>
  </conditionalFormatting>
  <conditionalFormatting sqref="AF41:AF47">
    <cfRule type="notContainsBlanks" dxfId="2857" priority="294" stopIfTrue="1">
      <formula>LEN(TRIM(AF41))&gt;0</formula>
    </cfRule>
  </conditionalFormatting>
  <conditionalFormatting sqref="AG41:AG47">
    <cfRule type="containsBlanks" dxfId="2856" priority="295" stopIfTrue="1">
      <formula>LEN(TRIM(AG41))=0</formula>
    </cfRule>
  </conditionalFormatting>
  <conditionalFormatting sqref="AG41:AG47">
    <cfRule type="expression" dxfId="2855" priority="296" stopIfTrue="1">
      <formula>SUM($AG$41:$AG$47)&lt;&gt;1</formula>
    </cfRule>
  </conditionalFormatting>
  <conditionalFormatting sqref="AG41:AG47">
    <cfRule type="notContainsBlanks" dxfId="2854" priority="297" stopIfTrue="1">
      <formula>LEN(TRIM(AG41))&gt;0</formula>
    </cfRule>
  </conditionalFormatting>
  <conditionalFormatting sqref="AH41:AH47">
    <cfRule type="containsBlanks" dxfId="2853" priority="298" stopIfTrue="1">
      <formula>LEN(TRIM(AH41))=0</formula>
    </cfRule>
  </conditionalFormatting>
  <conditionalFormatting sqref="AH41:AH47">
    <cfRule type="expression" dxfId="2852" priority="299" stopIfTrue="1">
      <formula>SUM($AH$41:$AH$47)&lt;&gt;1</formula>
    </cfRule>
  </conditionalFormatting>
  <conditionalFormatting sqref="AH41:AH47">
    <cfRule type="notContainsBlanks" dxfId="2851" priority="300" stopIfTrue="1">
      <formula>LEN(TRIM(AH41))&gt;0</formula>
    </cfRule>
  </conditionalFormatting>
  <conditionalFormatting sqref="AI41:AI47">
    <cfRule type="containsBlanks" dxfId="2850" priority="301" stopIfTrue="1">
      <formula>LEN(TRIM(AI41))=0</formula>
    </cfRule>
  </conditionalFormatting>
  <conditionalFormatting sqref="AI41:AI47">
    <cfRule type="expression" dxfId="2849" priority="302" stopIfTrue="1">
      <formula>SUM($AI$41:$AI$47)&lt;&gt;1</formula>
    </cfRule>
  </conditionalFormatting>
  <conditionalFormatting sqref="AI41:AI47">
    <cfRule type="notContainsBlanks" dxfId="2848" priority="303" stopIfTrue="1">
      <formula>LEN(TRIM(AI41))&gt;0</formula>
    </cfRule>
  </conditionalFormatting>
  <conditionalFormatting sqref="AJ41:AJ47">
    <cfRule type="containsBlanks" dxfId="2847" priority="304" stopIfTrue="1">
      <formula>LEN(TRIM(AJ41))=0</formula>
    </cfRule>
  </conditionalFormatting>
  <conditionalFormatting sqref="AJ41:AJ47">
    <cfRule type="expression" dxfId="2846" priority="305" stopIfTrue="1">
      <formula>SUM($AJ$41:$AJ$47)&lt;&gt;1</formula>
    </cfRule>
  </conditionalFormatting>
  <conditionalFormatting sqref="AJ41:AJ47">
    <cfRule type="notContainsBlanks" dxfId="2845" priority="306" stopIfTrue="1">
      <formula>LEN(TRIM(AJ41))&gt;0</formula>
    </cfRule>
  </conditionalFormatting>
  <conditionalFormatting sqref="AK41:AK47">
    <cfRule type="containsBlanks" dxfId="2844" priority="307" stopIfTrue="1">
      <formula>LEN(TRIM(AK41))=0</formula>
    </cfRule>
  </conditionalFormatting>
  <conditionalFormatting sqref="AK41:AK47">
    <cfRule type="expression" dxfId="2843" priority="308" stopIfTrue="1">
      <formula>SUM($AK$41:$AK$47)&lt;&gt;1</formula>
    </cfRule>
  </conditionalFormatting>
  <conditionalFormatting sqref="AK41:AK47">
    <cfRule type="notContainsBlanks" dxfId="2842" priority="309" stopIfTrue="1">
      <formula>LEN(TRIM(AK41))&gt;0</formula>
    </cfRule>
  </conditionalFormatting>
  <conditionalFormatting sqref="AL41:AL47">
    <cfRule type="containsBlanks" dxfId="2841" priority="310" stopIfTrue="1">
      <formula>LEN(TRIM(AL41))=0</formula>
    </cfRule>
  </conditionalFormatting>
  <conditionalFormatting sqref="AL41:AL47">
    <cfRule type="expression" dxfId="2840" priority="311" stopIfTrue="1">
      <formula>SUM($AL$41:$AL$47)&lt;&gt;1</formula>
    </cfRule>
  </conditionalFormatting>
  <conditionalFormatting sqref="AL41:AL47">
    <cfRule type="notContainsBlanks" dxfId="2839" priority="312" stopIfTrue="1">
      <formula>LEN(TRIM(AL41))&gt;0</formula>
    </cfRule>
  </conditionalFormatting>
  <conditionalFormatting sqref="E32:E38">
    <cfRule type="containsBlanks" dxfId="2838" priority="327" stopIfTrue="1">
      <formula>LEN(TRIM(E32))=0</formula>
    </cfRule>
    <cfRule type="expression" dxfId="2837" priority="328" stopIfTrue="1">
      <formula>SUM($E$32:$E$38)&lt;&gt;1</formula>
    </cfRule>
    <cfRule type="notContainsBlanks" dxfId="2836" priority="329" stopIfTrue="1">
      <formula>LEN(TRIM(E32))&gt;0</formula>
    </cfRule>
  </conditionalFormatting>
  <conditionalFormatting sqref="F32:F38">
    <cfRule type="containsBlanks" dxfId="2835" priority="330" stopIfTrue="1">
      <formula>LEN(TRIM(F32))=0</formula>
    </cfRule>
    <cfRule type="expression" dxfId="2834" priority="331" stopIfTrue="1">
      <formula>SUM($F$32:$F$38)&lt;&gt;1</formula>
    </cfRule>
    <cfRule type="notContainsBlanks" dxfId="2833" priority="332" stopIfTrue="1">
      <formula>LEN(TRIM(F32))&gt;0</formula>
    </cfRule>
  </conditionalFormatting>
  <conditionalFormatting sqref="G32:G38">
    <cfRule type="containsBlanks" dxfId="2832" priority="333" stopIfTrue="1">
      <formula>LEN(TRIM(G32))=0</formula>
    </cfRule>
    <cfRule type="expression" dxfId="2831" priority="334" stopIfTrue="1">
      <formula>SUM($G$32:$G$38)&lt;&gt;1</formula>
    </cfRule>
    <cfRule type="notContainsBlanks" dxfId="2830" priority="335" stopIfTrue="1">
      <formula>LEN(TRIM(G32))&gt;0</formula>
    </cfRule>
  </conditionalFormatting>
  <conditionalFormatting sqref="H32:H38">
    <cfRule type="containsBlanks" dxfId="2829" priority="336" stopIfTrue="1">
      <formula>LEN(TRIM(H32))=0</formula>
    </cfRule>
    <cfRule type="expression" dxfId="2828" priority="337" stopIfTrue="1">
      <formula>SUM($H$32:$H$38)&lt;&gt;1</formula>
    </cfRule>
    <cfRule type="notContainsBlanks" dxfId="2827" priority="338" stopIfTrue="1">
      <formula>LEN(TRIM(H32))&gt;0</formula>
    </cfRule>
  </conditionalFormatting>
  <conditionalFormatting sqref="I32:I38">
    <cfRule type="containsBlanks" dxfId="2826" priority="339" stopIfTrue="1">
      <formula>LEN(TRIM(I32))=0</formula>
    </cfRule>
    <cfRule type="expression" dxfId="2825" priority="340" stopIfTrue="1">
      <formula>SUM($I$32:$I$38)&lt;&gt;1</formula>
    </cfRule>
    <cfRule type="notContainsBlanks" dxfId="2824" priority="341" stopIfTrue="1">
      <formula>LEN(TRIM(I32))&gt;0</formula>
    </cfRule>
  </conditionalFormatting>
  <conditionalFormatting sqref="J32:J38">
    <cfRule type="containsBlanks" dxfId="2823" priority="342" stopIfTrue="1">
      <formula>LEN(TRIM(J32))=0</formula>
    </cfRule>
    <cfRule type="expression" dxfId="2822" priority="343" stopIfTrue="1">
      <formula>SUM($J$32:$J$38)&lt;&gt;1</formula>
    </cfRule>
    <cfRule type="notContainsBlanks" dxfId="2821" priority="344" stopIfTrue="1">
      <formula>LEN(TRIM(J32))&gt;0</formula>
    </cfRule>
  </conditionalFormatting>
  <conditionalFormatting sqref="K32:K38">
    <cfRule type="containsBlanks" dxfId="2820" priority="345" stopIfTrue="1">
      <formula>LEN(TRIM(K32))=0</formula>
    </cfRule>
  </conditionalFormatting>
  <conditionalFormatting sqref="K32:K38">
    <cfRule type="expression" dxfId="2819" priority="346" stopIfTrue="1">
      <formula>SUM($K$32:$K$38)&lt;&gt;1</formula>
    </cfRule>
  </conditionalFormatting>
  <conditionalFormatting sqref="K32:K38">
    <cfRule type="notContainsBlanks" dxfId="2818" priority="347" stopIfTrue="1">
      <formula>LEN(TRIM(K32))&gt;0</formula>
    </cfRule>
  </conditionalFormatting>
  <conditionalFormatting sqref="L32:L38">
    <cfRule type="containsBlanks" dxfId="2817" priority="348" stopIfTrue="1">
      <formula>LEN(TRIM(L32))=0</formula>
    </cfRule>
  </conditionalFormatting>
  <conditionalFormatting sqref="L32:L38">
    <cfRule type="expression" dxfId="2816" priority="349" stopIfTrue="1">
      <formula>SUM($L$32:$L$38)&lt;&gt;1</formula>
    </cfRule>
  </conditionalFormatting>
  <conditionalFormatting sqref="L32:L38">
    <cfRule type="notContainsBlanks" dxfId="2815" priority="350" stopIfTrue="1">
      <formula>LEN(TRIM(L32))&gt;0</formula>
    </cfRule>
  </conditionalFormatting>
  <conditionalFormatting sqref="M32:M38">
    <cfRule type="containsBlanks" dxfId="2814" priority="351" stopIfTrue="1">
      <formula>LEN(TRIM(M32))=0</formula>
    </cfRule>
  </conditionalFormatting>
  <conditionalFormatting sqref="M32:M38">
    <cfRule type="expression" dxfId="2813" priority="352" stopIfTrue="1">
      <formula>SUM($M$32:$M$38)&lt;&gt;1</formula>
    </cfRule>
  </conditionalFormatting>
  <conditionalFormatting sqref="M32:M38">
    <cfRule type="notContainsBlanks" dxfId="2812" priority="353" stopIfTrue="1">
      <formula>LEN(TRIM(M32))&gt;0</formula>
    </cfRule>
  </conditionalFormatting>
  <conditionalFormatting sqref="N32:N38">
    <cfRule type="containsBlanks" dxfId="2811" priority="354" stopIfTrue="1">
      <formula>LEN(TRIM(N32))=0</formula>
    </cfRule>
  </conditionalFormatting>
  <conditionalFormatting sqref="N32:N38">
    <cfRule type="expression" dxfId="2810" priority="355" stopIfTrue="1">
      <formula>SUM($N$32:$N$38)&lt;&gt;1</formula>
    </cfRule>
  </conditionalFormatting>
  <conditionalFormatting sqref="N32:N38">
    <cfRule type="notContainsBlanks" dxfId="2809" priority="356" stopIfTrue="1">
      <formula>LEN(TRIM(N32))&gt;0</formula>
    </cfRule>
  </conditionalFormatting>
  <conditionalFormatting sqref="O32:O38">
    <cfRule type="containsBlanks" dxfId="2808" priority="357" stopIfTrue="1">
      <formula>LEN(TRIM(O32))=0</formula>
    </cfRule>
  </conditionalFormatting>
  <conditionalFormatting sqref="O32:O38">
    <cfRule type="expression" dxfId="2807" priority="358" stopIfTrue="1">
      <formula>SUM($O$32:$O$38)&lt;&gt;1</formula>
    </cfRule>
  </conditionalFormatting>
  <conditionalFormatting sqref="O32:O38">
    <cfRule type="notContainsBlanks" dxfId="2806" priority="359" stopIfTrue="1">
      <formula>LEN(TRIM(O32))&gt;0</formula>
    </cfRule>
  </conditionalFormatting>
  <conditionalFormatting sqref="P32:P38">
    <cfRule type="containsBlanks" dxfId="2805" priority="360" stopIfTrue="1">
      <formula>LEN(TRIM(P32))=0</formula>
    </cfRule>
  </conditionalFormatting>
  <conditionalFormatting sqref="P32:P38">
    <cfRule type="expression" dxfId="2804" priority="361" stopIfTrue="1">
      <formula>SUM($P$32:$P$38)&lt;&gt;1</formula>
    </cfRule>
  </conditionalFormatting>
  <conditionalFormatting sqref="P32:P38">
    <cfRule type="notContainsBlanks" dxfId="2803" priority="362" stopIfTrue="1">
      <formula>LEN(TRIM(P32))&gt;0</formula>
    </cfRule>
  </conditionalFormatting>
  <conditionalFormatting sqref="Q32:Q38">
    <cfRule type="containsBlanks" dxfId="2802" priority="363" stopIfTrue="1">
      <formula>LEN(TRIM(Q32))=0</formula>
    </cfRule>
  </conditionalFormatting>
  <conditionalFormatting sqref="Q32:Q38">
    <cfRule type="expression" dxfId="2801" priority="364" stopIfTrue="1">
      <formula>SUM($Q$32:$Q$38)&lt;&gt;1</formula>
    </cfRule>
  </conditionalFormatting>
  <conditionalFormatting sqref="Q32:Q38">
    <cfRule type="notContainsBlanks" dxfId="2800" priority="365" stopIfTrue="1">
      <formula>LEN(TRIM(Q32))&gt;0</formula>
    </cfRule>
  </conditionalFormatting>
  <conditionalFormatting sqref="R32:R38">
    <cfRule type="containsBlanks" dxfId="2799" priority="366" stopIfTrue="1">
      <formula>LEN(TRIM(R32))=0</formula>
    </cfRule>
  </conditionalFormatting>
  <conditionalFormatting sqref="R32:R38">
    <cfRule type="expression" dxfId="2798" priority="367" stopIfTrue="1">
      <formula>SUM($R$32:$R$38)&lt;&gt;1</formula>
    </cfRule>
  </conditionalFormatting>
  <conditionalFormatting sqref="R32:R38">
    <cfRule type="notContainsBlanks" dxfId="2797" priority="368" stopIfTrue="1">
      <formula>LEN(TRIM(R32))&gt;0</formula>
    </cfRule>
  </conditionalFormatting>
  <conditionalFormatting sqref="S32:S38">
    <cfRule type="containsBlanks" dxfId="2796" priority="369" stopIfTrue="1">
      <formula>LEN(TRIM(S32))=0</formula>
    </cfRule>
  </conditionalFormatting>
  <conditionalFormatting sqref="S32:S38">
    <cfRule type="expression" dxfId="2795" priority="370" stopIfTrue="1">
      <formula>SUM($S$32:$S$38)&lt;&gt;1</formula>
    </cfRule>
  </conditionalFormatting>
  <conditionalFormatting sqref="S32:S38">
    <cfRule type="notContainsBlanks" dxfId="2794" priority="371" stopIfTrue="1">
      <formula>LEN(TRIM(S32))&gt;0</formula>
    </cfRule>
  </conditionalFormatting>
  <conditionalFormatting sqref="T32:T38">
    <cfRule type="containsBlanks" dxfId="2793" priority="372" stopIfTrue="1">
      <formula>LEN(TRIM(T32))=0</formula>
    </cfRule>
  </conditionalFormatting>
  <conditionalFormatting sqref="T32:T38">
    <cfRule type="expression" dxfId="2792" priority="373" stopIfTrue="1">
      <formula>SUM($T$32:$T$38)&lt;&gt;1</formula>
    </cfRule>
  </conditionalFormatting>
  <conditionalFormatting sqref="T32:T38">
    <cfRule type="notContainsBlanks" dxfId="2791" priority="374" stopIfTrue="1">
      <formula>LEN(TRIM(T32))&gt;0</formula>
    </cfRule>
  </conditionalFormatting>
  <conditionalFormatting sqref="U32:U38">
    <cfRule type="containsBlanks" dxfId="2790" priority="375" stopIfTrue="1">
      <formula>LEN(TRIM(U32))=0</formula>
    </cfRule>
  </conditionalFormatting>
  <conditionalFormatting sqref="U32:U38">
    <cfRule type="expression" dxfId="2789" priority="376" stopIfTrue="1">
      <formula>SUM($U$32:$U$38)&lt;&gt;1</formula>
    </cfRule>
  </conditionalFormatting>
  <conditionalFormatting sqref="U32:U38">
    <cfRule type="notContainsBlanks" dxfId="2788" priority="377" stopIfTrue="1">
      <formula>LEN(TRIM(U32))&gt;0</formula>
    </cfRule>
  </conditionalFormatting>
  <conditionalFormatting sqref="V32:V38">
    <cfRule type="containsBlanks" dxfId="2787" priority="378" stopIfTrue="1">
      <formula>LEN(TRIM(V32))=0</formula>
    </cfRule>
  </conditionalFormatting>
  <conditionalFormatting sqref="V32:V38">
    <cfRule type="expression" dxfId="2786" priority="379" stopIfTrue="1">
      <formula>SUM($V$32:$V$38)&lt;&gt;1</formula>
    </cfRule>
  </conditionalFormatting>
  <conditionalFormatting sqref="V32:V38">
    <cfRule type="notContainsBlanks" dxfId="2785" priority="380" stopIfTrue="1">
      <formula>LEN(TRIM(V32))&gt;0</formula>
    </cfRule>
  </conditionalFormatting>
  <conditionalFormatting sqref="W32:W38">
    <cfRule type="containsBlanks" dxfId="2784" priority="381" stopIfTrue="1">
      <formula>LEN(TRIM(W32))=0</formula>
    </cfRule>
  </conditionalFormatting>
  <conditionalFormatting sqref="W32:W38">
    <cfRule type="expression" dxfId="2783" priority="382" stopIfTrue="1">
      <formula>SUM($W$32:$W$38)&lt;&gt;1</formula>
    </cfRule>
  </conditionalFormatting>
  <conditionalFormatting sqref="W32:W38">
    <cfRule type="notContainsBlanks" dxfId="2782" priority="383" stopIfTrue="1">
      <formula>LEN(TRIM(W32))&gt;0</formula>
    </cfRule>
  </conditionalFormatting>
  <conditionalFormatting sqref="X32:X38">
    <cfRule type="containsBlanks" dxfId="2781" priority="384" stopIfTrue="1">
      <formula>LEN(TRIM(X32))=0</formula>
    </cfRule>
  </conditionalFormatting>
  <conditionalFormatting sqref="X32:X38">
    <cfRule type="expression" dxfId="2780" priority="385" stopIfTrue="1">
      <formula>SUM($X$32:$X$38)&lt;&gt;1</formula>
    </cfRule>
  </conditionalFormatting>
  <conditionalFormatting sqref="X32:X38">
    <cfRule type="notContainsBlanks" dxfId="2779" priority="386" stopIfTrue="1">
      <formula>LEN(TRIM(X32))&gt;0</formula>
    </cfRule>
  </conditionalFormatting>
  <conditionalFormatting sqref="Y32:Y38">
    <cfRule type="containsBlanks" dxfId="2778" priority="387" stopIfTrue="1">
      <formula>LEN(TRIM(Y32))=0</formula>
    </cfRule>
  </conditionalFormatting>
  <conditionalFormatting sqref="Y32:Y38">
    <cfRule type="expression" dxfId="2777" priority="388" stopIfTrue="1">
      <formula>SUM($Y$32:$Y$38)&lt;&gt;1</formula>
    </cfRule>
  </conditionalFormatting>
  <conditionalFormatting sqref="Y32:Y38">
    <cfRule type="notContainsBlanks" dxfId="2776" priority="389" stopIfTrue="1">
      <formula>LEN(TRIM(Y32))&gt;0</formula>
    </cfRule>
  </conditionalFormatting>
  <conditionalFormatting sqref="Z32:Z38">
    <cfRule type="containsBlanks" dxfId="2775" priority="390" stopIfTrue="1">
      <formula>LEN(TRIM(Z32))=0</formula>
    </cfRule>
  </conditionalFormatting>
  <conditionalFormatting sqref="Z32:Z38">
    <cfRule type="expression" dxfId="2774" priority="391" stopIfTrue="1">
      <formula>SUM($Z$32:$Z$38)&lt;&gt;1</formula>
    </cfRule>
  </conditionalFormatting>
  <conditionalFormatting sqref="Z32:Z38">
    <cfRule type="notContainsBlanks" dxfId="2773" priority="392" stopIfTrue="1">
      <formula>LEN(TRIM(Z32))&gt;0</formula>
    </cfRule>
  </conditionalFormatting>
  <conditionalFormatting sqref="AA32:AA38">
    <cfRule type="containsBlanks" dxfId="2772" priority="393" stopIfTrue="1">
      <formula>LEN(TRIM(AA32))=0</formula>
    </cfRule>
  </conditionalFormatting>
  <conditionalFormatting sqref="AA32:AA38">
    <cfRule type="expression" dxfId="2771" priority="394" stopIfTrue="1">
      <formula>SUM($AA$32:$AA$38)&lt;&gt;1</formula>
    </cfRule>
  </conditionalFormatting>
  <conditionalFormatting sqref="AA32:AA38">
    <cfRule type="notContainsBlanks" dxfId="2770" priority="395" stopIfTrue="1">
      <formula>LEN(TRIM(AA32))&gt;0</formula>
    </cfRule>
  </conditionalFormatting>
  <conditionalFormatting sqref="AB32:AB38">
    <cfRule type="containsBlanks" dxfId="2769" priority="396" stopIfTrue="1">
      <formula>LEN(TRIM(AB32))=0</formula>
    </cfRule>
  </conditionalFormatting>
  <conditionalFormatting sqref="AB32:AB38">
    <cfRule type="expression" dxfId="2768" priority="397" stopIfTrue="1">
      <formula>SUM($AB$32:$AB$38)&lt;&gt;1</formula>
    </cfRule>
  </conditionalFormatting>
  <conditionalFormatting sqref="AB32:AB38">
    <cfRule type="notContainsBlanks" dxfId="2767" priority="398" stopIfTrue="1">
      <formula>LEN(TRIM(AB32))&gt;0</formula>
    </cfRule>
  </conditionalFormatting>
  <conditionalFormatting sqref="AC32:AC38">
    <cfRule type="containsBlanks" dxfId="2766" priority="399" stopIfTrue="1">
      <formula>LEN(TRIM(AC32))=0</formula>
    </cfRule>
  </conditionalFormatting>
  <conditionalFormatting sqref="AC32:AC38">
    <cfRule type="expression" dxfId="2765" priority="400" stopIfTrue="1">
      <formula>SUM($AC$32:$AC$38)&lt;&gt;1</formula>
    </cfRule>
  </conditionalFormatting>
  <conditionalFormatting sqref="AC32:AC38">
    <cfRule type="notContainsBlanks" dxfId="2764" priority="401" stopIfTrue="1">
      <formula>LEN(TRIM(AC32))&gt;0</formula>
    </cfRule>
  </conditionalFormatting>
  <conditionalFormatting sqref="AD32:AD38">
    <cfRule type="containsBlanks" dxfId="2763" priority="402" stopIfTrue="1">
      <formula>LEN(TRIM(AD32))=0</formula>
    </cfRule>
  </conditionalFormatting>
  <conditionalFormatting sqref="AD32:AD38">
    <cfRule type="expression" dxfId="2762" priority="403" stopIfTrue="1">
      <formula>SUM($AD$32:$AD$38)&lt;&gt;1</formula>
    </cfRule>
  </conditionalFormatting>
  <conditionalFormatting sqref="AD32:AD38">
    <cfRule type="notContainsBlanks" dxfId="2761" priority="404" stopIfTrue="1">
      <formula>LEN(TRIM(AD32))&gt;0</formula>
    </cfRule>
  </conditionalFormatting>
  <conditionalFormatting sqref="AE32:AE38">
    <cfRule type="containsBlanks" dxfId="2760" priority="405" stopIfTrue="1">
      <formula>LEN(TRIM(AE32))=0</formula>
    </cfRule>
  </conditionalFormatting>
  <conditionalFormatting sqref="AE32:AE38">
    <cfRule type="expression" dxfId="2759" priority="406" stopIfTrue="1">
      <formula>SUM($AE$32:$AE$38)&lt;&gt;1</formula>
    </cfRule>
  </conditionalFormatting>
  <conditionalFormatting sqref="AE32:AE38">
    <cfRule type="notContainsBlanks" dxfId="2758" priority="407" stopIfTrue="1">
      <formula>LEN(TRIM(AE32))&gt;0</formula>
    </cfRule>
  </conditionalFormatting>
  <conditionalFormatting sqref="AF32:AF38">
    <cfRule type="containsBlanks" dxfId="2757" priority="408" stopIfTrue="1">
      <formula>LEN(TRIM(AF32))=0</formula>
    </cfRule>
  </conditionalFormatting>
  <conditionalFormatting sqref="AF32:AF38">
    <cfRule type="expression" dxfId="2756" priority="409" stopIfTrue="1">
      <formula>SUM($AF$32:$AF$38)&lt;&gt;1</formula>
    </cfRule>
  </conditionalFormatting>
  <conditionalFormatting sqref="AF32:AF38">
    <cfRule type="notContainsBlanks" dxfId="2755" priority="410" stopIfTrue="1">
      <formula>LEN(TRIM(AF32))&gt;0</formula>
    </cfRule>
  </conditionalFormatting>
  <conditionalFormatting sqref="AG32:AG38">
    <cfRule type="containsBlanks" dxfId="2754" priority="411" stopIfTrue="1">
      <formula>LEN(TRIM(AG32))=0</formula>
    </cfRule>
  </conditionalFormatting>
  <conditionalFormatting sqref="AG32:AG38">
    <cfRule type="expression" dxfId="2753" priority="412" stopIfTrue="1">
      <formula>SUM($AG$32:$AG$38)&lt;&gt;1</formula>
    </cfRule>
  </conditionalFormatting>
  <conditionalFormatting sqref="AG32:AG38">
    <cfRule type="notContainsBlanks" dxfId="2752" priority="413" stopIfTrue="1">
      <formula>LEN(TRIM(AG32))&gt;0</formula>
    </cfRule>
  </conditionalFormatting>
  <conditionalFormatting sqref="AH32:AH38">
    <cfRule type="containsBlanks" dxfId="2751" priority="414" stopIfTrue="1">
      <formula>LEN(TRIM(AH32))=0</formula>
    </cfRule>
  </conditionalFormatting>
  <conditionalFormatting sqref="AH32:AH38">
    <cfRule type="expression" dxfId="2750" priority="415" stopIfTrue="1">
      <formula>SUM($AH$32:$AH$38)&lt;&gt;1</formula>
    </cfRule>
  </conditionalFormatting>
  <conditionalFormatting sqref="AH32:AH38">
    <cfRule type="notContainsBlanks" dxfId="2749" priority="416" stopIfTrue="1">
      <formula>LEN(TRIM(AH32))&gt;0</formula>
    </cfRule>
  </conditionalFormatting>
  <conditionalFormatting sqref="AI32:AI38">
    <cfRule type="containsBlanks" dxfId="2748" priority="417" stopIfTrue="1">
      <formula>LEN(TRIM(AI32))=0</formula>
    </cfRule>
  </conditionalFormatting>
  <conditionalFormatting sqref="AI32:AI38">
    <cfRule type="expression" dxfId="2747" priority="418" stopIfTrue="1">
      <formula>SUM($AI$32:$AI$38)&lt;&gt;1</formula>
    </cfRule>
  </conditionalFormatting>
  <conditionalFormatting sqref="AI32:AI38">
    <cfRule type="notContainsBlanks" dxfId="2746" priority="419" stopIfTrue="1">
      <formula>LEN(TRIM(AI32))&gt;0</formula>
    </cfRule>
  </conditionalFormatting>
  <conditionalFormatting sqref="AJ32:AJ38">
    <cfRule type="containsBlanks" dxfId="2745" priority="420" stopIfTrue="1">
      <formula>LEN(TRIM(AJ32))=0</formula>
    </cfRule>
  </conditionalFormatting>
  <conditionalFormatting sqref="AJ32:AJ38">
    <cfRule type="expression" dxfId="2744" priority="421" stopIfTrue="1">
      <formula>SUM($AJ$32:$AJ$38)&lt;&gt;1</formula>
    </cfRule>
  </conditionalFormatting>
  <conditionalFormatting sqref="AJ32:AJ38">
    <cfRule type="notContainsBlanks" dxfId="2743" priority="422" stopIfTrue="1">
      <formula>LEN(TRIM(AJ32))&gt;0</formula>
    </cfRule>
  </conditionalFormatting>
  <conditionalFormatting sqref="AK32:AK38">
    <cfRule type="containsBlanks" dxfId="2742" priority="423" stopIfTrue="1">
      <formula>LEN(TRIM(AK32))=0</formula>
    </cfRule>
  </conditionalFormatting>
  <conditionalFormatting sqref="AK32:AK38">
    <cfRule type="expression" dxfId="2741" priority="424" stopIfTrue="1">
      <formula>SUM($AK$32:$AK$38)&lt;&gt;1</formula>
    </cfRule>
  </conditionalFormatting>
  <conditionalFormatting sqref="AK32:AK38">
    <cfRule type="notContainsBlanks" dxfId="2740" priority="425" stopIfTrue="1">
      <formula>LEN(TRIM(AK32))&gt;0</formula>
    </cfRule>
  </conditionalFormatting>
  <conditionalFormatting sqref="AL32:AL38">
    <cfRule type="containsBlanks" dxfId="2739" priority="426" stopIfTrue="1">
      <formula>LEN(TRIM(AL32))=0</formula>
    </cfRule>
  </conditionalFormatting>
  <conditionalFormatting sqref="AL32:AL38">
    <cfRule type="expression" dxfId="2738" priority="427" stopIfTrue="1">
      <formula>SUM($AL$32:$AL$38)&lt;&gt;1</formula>
    </cfRule>
  </conditionalFormatting>
  <conditionalFormatting sqref="AL32:AL38">
    <cfRule type="notContainsBlanks" dxfId="2737" priority="428" stopIfTrue="1">
      <formula>LEN(TRIM(AL32))&gt;0</formula>
    </cfRule>
  </conditionalFormatting>
  <conditionalFormatting sqref="E21:AL21">
    <cfRule type="containsBlanks" dxfId="2736" priority="429" stopIfTrue="1">
      <formula>LEN(TRIM(E21))=0</formula>
    </cfRule>
  </conditionalFormatting>
  <conditionalFormatting sqref="E21:AL21">
    <cfRule type="notContainsBlanks" dxfId="2735" priority="430" stopIfTrue="1">
      <formula>LEN(TRIM(E21))&gt;0</formula>
    </cfRule>
  </conditionalFormatting>
  <conditionalFormatting sqref="E22:AL22">
    <cfRule type="containsBlanks" dxfId="2734" priority="431" stopIfTrue="1">
      <formula>LEN(TRIM(E22))=0</formula>
    </cfRule>
  </conditionalFormatting>
  <conditionalFormatting sqref="E22:AL22">
    <cfRule type="notContainsBlanks" dxfId="2733" priority="432" stopIfTrue="1">
      <formula>LEN(TRIM(E22))&gt;0</formula>
    </cfRule>
  </conditionalFormatting>
  <conditionalFormatting sqref="E24:AL24">
    <cfRule type="containsBlanks" dxfId="2732" priority="433" stopIfTrue="1">
      <formula>LEN(TRIM(E24))=0</formula>
    </cfRule>
  </conditionalFormatting>
  <conditionalFormatting sqref="E24:AL24">
    <cfRule type="notContainsBlanks" dxfId="2731" priority="434" stopIfTrue="1">
      <formula>LEN(TRIM(E24))&gt;0</formula>
    </cfRule>
  </conditionalFormatting>
  <conditionalFormatting sqref="E26:AL26">
    <cfRule type="containsBlanks" dxfId="2730" priority="435" stopIfTrue="1">
      <formula>LEN(TRIM(E26))=0</formula>
    </cfRule>
  </conditionalFormatting>
  <conditionalFormatting sqref="E26:AL26">
    <cfRule type="notContainsBlanks" dxfId="2729" priority="436" stopIfTrue="1">
      <formula>LEN(TRIM(E26))&gt;0</formula>
    </cfRule>
  </conditionalFormatting>
  <conditionalFormatting sqref="E27:AL27">
    <cfRule type="containsBlanks" dxfId="2728" priority="437" stopIfTrue="1">
      <formula>LEN(TRIM(E27))=0</formula>
    </cfRule>
  </conditionalFormatting>
  <conditionalFormatting sqref="E27:AL27">
    <cfRule type="notContainsBlanks" dxfId="2727" priority="438" stopIfTrue="1">
      <formula>LEN(TRIM(E27))&gt;0</formula>
    </cfRule>
  </conditionalFormatting>
  <conditionalFormatting sqref="E29:AL29">
    <cfRule type="containsBlanks" dxfId="2726" priority="439" stopIfTrue="1">
      <formula>LEN(TRIM(E29))=0</formula>
    </cfRule>
  </conditionalFormatting>
  <conditionalFormatting sqref="E29:AL29">
    <cfRule type="notContainsBlanks" dxfId="2725" priority="440" stopIfTrue="1">
      <formula>LEN(TRIM(E29))&gt;0</formula>
    </cfRule>
  </conditionalFormatting>
  <conditionalFormatting sqref="E13:AL13">
    <cfRule type="containsBlanks" dxfId="2724" priority="441" stopIfTrue="1">
      <formula>LEN(TRIM(E13))=0</formula>
    </cfRule>
  </conditionalFormatting>
  <conditionalFormatting sqref="E13:AL13">
    <cfRule type="notContainsBlanks" dxfId="2723" priority="442" stopIfTrue="1">
      <formula>LEN(TRIM(E13))&gt;0</formula>
    </cfRule>
  </conditionalFormatting>
  <conditionalFormatting sqref="E14:AL14">
    <cfRule type="containsBlanks" dxfId="2722" priority="443" stopIfTrue="1">
      <formula>LEN(TRIM(E14))=0</formula>
    </cfRule>
  </conditionalFormatting>
  <conditionalFormatting sqref="E14:AL14">
    <cfRule type="notContainsBlanks" dxfId="2721" priority="444" stopIfTrue="1">
      <formula>LEN(TRIM(E14))&gt;0</formula>
    </cfRule>
  </conditionalFormatting>
  <conditionalFormatting sqref="E15:AL15">
    <cfRule type="containsBlanks" dxfId="2720" priority="445" stopIfTrue="1">
      <formula>LEN(TRIM(E15))=0</formula>
    </cfRule>
  </conditionalFormatting>
  <conditionalFormatting sqref="E15:AL15">
    <cfRule type="notContainsBlanks" dxfId="2719" priority="446" stopIfTrue="1">
      <formula>LEN(TRIM(E15))&gt;0</formula>
    </cfRule>
  </conditionalFormatting>
  <conditionalFormatting sqref="E17:AL17">
    <cfRule type="containsBlanks" dxfId="2718" priority="447" stopIfTrue="1">
      <formula>LEN(TRIM(E17))=0</formula>
    </cfRule>
  </conditionalFormatting>
  <conditionalFormatting sqref="E17:AL17">
    <cfRule type="notContainsBlanks" dxfId="2717" priority="448" stopIfTrue="1">
      <formula>LEN(TRIM(E17))&gt;0</formula>
    </cfRule>
  </conditionalFormatting>
  <conditionalFormatting sqref="E5:AL5">
    <cfRule type="containsBlanks" dxfId="2716" priority="449" stopIfTrue="1">
      <formula>LEN(TRIM(E5))=0</formula>
    </cfRule>
  </conditionalFormatting>
  <conditionalFormatting sqref="E5:AL5">
    <cfRule type="notContainsBlanks" dxfId="2715" priority="450" stopIfTrue="1">
      <formula>LEN(TRIM(E5))&gt;0</formula>
    </cfRule>
  </conditionalFormatting>
  <conditionalFormatting sqref="E6:AL6">
    <cfRule type="containsBlanks" dxfId="2714" priority="451" stopIfTrue="1">
      <formula>LEN(TRIM(E6))=0</formula>
    </cfRule>
  </conditionalFormatting>
  <conditionalFormatting sqref="E6:AL6">
    <cfRule type="notContainsBlanks" dxfId="2713" priority="452" stopIfTrue="1">
      <formula>LEN(TRIM(E6))&gt;0</formula>
    </cfRule>
  </conditionalFormatting>
  <conditionalFormatting sqref="E7:AL7">
    <cfRule type="containsBlanks" dxfId="2712" priority="453" stopIfTrue="1">
      <formula>LEN(TRIM(E7))=0</formula>
    </cfRule>
  </conditionalFormatting>
  <conditionalFormatting sqref="E7:AL7">
    <cfRule type="notContainsBlanks" dxfId="2711" priority="454" stopIfTrue="1">
      <formula>LEN(TRIM(E7))&gt;0</formula>
    </cfRule>
  </conditionalFormatting>
  <conditionalFormatting sqref="E9:AL9">
    <cfRule type="containsBlanks" dxfId="2710" priority="455" stopIfTrue="1">
      <formula>LEN(TRIM(E9))=0</formula>
    </cfRule>
  </conditionalFormatting>
  <conditionalFormatting sqref="E9:AL9">
    <cfRule type="notContainsBlanks" dxfId="2709" priority="456" stopIfTrue="1">
      <formula>LEN(TRIM(E9))&gt;0</formula>
    </cfRule>
  </conditionalFormatting>
  <pageMargins left="0.7" right="0.7" top="0.75" bottom="0.75" header="0.3" footer="0.3"/>
  <customProperties>
    <customPr name="IsPC"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enableFormatConditionsCalculation="0"/>
  <dimension ref="B2:AM190"/>
  <sheetViews>
    <sheetView zoomScale="85" zoomScaleNormal="85" zoomScalePageLayoutView="85" workbookViewId="0">
      <selection activeCell="AM183" sqref="AM183"/>
    </sheetView>
  </sheetViews>
  <sheetFormatPr defaultColWidth="8.77734375" defaultRowHeight="14.4"/>
  <cols>
    <col min="1" max="1" width="8.77734375" style="9"/>
    <col min="2" max="2" width="3.6640625" style="9" customWidth="1"/>
    <col min="3" max="3" width="28.44140625" style="9" bestFit="1" customWidth="1"/>
    <col min="4" max="4" width="9.33203125" style="9" bestFit="1" customWidth="1"/>
    <col min="5" max="7" width="8" style="9" bestFit="1" customWidth="1"/>
    <col min="8" max="38" width="9" style="9" bestFit="1" customWidth="1"/>
    <col min="39" max="39" width="12.109375" style="9" bestFit="1" customWidth="1"/>
    <col min="40" max="16384" width="8.77734375" style="9"/>
  </cols>
  <sheetData>
    <row r="2" spans="2:39" ht="15">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row>
    <row r="3" spans="2:39" ht="15">
      <c r="B3" s="10"/>
      <c r="C3" s="22" t="s">
        <v>97</v>
      </c>
      <c r="D3" s="23"/>
      <c r="E3" s="24">
        <f t="array" ref="E3:AL3">_yS</f>
        <v>2019</v>
      </c>
      <c r="F3" s="24">
        <v>2020</v>
      </c>
      <c r="G3" s="24">
        <v>2021</v>
      </c>
      <c r="H3" s="24">
        <v>2022</v>
      </c>
      <c r="I3" s="24">
        <v>2023</v>
      </c>
      <c r="J3" s="24">
        <v>2024</v>
      </c>
      <c r="K3" s="24">
        <v>2025</v>
      </c>
      <c r="L3" s="24">
        <v>2026</v>
      </c>
      <c r="M3" s="24">
        <v>2027</v>
      </c>
      <c r="N3" s="24">
        <v>2028</v>
      </c>
      <c r="O3" s="24">
        <v>2029</v>
      </c>
      <c r="P3" s="24">
        <v>2030</v>
      </c>
      <c r="Q3" s="24">
        <v>2031</v>
      </c>
      <c r="R3" s="24">
        <v>2032</v>
      </c>
      <c r="S3" s="24">
        <v>2033</v>
      </c>
      <c r="T3" s="24">
        <v>2034</v>
      </c>
      <c r="U3" s="24">
        <v>2035</v>
      </c>
      <c r="V3" s="24">
        <v>2036</v>
      </c>
      <c r="W3" s="24">
        <v>2037</v>
      </c>
      <c r="X3" s="24">
        <v>2038</v>
      </c>
      <c r="Y3" s="24">
        <v>2039</v>
      </c>
      <c r="Z3" s="24">
        <v>2040</v>
      </c>
      <c r="AA3" s="24">
        <v>2041</v>
      </c>
      <c r="AB3" s="24">
        <v>2042</v>
      </c>
      <c r="AC3" s="24">
        <v>2043</v>
      </c>
      <c r="AD3" s="24">
        <v>2044</v>
      </c>
      <c r="AE3" s="24">
        <v>2045</v>
      </c>
      <c r="AF3" s="24">
        <v>2046</v>
      </c>
      <c r="AG3" s="24">
        <v>2047</v>
      </c>
      <c r="AH3" s="24">
        <v>2048</v>
      </c>
      <c r="AI3" s="24">
        <v>2049</v>
      </c>
      <c r="AJ3" s="24">
        <v>2050</v>
      </c>
      <c r="AK3" s="24">
        <v>2051</v>
      </c>
      <c r="AL3" s="25">
        <v>2052</v>
      </c>
      <c r="AM3" s="10"/>
    </row>
    <row r="4" spans="2:39" ht="15">
      <c r="B4" s="10"/>
      <c r="C4" s="57" t="str">
        <f ca="1">"Stds Case (CSL " &amp; stdCSL &amp; "): " &amp; INDEX(_doName,3,stdCSL+1)</f>
        <v>Stds Case (CSL 5): EL 5</v>
      </c>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3"/>
      <c r="AM4" s="10"/>
    </row>
    <row r="5" spans="2:39" ht="15">
      <c r="B5" s="10"/>
      <c r="C5" s="16" t="s">
        <v>94</v>
      </c>
      <c r="D5" s="12" t="str">
        <f>"th " &amp; _yearDol &amp; "$"</f>
        <v>th 2015$</v>
      </c>
      <c r="E5" s="13">
        <f t="array" aca="1" ref="E5:AL5" ca="1">tecs-tiec</f>
        <v>0</v>
      </c>
      <c r="F5" s="13">
        <f ca="1"/>
        <v>0</v>
      </c>
      <c r="G5" s="13">
        <f ca="1"/>
        <v>0</v>
      </c>
      <c r="H5" s="13">
        <f ca="1"/>
        <v>52890.626757731487</v>
      </c>
      <c r="I5" s="13">
        <f ca="1"/>
        <v>53391.416321228375</v>
      </c>
      <c r="J5" s="13">
        <f ca="1"/>
        <v>51904.728916668711</v>
      </c>
      <c r="K5" s="13">
        <f ca="1"/>
        <v>52382.559889995609</v>
      </c>
      <c r="L5" s="13">
        <f ca="1"/>
        <v>52832.552639670699</v>
      </c>
      <c r="M5" s="13">
        <f ca="1"/>
        <v>53268.235935250326</v>
      </c>
      <c r="N5" s="13">
        <f ca="1"/>
        <v>53655.568371686182</v>
      </c>
      <c r="O5" s="13">
        <f ca="1"/>
        <v>54044.263054052746</v>
      </c>
      <c r="P5" s="13">
        <f ca="1"/>
        <v>54476.566505945637</v>
      </c>
      <c r="Q5" s="13">
        <f ca="1"/>
        <v>54907.866961416119</v>
      </c>
      <c r="R5" s="13">
        <f ca="1"/>
        <v>57411.790697140066</v>
      </c>
      <c r="S5" s="13">
        <f ca="1"/>
        <v>60011.704154522798</v>
      </c>
      <c r="T5" s="13">
        <f ca="1"/>
        <v>60505.852905720414</v>
      </c>
      <c r="U5" s="13">
        <f ca="1"/>
        <v>63195.703076906211</v>
      </c>
      <c r="V5" s="13">
        <f ca="1"/>
        <v>65939.935352454369</v>
      </c>
      <c r="W5" s="13">
        <f ca="1"/>
        <v>66493.347803874407</v>
      </c>
      <c r="X5" s="13">
        <f ca="1"/>
        <v>67046.221284991712</v>
      </c>
      <c r="Y5" s="13">
        <f ca="1"/>
        <v>67599.920636185037</v>
      </c>
      <c r="Z5" s="13">
        <f ca="1"/>
        <v>68173.307897741382</v>
      </c>
      <c r="AA5" s="13">
        <f ca="1"/>
        <v>68942.910535498231</v>
      </c>
      <c r="AB5" s="13">
        <f ca="1"/>
        <v>69855.532288672344</v>
      </c>
      <c r="AC5" s="13">
        <f ca="1"/>
        <v>70779.047393320419</v>
      </c>
      <c r="AD5" s="13">
        <f ca="1"/>
        <v>71711.160782841209</v>
      </c>
      <c r="AE5" s="13">
        <f ca="1"/>
        <v>72653.540536853194</v>
      </c>
      <c r="AF5" s="13">
        <f ca="1"/>
        <v>73605.804523051425</v>
      </c>
      <c r="AG5" s="13">
        <f ca="1"/>
        <v>74568.927493487892</v>
      </c>
      <c r="AH5" s="13">
        <f ca="1"/>
        <v>75543.647972496517</v>
      </c>
      <c r="AI5" s="13">
        <f ca="1"/>
        <v>76532.394939802703</v>
      </c>
      <c r="AJ5" s="13">
        <f ca="1"/>
        <v>77535.08764877409</v>
      </c>
      <c r="AK5" s="13">
        <f ca="1"/>
        <v>78549.849527477752</v>
      </c>
      <c r="AL5" s="56">
        <f ca="1"/>
        <v>79576.538248512777</v>
      </c>
      <c r="AM5" s="10"/>
    </row>
    <row r="6" spans="2:39" ht="15">
      <c r="B6" s="10"/>
      <c r="C6" s="16" t="s">
        <v>95</v>
      </c>
      <c r="D6" s="12" t="str">
        <f>"th " &amp; _yearDol &amp; "$"</f>
        <v>th 2015$</v>
      </c>
      <c r="E6" s="13">
        <f t="array" aca="1" ref="E6:AL6" ca="1">tlccQmPol*tShpCnHStd-tlccQmBC*IF(bStdShipm,tShpCnHStd,tShpCnHBC)</f>
        <v>0</v>
      </c>
      <c r="F6" s="13">
        <f ca="1"/>
        <v>0</v>
      </c>
      <c r="G6" s="13">
        <f ca="1"/>
        <v>0</v>
      </c>
      <c r="H6" s="13">
        <f ca="1"/>
        <v>25690.890944549988</v>
      </c>
      <c r="I6" s="13">
        <f ca="1"/>
        <v>25693.758377126302</v>
      </c>
      <c r="J6" s="13">
        <f ca="1"/>
        <v>24747.454116172245</v>
      </c>
      <c r="K6" s="13">
        <f ca="1"/>
        <v>24745.101791244349</v>
      </c>
      <c r="L6" s="13">
        <f ca="1"/>
        <v>24728.309281905153</v>
      </c>
      <c r="M6" s="13">
        <f ca="1"/>
        <v>24703.73864707441</v>
      </c>
      <c r="N6" s="13">
        <f ca="1"/>
        <v>24655.953827553865</v>
      </c>
      <c r="O6" s="13">
        <f ca="1"/>
        <v>24608.220518798189</v>
      </c>
      <c r="P6" s="13">
        <f ca="1"/>
        <v>24579.597703799722</v>
      </c>
      <c r="Q6" s="13">
        <f ca="1"/>
        <v>24549.618438660371</v>
      </c>
      <c r="R6" s="13">
        <f ca="1"/>
        <v>25437.063065652357</v>
      </c>
      <c r="S6" s="13">
        <f ca="1"/>
        <v>26349.232859769661</v>
      </c>
      <c r="T6" s="13">
        <f ca="1"/>
        <v>26327.272103691066</v>
      </c>
      <c r="U6" s="13">
        <f ca="1"/>
        <v>27251.014649643388</v>
      </c>
      <c r="V6" s="13">
        <f ca="1"/>
        <v>28179.959782844933</v>
      </c>
      <c r="W6" s="13">
        <f ca="1"/>
        <v>28162.858208916616</v>
      </c>
      <c r="X6" s="13">
        <f ca="1"/>
        <v>28144.228482297971</v>
      </c>
      <c r="Y6" s="13">
        <f ca="1"/>
        <v>28124.67156191211</v>
      </c>
      <c r="Z6" s="13">
        <f ca="1"/>
        <v>28111.982743505447</v>
      </c>
      <c r="AA6" s="13">
        <f ca="1"/>
        <v>28178.122565565456</v>
      </c>
      <c r="AB6" s="13">
        <f ca="1"/>
        <v>28299.44758702867</v>
      </c>
      <c r="AC6" s="13">
        <f ca="1"/>
        <v>28421.425078179862</v>
      </c>
      <c r="AD6" s="13">
        <f ca="1"/>
        <v>28543.093504742079</v>
      </c>
      <c r="AE6" s="13">
        <f ca="1"/>
        <v>28665.088166148227</v>
      </c>
      <c r="AF6" s="13">
        <f ca="1"/>
        <v>28787.220189594023</v>
      </c>
      <c r="AG6" s="13">
        <f ca="1"/>
        <v>28909.832980178355</v>
      </c>
      <c r="AH6" s="13">
        <f ca="1"/>
        <v>29033.166921470489</v>
      </c>
      <c r="AI6" s="13">
        <f ca="1"/>
        <v>29158.097696472774</v>
      </c>
      <c r="AJ6" s="13">
        <f ca="1"/>
        <v>29284.522283655533</v>
      </c>
      <c r="AK6" s="13">
        <f ca="1"/>
        <v>29411.668021546211</v>
      </c>
      <c r="AL6" s="56">
        <f ca="1"/>
        <v>29539.431888614898</v>
      </c>
      <c r="AM6" s="10"/>
    </row>
    <row r="7" spans="2:39" ht="15">
      <c r="B7" s="10"/>
      <c r="C7" s="16" t="str">
        <f>zEO&amp;" Costs Savings"</f>
        <v>Operating Costs Savings</v>
      </c>
      <c r="D7" s="12" t="str">
        <f>"th " &amp; _yearDol &amp; "$"</f>
        <v>th 2015$</v>
      </c>
      <c r="E7" s="13">
        <f t="array" aca="1" ref="E7:AL7" ca="1">tlccEmBC*IF(bStdShipm,tShpCnHStd,tShpCnHBC)-tlccEmPol*tShpCnHStd</f>
        <v>0</v>
      </c>
      <c r="F7" s="13">
        <f ca="1"/>
        <v>0</v>
      </c>
      <c r="G7" s="13">
        <f ca="1"/>
        <v>0</v>
      </c>
      <c r="H7" s="13">
        <f ca="1"/>
        <v>78581.517702281475</v>
      </c>
      <c r="I7" s="13">
        <f ca="1"/>
        <v>79085.174698354676</v>
      </c>
      <c r="J7" s="13">
        <f ca="1"/>
        <v>76652.183032840956</v>
      </c>
      <c r="K7" s="13">
        <f ca="1"/>
        <v>77127.661681239959</v>
      </c>
      <c r="L7" s="13">
        <f ca="1"/>
        <v>77560.861921575852</v>
      </c>
      <c r="M7" s="13">
        <f ca="1"/>
        <v>77971.974582324736</v>
      </c>
      <c r="N7" s="13">
        <f ca="1"/>
        <v>78311.522199240047</v>
      </c>
      <c r="O7" s="13">
        <f ca="1"/>
        <v>78652.483572850935</v>
      </c>
      <c r="P7" s="13">
        <f ca="1"/>
        <v>79056.164209745359</v>
      </c>
      <c r="Q7" s="13">
        <f ca="1"/>
        <v>79457.48540007649</v>
      </c>
      <c r="R7" s="13">
        <f ca="1"/>
        <v>82848.853762792423</v>
      </c>
      <c r="S7" s="13">
        <f ca="1"/>
        <v>86360.93701429246</v>
      </c>
      <c r="T7" s="13">
        <f ca="1"/>
        <v>86833.12500941148</v>
      </c>
      <c r="U7" s="13">
        <f ca="1"/>
        <v>90446.717726549599</v>
      </c>
      <c r="V7" s="13">
        <f ca="1"/>
        <v>94119.895135299303</v>
      </c>
      <c r="W7" s="13">
        <f ca="1"/>
        <v>94656.206012791023</v>
      </c>
      <c r="X7" s="13">
        <f ca="1"/>
        <v>95190.449767289683</v>
      </c>
      <c r="Y7" s="13">
        <f ca="1"/>
        <v>95724.592198097147</v>
      </c>
      <c r="Z7" s="13">
        <f ca="1"/>
        <v>96285.290641246829</v>
      </c>
      <c r="AA7" s="13">
        <f ca="1"/>
        <v>97121.033101063687</v>
      </c>
      <c r="AB7" s="13">
        <f ca="1"/>
        <v>98154.979875701014</v>
      </c>
      <c r="AC7" s="13">
        <f ca="1"/>
        <v>99200.472471500281</v>
      </c>
      <c r="AD7" s="13">
        <f ca="1"/>
        <v>100254.25428758329</v>
      </c>
      <c r="AE7" s="13">
        <f ca="1"/>
        <v>101318.62870300142</v>
      </c>
      <c r="AF7" s="13">
        <f ca="1"/>
        <v>102393.02471264545</v>
      </c>
      <c r="AG7" s="13">
        <f ca="1"/>
        <v>103478.76047366625</v>
      </c>
      <c r="AH7" s="13">
        <f ca="1"/>
        <v>104576.81489396701</v>
      </c>
      <c r="AI7" s="13">
        <f ca="1"/>
        <v>105690.49263627548</v>
      </c>
      <c r="AJ7" s="13">
        <f ca="1"/>
        <v>106819.60993242962</v>
      </c>
      <c r="AK7" s="13">
        <f ca="1"/>
        <v>107961.51754902396</v>
      </c>
      <c r="AL7" s="56">
        <f ca="1"/>
        <v>109115.97013712768</v>
      </c>
      <c r="AM7" s="10"/>
    </row>
    <row r="8" spans="2:39" ht="15">
      <c r="B8" s="10"/>
      <c r="C8" s="16" t="s">
        <v>96</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5"/>
      <c r="AM8" s="10"/>
    </row>
    <row r="9" spans="2:39" ht="15">
      <c r="B9" s="10"/>
      <c r="C9" s="45" t="str">
        <f>INDEX(_fuel,1)</f>
        <v>Electricity</v>
      </c>
      <c r="D9" s="18" t="s">
        <v>98</v>
      </c>
      <c r="E9" s="49">
        <f t="array" ref="E9:AL9" ca="1">tlccFmElecBC*IF(bStdShipm,tShpCnHStd,tShpCnHBC)-tlccFmElecPol*tShpCnHStd</f>
        <v>0</v>
      </c>
      <c r="F9" s="49">
        <f ca="1"/>
        <v>0</v>
      </c>
      <c r="G9" s="49">
        <f ca="1"/>
        <v>0</v>
      </c>
      <c r="H9" s="49">
        <f ca="1"/>
        <v>12882.912897334376</v>
      </c>
      <c r="I9" s="49">
        <f ca="1"/>
        <v>12792.458782515372</v>
      </c>
      <c r="J9" s="49">
        <f ca="1"/>
        <v>12251.950288532651</v>
      </c>
      <c r="K9" s="49">
        <f ca="1"/>
        <v>12192.534158432332</v>
      </c>
      <c r="L9" s="49">
        <f ca="1"/>
        <v>12125.35088257672</v>
      </c>
      <c r="M9" s="49">
        <f ca="1"/>
        <v>12065.645053313405</v>
      </c>
      <c r="N9" s="49">
        <f ca="1"/>
        <v>12008.812909814995</v>
      </c>
      <c r="O9" s="49">
        <f ca="1"/>
        <v>11960.677459223021</v>
      </c>
      <c r="P9" s="49">
        <f ca="1"/>
        <v>11925.561411493691</v>
      </c>
      <c r="Q9" s="49">
        <f ca="1"/>
        <v>11895.11738306901</v>
      </c>
      <c r="R9" s="49">
        <f ca="1"/>
        <v>12312.326164942759</v>
      </c>
      <c r="S9" s="49">
        <f ca="1"/>
        <v>12751.166795767029</v>
      </c>
      <c r="T9" s="49">
        <f ca="1"/>
        <v>12742.692943853675</v>
      </c>
      <c r="U9" s="49">
        <f ca="1"/>
        <v>13193.697406297491</v>
      </c>
      <c r="V9" s="49">
        <f ca="1"/>
        <v>13649.672656234761</v>
      </c>
      <c r="W9" s="49">
        <f ca="1"/>
        <v>13647.364877061045</v>
      </c>
      <c r="X9" s="49">
        <f ca="1"/>
        <v>13643.292020876019</v>
      </c>
      <c r="Y9" s="49">
        <f ca="1"/>
        <v>13637.131136411976</v>
      </c>
      <c r="Z9" s="49">
        <f ca="1"/>
        <v>13633.265452011663</v>
      </c>
      <c r="AA9" s="49">
        <f ca="1"/>
        <v>13665.340804338106</v>
      </c>
      <c r="AB9" s="49">
        <f ca="1"/>
        <v>13724.178924675274</v>
      </c>
      <c r="AC9" s="49">
        <f ca="1"/>
        <v>13783.333468529687</v>
      </c>
      <c r="AD9" s="49">
        <f ca="1"/>
        <v>13842.338127560157</v>
      </c>
      <c r="AE9" s="49">
        <f ca="1"/>
        <v>13901.50099834922</v>
      </c>
      <c r="AF9" s="49">
        <f ca="1"/>
        <v>13960.730484615662</v>
      </c>
      <c r="AG9" s="49">
        <f ca="1"/>
        <v>14020.19312505261</v>
      </c>
      <c r="AH9" s="49">
        <f ca="1"/>
        <v>14080.005496745522</v>
      </c>
      <c r="AI9" s="49">
        <f ca="1"/>
        <v>14140.592273362156</v>
      </c>
      <c r="AJ9" s="49">
        <f ca="1"/>
        <v>14201.903493294609</v>
      </c>
      <c r="AK9" s="49">
        <f ca="1"/>
        <v>14263.564444482909</v>
      </c>
      <c r="AL9" s="50">
        <f ca="1"/>
        <v>14325.525165319152</v>
      </c>
      <c r="AM9" s="284">
        <f ca="1">SUM(tsavElec)</f>
        <v>409220.83748608705</v>
      </c>
    </row>
    <row r="10" spans="2:39" ht="15">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2:39" ht="15">
      <c r="B11" s="10"/>
      <c r="C11" s="22" t="s">
        <v>93</v>
      </c>
      <c r="D11" s="23"/>
      <c r="E11" s="24">
        <f t="array" ref="E11:AL11">_yS</f>
        <v>2019</v>
      </c>
      <c r="F11" s="24">
        <v>2020</v>
      </c>
      <c r="G11" s="24">
        <v>2021</v>
      </c>
      <c r="H11" s="24">
        <v>2022</v>
      </c>
      <c r="I11" s="24">
        <v>2023</v>
      </c>
      <c r="J11" s="24">
        <v>2024</v>
      </c>
      <c r="K11" s="24">
        <v>2025</v>
      </c>
      <c r="L11" s="24">
        <v>2026</v>
      </c>
      <c r="M11" s="24">
        <v>2027</v>
      </c>
      <c r="N11" s="24">
        <v>2028</v>
      </c>
      <c r="O11" s="24">
        <v>2029</v>
      </c>
      <c r="P11" s="24">
        <v>2030</v>
      </c>
      <c r="Q11" s="24">
        <v>2031</v>
      </c>
      <c r="R11" s="24">
        <v>2032</v>
      </c>
      <c r="S11" s="24">
        <v>2033</v>
      </c>
      <c r="T11" s="24">
        <v>2034</v>
      </c>
      <c r="U11" s="24">
        <v>2035</v>
      </c>
      <c r="V11" s="24">
        <v>2036</v>
      </c>
      <c r="W11" s="24">
        <v>2037</v>
      </c>
      <c r="X11" s="24">
        <v>2038</v>
      </c>
      <c r="Y11" s="24">
        <v>2039</v>
      </c>
      <c r="Z11" s="24">
        <v>2040</v>
      </c>
      <c r="AA11" s="24">
        <v>2041</v>
      </c>
      <c r="AB11" s="24">
        <v>2042</v>
      </c>
      <c r="AC11" s="24">
        <v>2043</v>
      </c>
      <c r="AD11" s="24">
        <v>2044</v>
      </c>
      <c r="AE11" s="24">
        <v>2045</v>
      </c>
      <c r="AF11" s="24">
        <v>2046</v>
      </c>
      <c r="AG11" s="24">
        <v>2047</v>
      </c>
      <c r="AH11" s="24">
        <v>2048</v>
      </c>
      <c r="AI11" s="24">
        <v>2049</v>
      </c>
      <c r="AJ11" s="24">
        <v>2050</v>
      </c>
      <c r="AK11" s="24">
        <v>2051</v>
      </c>
      <c r="AL11" s="25">
        <v>2052</v>
      </c>
      <c r="AM11" s="10"/>
    </row>
    <row r="12" spans="2:39" ht="15">
      <c r="B12" s="10"/>
      <c r="C12" s="57" t="str">
        <f ca="1">"Stds Case (CSL " &amp; stdCSL &amp; "): " &amp; INDEX(_doName,3,stdCSL+1)</f>
        <v>Stds Case (CSL 5): EL 5</v>
      </c>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3"/>
      <c r="AM12" s="10"/>
    </row>
    <row r="13" spans="2:39" ht="15">
      <c r="B13" s="10"/>
      <c r="C13" s="16" t="s">
        <v>94</v>
      </c>
      <c r="D13" s="12" t="str">
        <f>_yearDol &amp; "$"</f>
        <v>2015$</v>
      </c>
      <c r="E13" s="13">
        <f t="array" aca="1" ref="E13:AL13" ca="1">tecsU-tiecU</f>
        <v>0</v>
      </c>
      <c r="F13" s="13">
        <f ca="1"/>
        <v>0</v>
      </c>
      <c r="G13" s="13">
        <f ca="1"/>
        <v>0</v>
      </c>
      <c r="H13" s="13">
        <f ca="1"/>
        <v>472.9927285881563</v>
      </c>
      <c r="I13" s="13">
        <f ca="1"/>
        <v>477.41792656294228</v>
      </c>
      <c r="J13" s="13">
        <f ca="1"/>
        <v>481.8715831370605</v>
      </c>
      <c r="K13" s="13">
        <f ca="1"/>
        <v>486.35388565519634</v>
      </c>
      <c r="L13" s="13">
        <f ca="1"/>
        <v>490.86502272625467</v>
      </c>
      <c r="M13" s="13">
        <f ca="1"/>
        <v>495.40518423205094</v>
      </c>
      <c r="N13" s="13">
        <f ca="1"/>
        <v>499.97456133618425</v>
      </c>
      <c r="O13" s="13">
        <f ca="1"/>
        <v>504.57334649293216</v>
      </c>
      <c r="P13" s="13">
        <f ca="1"/>
        <v>509.20173345610556</v>
      </c>
      <c r="Q13" s="13">
        <f ca="1"/>
        <v>513.85991728805266</v>
      </c>
      <c r="R13" s="13">
        <f ca="1"/>
        <v>518.54809436881942</v>
      </c>
      <c r="S13" s="13">
        <f ca="1"/>
        <v>523.26646240517903</v>
      </c>
      <c r="T13" s="13">
        <f ca="1"/>
        <v>528.01522043985051</v>
      </c>
      <c r="U13" s="13">
        <f ca="1"/>
        <v>532.79456886076468</v>
      </c>
      <c r="V13" s="13">
        <f ca="1"/>
        <v>537.60470941032281</v>
      </c>
      <c r="W13" s="13">
        <f ca="1"/>
        <v>542.44584519491718</v>
      </c>
      <c r="X13" s="13">
        <f ca="1"/>
        <v>547.31818069425526</v>
      </c>
      <c r="Y13" s="13">
        <f ca="1"/>
        <v>552.22192177093848</v>
      </c>
      <c r="Z13" s="13">
        <f ca="1"/>
        <v>557.15727568001557</v>
      </c>
      <c r="AA13" s="13">
        <f ca="1"/>
        <v>562.12445107874692</v>
      </c>
      <c r="AB13" s="13">
        <f ca="1"/>
        <v>567.12365803612147</v>
      </c>
      <c r="AC13" s="13">
        <f ca="1"/>
        <v>572.15510804287942</v>
      </c>
      <c r="AD13" s="13">
        <f ca="1"/>
        <v>577.21901402126559</v>
      </c>
      <c r="AE13" s="13">
        <f ca="1"/>
        <v>582.31559033490657</v>
      </c>
      <c r="AF13" s="13">
        <f ca="1"/>
        <v>587.44505279891337</v>
      </c>
      <c r="AG13" s="13">
        <f ca="1"/>
        <v>592.60761868996951</v>
      </c>
      <c r="AH13" s="13">
        <f ca="1"/>
        <v>597.80350675634645</v>
      </c>
      <c r="AI13" s="13">
        <f ca="1"/>
        <v>603.03293722830085</v>
      </c>
      <c r="AJ13" s="13">
        <f ca="1"/>
        <v>608.29613182819912</v>
      </c>
      <c r="AK13" s="13">
        <f ca="1"/>
        <v>613.59331378099114</v>
      </c>
      <c r="AL13" s="56">
        <f ca="1"/>
        <v>618.92470782462215</v>
      </c>
      <c r="AM13" s="10"/>
    </row>
    <row r="14" spans="2:39" ht="15">
      <c r="B14" s="10"/>
      <c r="C14" s="16" t="s">
        <v>95</v>
      </c>
      <c r="D14" s="12" t="str">
        <f>_yearDol &amp; "$"</f>
        <v>2015$</v>
      </c>
      <c r="E14" s="13">
        <f t="array" ref="E14:AL14">tlccQmPol-tlccQmBC</f>
        <v>0</v>
      </c>
      <c r="F14" s="13">
        <v>0</v>
      </c>
      <c r="G14" s="13">
        <v>0</v>
      </c>
      <c r="H14" s="13">
        <f ca="1"/>
        <v>229.74968066429983</v>
      </c>
      <c r="I14" s="13">
        <f ca="1"/>
        <v>229.74968066429983</v>
      </c>
      <c r="J14" s="13">
        <f ca="1"/>
        <v>229.74968066429983</v>
      </c>
      <c r="K14" s="13">
        <f ca="1"/>
        <v>229.74968066429983</v>
      </c>
      <c r="L14" s="13">
        <f ca="1"/>
        <v>229.74968066429983</v>
      </c>
      <c r="M14" s="13">
        <f ca="1"/>
        <v>229.74968066429983</v>
      </c>
      <c r="N14" s="13">
        <f ca="1"/>
        <v>229.74968066429983</v>
      </c>
      <c r="O14" s="13">
        <f ca="1"/>
        <v>229.74968066429983</v>
      </c>
      <c r="P14" s="13">
        <f ca="1"/>
        <v>229.74968066429983</v>
      </c>
      <c r="Q14" s="13">
        <f ca="1"/>
        <v>229.74968066429983</v>
      </c>
      <c r="R14" s="13">
        <f ca="1"/>
        <v>229.74968066429983</v>
      </c>
      <c r="S14" s="13">
        <f ca="1"/>
        <v>229.74968066429983</v>
      </c>
      <c r="T14" s="13">
        <f ca="1"/>
        <v>229.74968066429983</v>
      </c>
      <c r="U14" s="13">
        <f ca="1"/>
        <v>229.74968066429983</v>
      </c>
      <c r="V14" s="13">
        <f ca="1"/>
        <v>229.74968066429983</v>
      </c>
      <c r="W14" s="13">
        <f ca="1"/>
        <v>229.74968066429983</v>
      </c>
      <c r="X14" s="13">
        <f ca="1"/>
        <v>229.74968066429983</v>
      </c>
      <c r="Y14" s="13">
        <f ca="1"/>
        <v>229.74968066429983</v>
      </c>
      <c r="Z14" s="13">
        <f ca="1"/>
        <v>229.74968066429983</v>
      </c>
      <c r="AA14" s="13">
        <f ca="1"/>
        <v>229.74968066429983</v>
      </c>
      <c r="AB14" s="13">
        <f ca="1"/>
        <v>229.74968066429983</v>
      </c>
      <c r="AC14" s="13">
        <f ca="1"/>
        <v>229.74968066429983</v>
      </c>
      <c r="AD14" s="13">
        <f ca="1"/>
        <v>229.74968066429983</v>
      </c>
      <c r="AE14" s="13">
        <f ca="1"/>
        <v>229.74968066429983</v>
      </c>
      <c r="AF14" s="13">
        <f ca="1"/>
        <v>229.74968066429983</v>
      </c>
      <c r="AG14" s="13">
        <f ca="1"/>
        <v>229.74968066429983</v>
      </c>
      <c r="AH14" s="13">
        <f ca="1"/>
        <v>229.74968066429983</v>
      </c>
      <c r="AI14" s="13">
        <f ca="1"/>
        <v>229.74968066429983</v>
      </c>
      <c r="AJ14" s="13">
        <f ca="1"/>
        <v>229.74968066429983</v>
      </c>
      <c r="AK14" s="13">
        <f ca="1"/>
        <v>229.74968066429983</v>
      </c>
      <c r="AL14" s="56">
        <f ca="1"/>
        <v>229.74968066429983</v>
      </c>
      <c r="AM14" s="10"/>
    </row>
    <row r="15" spans="2:39" ht="15">
      <c r="B15" s="10"/>
      <c r="C15" s="16" t="str">
        <f>zEO&amp;" Costs Savings"</f>
        <v>Operating Costs Savings</v>
      </c>
      <c r="D15" s="12" t="str">
        <f>_yearDol &amp; "$"</f>
        <v>2015$</v>
      </c>
      <c r="E15" s="13">
        <f t="array" aca="1" ref="E15:AL15" ca="1">tlccEmBC-tlccEmPol</f>
        <v>0</v>
      </c>
      <c r="F15" s="13">
        <f ca="1"/>
        <v>0</v>
      </c>
      <c r="G15" s="13">
        <f ca="1"/>
        <v>0</v>
      </c>
      <c r="H15" s="13">
        <f ca="1"/>
        <v>702.74240925245613</v>
      </c>
      <c r="I15" s="13">
        <f ca="1"/>
        <v>707.16760722724212</v>
      </c>
      <c r="J15" s="13">
        <f ca="1"/>
        <v>711.62126380136033</v>
      </c>
      <c r="K15" s="13">
        <f ca="1"/>
        <v>716.10356631949617</v>
      </c>
      <c r="L15" s="13">
        <f ca="1"/>
        <v>720.6147033905545</v>
      </c>
      <c r="M15" s="13">
        <f ca="1"/>
        <v>725.15486489635077</v>
      </c>
      <c r="N15" s="13">
        <f ca="1"/>
        <v>729.72424200048408</v>
      </c>
      <c r="O15" s="13">
        <f ca="1"/>
        <v>734.32302715723199</v>
      </c>
      <c r="P15" s="13">
        <f ca="1"/>
        <v>738.95141412040539</v>
      </c>
      <c r="Q15" s="13">
        <f ca="1"/>
        <v>743.60959795235249</v>
      </c>
      <c r="R15" s="13">
        <f ca="1"/>
        <v>748.29777503311925</v>
      </c>
      <c r="S15" s="13">
        <f ca="1"/>
        <v>753.01614306947886</v>
      </c>
      <c r="T15" s="13">
        <f ca="1"/>
        <v>757.76490110415034</v>
      </c>
      <c r="U15" s="13">
        <f ca="1"/>
        <v>762.54424952506452</v>
      </c>
      <c r="V15" s="13">
        <f ca="1"/>
        <v>767.35439007462264</v>
      </c>
      <c r="W15" s="13">
        <f ca="1"/>
        <v>772.19552585921701</v>
      </c>
      <c r="X15" s="13">
        <f ca="1"/>
        <v>777.06786135855509</v>
      </c>
      <c r="Y15" s="13">
        <f ca="1"/>
        <v>781.97160243523831</v>
      </c>
      <c r="Z15" s="13">
        <f ca="1"/>
        <v>786.9069563443154</v>
      </c>
      <c r="AA15" s="13">
        <f ca="1"/>
        <v>791.87413174304675</v>
      </c>
      <c r="AB15" s="13">
        <f ca="1"/>
        <v>796.8733387004213</v>
      </c>
      <c r="AC15" s="13">
        <f ca="1"/>
        <v>801.90478870717925</v>
      </c>
      <c r="AD15" s="13">
        <f ca="1"/>
        <v>806.96869468556542</v>
      </c>
      <c r="AE15" s="13">
        <f ca="1"/>
        <v>812.0652709992064</v>
      </c>
      <c r="AF15" s="13">
        <f ca="1"/>
        <v>817.1947334632132</v>
      </c>
      <c r="AG15" s="13">
        <f ca="1"/>
        <v>822.35729935426934</v>
      </c>
      <c r="AH15" s="13">
        <f ca="1"/>
        <v>827.55318742064628</v>
      </c>
      <c r="AI15" s="13">
        <f ca="1"/>
        <v>832.78261789260068</v>
      </c>
      <c r="AJ15" s="13">
        <f ca="1"/>
        <v>838.04581249249895</v>
      </c>
      <c r="AK15" s="13">
        <f ca="1"/>
        <v>843.34299444529097</v>
      </c>
      <c r="AL15" s="56">
        <f ca="1"/>
        <v>848.67438848892198</v>
      </c>
      <c r="AM15" s="10"/>
    </row>
    <row r="16" spans="2:39" ht="15">
      <c r="B16" s="10"/>
      <c r="C16" s="16" t="s">
        <v>96</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5"/>
      <c r="AM16" s="10"/>
    </row>
    <row r="17" spans="2:39" ht="15">
      <c r="B17" s="10"/>
      <c r="C17" s="45" t="str">
        <f>INDEX(_fuel,1)</f>
        <v>Electricity</v>
      </c>
      <c r="D17" s="18" t="s">
        <v>83</v>
      </c>
      <c r="E17" s="49">
        <f t="array" ref="E17:AL17" ca="1">tlccFmElecBC-tlccFmElecPol</f>
        <v>0</v>
      </c>
      <c r="F17" s="49">
        <f ca="1"/>
        <v>0</v>
      </c>
      <c r="G17" s="49">
        <f ca="1"/>
        <v>0</v>
      </c>
      <c r="H17" s="49">
        <f ca="1"/>
        <v>115.20990574351617</v>
      </c>
      <c r="I17" s="49">
        <f ca="1"/>
        <v>114.3882213359102</v>
      </c>
      <c r="J17" s="49">
        <f ca="1"/>
        <v>113.74429277012996</v>
      </c>
      <c r="K17" s="49">
        <f ca="1"/>
        <v>113.20344741437111</v>
      </c>
      <c r="L17" s="49">
        <f ca="1"/>
        <v>112.65612466490347</v>
      </c>
      <c r="M17" s="49">
        <f ca="1"/>
        <v>112.21289771602369</v>
      </c>
      <c r="N17" s="49">
        <f ca="1"/>
        <v>111.90079890983634</v>
      </c>
      <c r="O17" s="49">
        <f ca="1"/>
        <v>111.66844935764539</v>
      </c>
      <c r="P17" s="49">
        <f ca="1"/>
        <v>111.47025102081352</v>
      </c>
      <c r="Q17" s="49">
        <f ca="1"/>
        <v>111.3214621666275</v>
      </c>
      <c r="R17" s="49">
        <f ca="1"/>
        <v>111.20595948240407</v>
      </c>
      <c r="S17" s="49">
        <f ca="1"/>
        <v>111.18261070505787</v>
      </c>
      <c r="T17" s="49">
        <f ca="1"/>
        <v>111.20140450263989</v>
      </c>
      <c r="U17" s="49">
        <f ca="1"/>
        <v>111.23430833126486</v>
      </c>
      <c r="V17" s="49">
        <f ca="1"/>
        <v>111.28503937224468</v>
      </c>
      <c r="W17" s="49">
        <f ca="1"/>
        <v>111.33378931763491</v>
      </c>
      <c r="X17" s="49">
        <f ca="1"/>
        <v>111.37423742056399</v>
      </c>
      <c r="Y17" s="49">
        <f ca="1"/>
        <v>111.40135510100981</v>
      </c>
      <c r="Z17" s="49">
        <f ca="1"/>
        <v>111.420045060142</v>
      </c>
      <c r="AA17" s="49">
        <f ca="1"/>
        <v>111.420045060142</v>
      </c>
      <c r="AB17" s="49">
        <f ca="1"/>
        <v>111.420045060142</v>
      </c>
      <c r="AC17" s="49">
        <f ca="1"/>
        <v>111.420045060142</v>
      </c>
      <c r="AD17" s="49">
        <f ca="1"/>
        <v>111.420045060142</v>
      </c>
      <c r="AE17" s="49">
        <f ca="1"/>
        <v>111.420045060142</v>
      </c>
      <c r="AF17" s="49">
        <f ca="1"/>
        <v>111.420045060142</v>
      </c>
      <c r="AG17" s="49">
        <f ca="1"/>
        <v>111.420045060142</v>
      </c>
      <c r="AH17" s="49">
        <f ca="1"/>
        <v>111.420045060142</v>
      </c>
      <c r="AI17" s="49">
        <f ca="1"/>
        <v>111.420045060142</v>
      </c>
      <c r="AJ17" s="49">
        <f ca="1"/>
        <v>111.420045060142</v>
      </c>
      <c r="AK17" s="49">
        <f ca="1"/>
        <v>111.420045060142</v>
      </c>
      <c r="AL17" s="50">
        <f ca="1"/>
        <v>111.420045060142</v>
      </c>
      <c r="AM17" s="10"/>
    </row>
    <row r="18" spans="2:39" ht="15">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2:39" ht="15">
      <c r="B19" s="10"/>
      <c r="C19" s="22" t="s">
        <v>92</v>
      </c>
      <c r="D19" s="23"/>
      <c r="E19" s="24">
        <f t="array" ref="E19:AL19">_yS</f>
        <v>2019</v>
      </c>
      <c r="F19" s="24">
        <v>2020</v>
      </c>
      <c r="G19" s="24">
        <v>2021</v>
      </c>
      <c r="H19" s="24">
        <v>2022</v>
      </c>
      <c r="I19" s="24">
        <v>2023</v>
      </c>
      <c r="J19" s="24">
        <v>2024</v>
      </c>
      <c r="K19" s="24">
        <v>2025</v>
      </c>
      <c r="L19" s="24">
        <v>2026</v>
      </c>
      <c r="M19" s="24">
        <v>2027</v>
      </c>
      <c r="N19" s="24">
        <v>2028</v>
      </c>
      <c r="O19" s="24">
        <v>2029</v>
      </c>
      <c r="P19" s="24">
        <v>2030</v>
      </c>
      <c r="Q19" s="24">
        <v>2031</v>
      </c>
      <c r="R19" s="24">
        <v>2032</v>
      </c>
      <c r="S19" s="24">
        <v>2033</v>
      </c>
      <c r="T19" s="24">
        <v>2034</v>
      </c>
      <c r="U19" s="24">
        <v>2035</v>
      </c>
      <c r="V19" s="24">
        <v>2036</v>
      </c>
      <c r="W19" s="24">
        <v>2037</v>
      </c>
      <c r="X19" s="24">
        <v>2038</v>
      </c>
      <c r="Y19" s="24">
        <v>2039</v>
      </c>
      <c r="Z19" s="24">
        <v>2040</v>
      </c>
      <c r="AA19" s="24">
        <v>2041</v>
      </c>
      <c r="AB19" s="24">
        <v>2042</v>
      </c>
      <c r="AC19" s="24">
        <v>2043</v>
      </c>
      <c r="AD19" s="24">
        <v>2044</v>
      </c>
      <c r="AE19" s="24">
        <v>2045</v>
      </c>
      <c r="AF19" s="24">
        <v>2046</v>
      </c>
      <c r="AG19" s="24">
        <v>2047</v>
      </c>
      <c r="AH19" s="24">
        <v>2048</v>
      </c>
      <c r="AI19" s="24">
        <v>2049</v>
      </c>
      <c r="AJ19" s="24">
        <v>2050</v>
      </c>
      <c r="AK19" s="24">
        <v>2051</v>
      </c>
      <c r="AL19" s="25">
        <v>2052</v>
      </c>
      <c r="AM19" s="10"/>
    </row>
    <row r="20" spans="2:39" ht="15">
      <c r="B20" s="10"/>
      <c r="C20" s="27" t="str">
        <f>"No-Stds Case (CSL 0): " &amp; INDEX(_doName,3,1)</f>
        <v>No-Stds Case (CSL 0): EL 2</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5"/>
      <c r="AM20" s="10"/>
    </row>
    <row r="21" spans="2:39" ht="15">
      <c r="B21" s="10"/>
      <c r="C21" s="16" t="s">
        <v>69</v>
      </c>
      <c r="D21" s="12" t="str">
        <f>_yearDol &amp; "$"</f>
        <v>2015$</v>
      </c>
      <c r="E21" s="13">
        <f>SUMPRODUCT(INDEX(bcEff,,1),INDEX(tlccQubc,,1))</f>
        <v>2264.2584854444176</v>
      </c>
      <c r="F21" s="13">
        <f>SUMPRODUCT(INDEX(bcEff,,2),INDEX(tlccQubc,,2))</f>
        <v>2264.2584854444176</v>
      </c>
      <c r="G21" s="13">
        <f>SUMPRODUCT(INDEX(bcEff,,3),INDEX(tlccQubc,,3))</f>
        <v>2264.2584854444176</v>
      </c>
      <c r="H21" s="13">
        <f>SUMPRODUCT(INDEX(bcEff,,4),INDEX(tlccQubc,,4))</f>
        <v>2264.2584854444176</v>
      </c>
      <c r="I21" s="13">
        <f>SUMPRODUCT(INDEX(bcEff,,5),INDEX(tlccQubc,,5))</f>
        <v>2264.2584854444176</v>
      </c>
      <c r="J21" s="13">
        <f>SUMPRODUCT(INDEX(bcEff,,6),INDEX(tlccQubc,,6))</f>
        <v>2264.2584854444176</v>
      </c>
      <c r="K21" s="13">
        <f>SUMPRODUCT(INDEX(bcEff,,7),INDEX(tlccQubc,,7))</f>
        <v>2264.2584854444176</v>
      </c>
      <c r="L21" s="13">
        <f>SUMPRODUCT(INDEX(bcEff,,8),INDEX(tlccQubc,,8))</f>
        <v>2264.2584854444176</v>
      </c>
      <c r="M21" s="13">
        <f>SUMPRODUCT(INDEX(bcEff,,9),INDEX(tlccQubc,,9))</f>
        <v>2264.2584854444176</v>
      </c>
      <c r="N21" s="13">
        <f>SUMPRODUCT(INDEX(bcEff,,10),INDEX(tlccQubc,,10))</f>
        <v>2264.2584854444176</v>
      </c>
      <c r="O21" s="13">
        <f>SUMPRODUCT(INDEX(bcEff,,11),INDEX(tlccQubc,,11))</f>
        <v>2264.2584854444176</v>
      </c>
      <c r="P21" s="13">
        <f>SUMPRODUCT(INDEX(bcEff,,12),INDEX(tlccQubc,,12))</f>
        <v>2264.2584854444176</v>
      </c>
      <c r="Q21" s="13">
        <f>SUMPRODUCT(INDEX(bcEff,,13),INDEX(tlccQubc,,13))</f>
        <v>2264.2584854444176</v>
      </c>
      <c r="R21" s="13">
        <f>SUMPRODUCT(INDEX(bcEff,,14),INDEX(tlccQubc,,14))</f>
        <v>2264.2584854444176</v>
      </c>
      <c r="S21" s="13">
        <f>SUMPRODUCT(INDEX(bcEff,,15),INDEX(tlccQubc,,15))</f>
        <v>2264.2584854444176</v>
      </c>
      <c r="T21" s="13">
        <f>SUMPRODUCT(INDEX(bcEff,,16),INDEX(tlccQubc,,16))</f>
        <v>2264.2584854444176</v>
      </c>
      <c r="U21" s="13">
        <f>SUMPRODUCT(INDEX(bcEff,,17),INDEX(tlccQubc,,17))</f>
        <v>2264.2584854444176</v>
      </c>
      <c r="V21" s="13">
        <f>SUMPRODUCT(INDEX(bcEff,,18),INDEX(tlccQubc,,18))</f>
        <v>2264.2584854444176</v>
      </c>
      <c r="W21" s="13">
        <f>SUMPRODUCT(INDEX(bcEff,,19),INDEX(tlccQubc,,19))</f>
        <v>2264.2584854444176</v>
      </c>
      <c r="X21" s="13">
        <f>SUMPRODUCT(INDEX(bcEff,,20),INDEX(tlccQubc,,20))</f>
        <v>2264.2584854444176</v>
      </c>
      <c r="Y21" s="13">
        <f>SUMPRODUCT(INDEX(bcEff,,21),INDEX(tlccQubc,,21))</f>
        <v>2264.2584854444176</v>
      </c>
      <c r="Z21" s="13">
        <f>SUMPRODUCT(INDEX(bcEff,,22),INDEX(tlccQubc,,22))</f>
        <v>2264.2584854444176</v>
      </c>
      <c r="AA21" s="13">
        <f>SUMPRODUCT(INDEX(bcEff,,23),INDEX(tlccQubc,,23))</f>
        <v>2264.2584854444176</v>
      </c>
      <c r="AB21" s="13">
        <f>SUMPRODUCT(INDEX(bcEff,,24),INDEX(tlccQubc,,24))</f>
        <v>2264.2584854444176</v>
      </c>
      <c r="AC21" s="13">
        <f>SUMPRODUCT(INDEX(bcEff,,25),INDEX(tlccQubc,,25))</f>
        <v>2264.2584854444176</v>
      </c>
      <c r="AD21" s="13">
        <f>SUMPRODUCT(INDEX(bcEff,,26),INDEX(tlccQubc,,26))</f>
        <v>2264.2584854444176</v>
      </c>
      <c r="AE21" s="13">
        <f>SUMPRODUCT(INDEX(bcEff,,27),INDEX(tlccQubc,,27))</f>
        <v>2264.2584854444176</v>
      </c>
      <c r="AF21" s="13">
        <f>SUMPRODUCT(INDEX(bcEff,,28),INDEX(tlccQubc,,28))</f>
        <v>2264.2584854444176</v>
      </c>
      <c r="AG21" s="13">
        <f>SUMPRODUCT(INDEX(bcEff,,29),INDEX(tlccQubc,,29))</f>
        <v>2264.2584854444176</v>
      </c>
      <c r="AH21" s="13">
        <f>SUMPRODUCT(INDEX(bcEff,,30),INDEX(tlccQubc,,30))</f>
        <v>2264.2584854444176</v>
      </c>
      <c r="AI21" s="13">
        <f>SUMPRODUCT(INDEX(bcEff,,31),INDEX(tlccQubc,,31))</f>
        <v>2264.2584854444176</v>
      </c>
      <c r="AJ21" s="13">
        <f>SUMPRODUCT(INDEX(bcEff,,32),INDEX(tlccQubc,,32))</f>
        <v>2264.2584854444176</v>
      </c>
      <c r="AK21" s="13">
        <f>SUMPRODUCT(INDEX(bcEff,,33),INDEX(tlccQubc,,33))</f>
        <v>2264.2584854444176</v>
      </c>
      <c r="AL21" s="56">
        <f>SUMPRODUCT(INDEX(bcEff,,34),INDEX(tlccQubc,,34))</f>
        <v>2264.2584854444176</v>
      </c>
      <c r="AM21" s="10"/>
    </row>
    <row r="22" spans="2:39" ht="15">
      <c r="B22" s="10"/>
      <c r="C22" s="16" t="str">
        <f>zEO&amp;" Costs"</f>
        <v>Operating Costs</v>
      </c>
      <c r="D22" s="12" t="str">
        <f>_yearDol &amp; "$"</f>
        <v>2015$</v>
      </c>
      <c r="E22" s="13">
        <f ca="1">SUMPRODUCT(INDEX(bcEff,,1),INDEX(tlccEubc,,1))</f>
        <v>24892.482565494611</v>
      </c>
      <c r="F22" s="13">
        <f ca="1">SUMPRODUCT(INDEX(bcEff,,2),INDEX(tlccEubc,,2))</f>
        <v>25102.672282124222</v>
      </c>
      <c r="G22" s="13">
        <f ca="1">SUMPRODUCT(INDEX(bcEff,,3),INDEX(tlccEubc,,3))</f>
        <v>25305.526325755287</v>
      </c>
      <c r="H22" s="13">
        <f ca="1">SUMPRODUCT(INDEX(bcEff,,4),INDEX(tlccEubc,,4))</f>
        <v>25485.555710079596</v>
      </c>
      <c r="I22" s="13">
        <f ca="1">SUMPRODUCT(INDEX(bcEff,,5),INDEX(tlccEubc,,5))</f>
        <v>25646.039306955547</v>
      </c>
      <c r="J22" s="13">
        <f ca="1">SUMPRODUCT(INDEX(bcEff,,6),INDEX(tlccEubc,,6))</f>
        <v>25807.554979325592</v>
      </c>
      <c r="K22" s="13">
        <f ca="1">SUMPRODUCT(INDEX(bcEff,,7),INDEX(tlccEubc,,7))</f>
        <v>25970.109521404727</v>
      </c>
      <c r="L22" s="13">
        <f ca="1">SUMPRODUCT(INDEX(bcEff,,8),INDEX(tlccEubc,,8))</f>
        <v>26133.709773255687</v>
      </c>
      <c r="M22" s="13">
        <f ca="1">SUMPRODUCT(INDEX(bcEff,,9),INDEX(tlccEubc,,9))</f>
        <v>26298.36262110612</v>
      </c>
      <c r="N22" s="13">
        <f ca="1">SUMPRODUCT(INDEX(bcEff,,10),INDEX(tlccEubc,,10))</f>
        <v>26464.074997668045</v>
      </c>
      <c r="O22" s="13">
        <f ca="1">SUMPRODUCT(INDEX(bcEff,,11),INDEX(tlccEubc,,11))</f>
        <v>26630.853882459574</v>
      </c>
      <c r="P22" s="13">
        <f ca="1">SUMPRODUCT(INDEX(bcEff,,12),INDEX(tlccEubc,,12))</f>
        <v>26798.706302128943</v>
      </c>
      <c r="Q22" s="13">
        <f ca="1">SUMPRODUCT(INDEX(bcEff,,13),INDEX(tlccEubc,,13))</f>
        <v>26967.639330780723</v>
      </c>
      <c r="R22" s="13">
        <f ca="1">SUMPRODUCT(INDEX(bcEff,,14),INDEX(tlccEubc,,14))</f>
        <v>27137.660090304558</v>
      </c>
      <c r="S22" s="13">
        <f ca="1">SUMPRODUCT(INDEX(bcEff,,15),INDEX(tlccEubc,,15))</f>
        <v>27308.77575070598</v>
      </c>
      <c r="T22" s="13">
        <f ca="1">SUMPRODUCT(INDEX(bcEff,,16),INDEX(tlccEubc,,16))</f>
        <v>27480.99353043978</v>
      </c>
      <c r="U22" s="13">
        <f ca="1">SUMPRODUCT(INDEX(bcEff,,17),INDEX(tlccEubc,,17))</f>
        <v>27654.320696745617</v>
      </c>
      <c r="V22" s="13">
        <f ca="1">SUMPRODUCT(INDEX(bcEff,,18),INDEX(tlccEubc,,18))</f>
        <v>27828.764565986112</v>
      </c>
      <c r="W22" s="13">
        <f ca="1">SUMPRODUCT(INDEX(bcEff,,19),INDEX(tlccEubc,,19))</f>
        <v>28004.332503987149</v>
      </c>
      <c r="X22" s="13">
        <f ca="1">SUMPRODUCT(INDEX(bcEff,,20),INDEX(tlccEubc,,20))</f>
        <v>28181.031926380932</v>
      </c>
      <c r="Y22" s="13">
        <f ca="1">SUMPRODUCT(INDEX(bcEff,,21),INDEX(tlccEubc,,21))</f>
        <v>28358.870298951078</v>
      </c>
      <c r="Z22" s="13">
        <f ca="1">SUMPRODUCT(INDEX(bcEff,,22),INDEX(tlccEubc,,22))</f>
        <v>28537.855137980401</v>
      </c>
      <c r="AA22" s="13">
        <f ca="1">SUMPRODUCT(INDEX(bcEff,,23),INDEX(tlccEubc,,23))</f>
        <v>28717.99401060124</v>
      </c>
      <c r="AB22" s="13">
        <f ca="1">SUMPRODUCT(INDEX(bcEff,,24),INDEX(tlccEubc,,24))</f>
        <v>28899.29453514795</v>
      </c>
      <c r="AC22" s="13">
        <f ca="1">SUMPRODUCT(INDEX(bcEff,,25),INDEX(tlccEubc,,25))</f>
        <v>29081.764381512236</v>
      </c>
      <c r="AD22" s="13">
        <f ca="1">SUMPRODUCT(INDEX(bcEff,,26),INDEX(tlccEubc,,26))</f>
        <v>29265.411271500874</v>
      </c>
      <c r="AE22" s="13">
        <f ca="1">SUMPRODUCT(INDEX(bcEff,,27),INDEX(tlccEubc,,27))</f>
        <v>29450.242979195893</v>
      </c>
      <c r="AF22" s="13">
        <f ca="1">SUMPRODUCT(INDEX(bcEff,,28),INDEX(tlccEubc,,28))</f>
        <v>29636.267331317431</v>
      </c>
      <c r="AG22" s="13">
        <f ca="1">SUMPRODUCT(INDEX(bcEff,,29),INDEX(tlccEubc,,29))</f>
        <v>29823.492207589203</v>
      </c>
      <c r="AH22" s="13">
        <f ca="1">SUMPRODUCT(INDEX(bcEff,,30),INDEX(tlccEubc,,30))</f>
        <v>30011.925541106368</v>
      </c>
      <c r="AI22" s="13">
        <f ca="1">SUMPRODUCT(INDEX(bcEff,,31),INDEX(tlccEubc,,31))</f>
        <v>30201.575318706273</v>
      </c>
      <c r="AJ22" s="13">
        <f ca="1">SUMPRODUCT(INDEX(bcEff,,32),INDEX(tlccEubc,,32))</f>
        <v>30392.449581341622</v>
      </c>
      <c r="AK22" s="13">
        <f ca="1">SUMPRODUCT(INDEX(bcEff,,33),INDEX(tlccEubc,,33))</f>
        <v>30584.556424456427</v>
      </c>
      <c r="AL22" s="56">
        <f ca="1">SUMPRODUCT(INDEX(bcEff,,34),INDEX(tlccEubc,,34))</f>
        <v>30777.903998364527</v>
      </c>
      <c r="AM22" s="10"/>
    </row>
    <row r="23" spans="2:39" ht="15">
      <c r="B23" s="10"/>
      <c r="C23" s="16" t="s">
        <v>79</v>
      </c>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5"/>
      <c r="AM23" s="10"/>
    </row>
    <row r="24" spans="2:39" ht="15">
      <c r="B24" s="10"/>
      <c r="C24" s="28" t="str">
        <f>INDEX(_fuel,1)</f>
        <v>Electricity</v>
      </c>
      <c r="D24" s="12" t="s">
        <v>83</v>
      </c>
      <c r="E24" s="39">
        <f ca="1">SUMPRODUCT(INDEX(bcEff,,1),INDEX(tlccFubcElec,,1))</f>
        <v>4287.0735396146338</v>
      </c>
      <c r="F24" s="39">
        <f ca="1">SUMPRODUCT(INDEX(bcEff,,2),INDEX(tlccFubcElec,,2))</f>
        <v>4247.3082578385274</v>
      </c>
      <c r="G24" s="39">
        <f ca="1">SUMPRODUCT(INDEX(bcEff,,3),INDEX(tlccFubcElec,,3))</f>
        <v>4212.0041496261174</v>
      </c>
      <c r="H24" s="39">
        <f ca="1">SUMPRODUCT(INDEX(bcEff,,4),INDEX(tlccFubcElec,,4))</f>
        <v>4178.1859647587471</v>
      </c>
      <c r="I24" s="39">
        <f ca="1">SUMPRODUCT(INDEX(bcEff,,5),INDEX(tlccFubcElec,,5))</f>
        <v>4148.3868755470658</v>
      </c>
      <c r="J24" s="39">
        <f ca="1">SUMPRODUCT(INDEX(bcEff,,6),INDEX(tlccFubcElec,,6))</f>
        <v>4125.0342542729768</v>
      </c>
      <c r="K24" s="39">
        <f ca="1">SUMPRODUCT(INDEX(bcEff,,7),INDEX(tlccFubcElec,,7))</f>
        <v>4105.420033950908</v>
      </c>
      <c r="L24" s="39">
        <f ca="1">SUMPRODUCT(INDEX(bcEff,,8),INDEX(tlccFubcElec,,8))</f>
        <v>4085.570905395015</v>
      </c>
      <c r="M24" s="39">
        <f ca="1">SUMPRODUCT(INDEX(bcEff,,9),INDEX(tlccFubcElec,,9))</f>
        <v>4069.49690025578</v>
      </c>
      <c r="N24" s="39">
        <f ca="1">SUMPRODUCT(INDEX(bcEff,,10),INDEX(tlccFubcElec,,10))</f>
        <v>4058.1783695858912</v>
      </c>
      <c r="O24" s="39">
        <f ca="1">SUMPRODUCT(INDEX(bcEff,,11),INDEX(tlccFubcElec,,11))</f>
        <v>4049.7520139560088</v>
      </c>
      <c r="P24" s="39">
        <f ca="1">SUMPRODUCT(INDEX(bcEff,,12),INDEX(tlccFubcElec,,12))</f>
        <v>4042.5641814180976</v>
      </c>
      <c r="Q24" s="39">
        <f ca="1">SUMPRODUCT(INDEX(bcEff,,13),INDEX(tlccFubcElec,,13))</f>
        <v>4037.1682261114838</v>
      </c>
      <c r="R24" s="39">
        <f ca="1">SUMPRODUCT(INDEX(bcEff,,14),INDEX(tlccFubcElec,,14))</f>
        <v>4032.979422284267</v>
      </c>
      <c r="S24" s="39">
        <f ca="1">SUMPRODUCT(INDEX(bcEff,,15),INDEX(tlccFubcElec,,15))</f>
        <v>4032.1326588642955</v>
      </c>
      <c r="T24" s="39">
        <f ca="1">SUMPRODUCT(INDEX(bcEff,,16),INDEX(tlccFubcElec,,16))</f>
        <v>4032.8142320395646</v>
      </c>
      <c r="U24" s="39">
        <f ca="1">SUMPRODUCT(INDEX(bcEff,,17),INDEX(tlccFubcElec,,17))</f>
        <v>4034.0075175826705</v>
      </c>
      <c r="V24" s="39">
        <f ca="1">SUMPRODUCT(INDEX(bcEff,,18),INDEX(tlccFubcElec,,18))</f>
        <v>4035.8473222594703</v>
      </c>
      <c r="W24" s="39">
        <f ca="1">SUMPRODUCT(INDEX(bcEff,,19),INDEX(tlccFubcElec,,19))</f>
        <v>4037.6152808069328</v>
      </c>
      <c r="X24" s="39">
        <f ca="1">SUMPRODUCT(INDEX(bcEff,,20),INDEX(tlccFubcElec,,20))</f>
        <v>4039.0821659230314</v>
      </c>
      <c r="Y24" s="39">
        <f ca="1">SUMPRODUCT(INDEX(bcEff,,21),INDEX(tlccFubcElec,,21))</f>
        <v>4040.0656118437882</v>
      </c>
      <c r="Z24" s="39">
        <f ca="1">SUMPRODUCT(INDEX(bcEff,,22),INDEX(tlccFubcElec,,22))</f>
        <v>4040.7434192286801</v>
      </c>
      <c r="AA24" s="39">
        <f ca="1">SUMPRODUCT(INDEX(bcEff,,23),INDEX(tlccFubcElec,,23))</f>
        <v>4040.7434192286801</v>
      </c>
      <c r="AB24" s="39">
        <f ca="1">SUMPRODUCT(INDEX(bcEff,,24),INDEX(tlccFubcElec,,24))</f>
        <v>4040.7434192286801</v>
      </c>
      <c r="AC24" s="39">
        <f ca="1">SUMPRODUCT(INDEX(bcEff,,25),INDEX(tlccFubcElec,,25))</f>
        <v>4040.7434192286801</v>
      </c>
      <c r="AD24" s="39">
        <f ca="1">SUMPRODUCT(INDEX(bcEff,,26),INDEX(tlccFubcElec,,26))</f>
        <v>4040.7434192286801</v>
      </c>
      <c r="AE24" s="39">
        <f ca="1">SUMPRODUCT(INDEX(bcEff,,27),INDEX(tlccFubcElec,,27))</f>
        <v>4040.7434192286801</v>
      </c>
      <c r="AF24" s="39">
        <f ca="1">SUMPRODUCT(INDEX(bcEff,,28),INDEX(tlccFubcElec,,28))</f>
        <v>4040.7434192286801</v>
      </c>
      <c r="AG24" s="39">
        <f ca="1">SUMPRODUCT(INDEX(bcEff,,29),INDEX(tlccFubcElec,,29))</f>
        <v>4040.7434192286801</v>
      </c>
      <c r="AH24" s="39">
        <f ca="1">SUMPRODUCT(INDEX(bcEff,,30),INDEX(tlccFubcElec,,30))</f>
        <v>4040.7434192286801</v>
      </c>
      <c r="AI24" s="39">
        <f ca="1">SUMPRODUCT(INDEX(bcEff,,31),INDEX(tlccFubcElec,,31))</f>
        <v>4040.7434192286801</v>
      </c>
      <c r="AJ24" s="39">
        <f ca="1">SUMPRODUCT(INDEX(bcEff,,32),INDEX(tlccFubcElec,,32))</f>
        <v>4040.7434192286801</v>
      </c>
      <c r="AK24" s="39">
        <f ca="1">SUMPRODUCT(INDEX(bcEff,,33),INDEX(tlccFubcElec,,33))</f>
        <v>4040.7434192286801</v>
      </c>
      <c r="AL24" s="40">
        <f ca="1">SUMPRODUCT(INDEX(bcEff,,34),INDEX(tlccFubcElec,,34))</f>
        <v>4040.7434192286801</v>
      </c>
      <c r="AM24" s="10"/>
    </row>
    <row r="25" spans="2:39" ht="15">
      <c r="B25" s="10"/>
      <c r="C25" s="41" t="str">
        <f ca="1">"Stds Case (CSL " &amp; stdCSL &amp; "): " &amp; INDEX(_doName,3,stdCSL+1)</f>
        <v>Stds Case (CSL 5): EL 5</v>
      </c>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3"/>
      <c r="AM25" s="10"/>
    </row>
    <row r="26" spans="2:39" ht="15">
      <c r="B26" s="10"/>
      <c r="C26" s="16" t="s">
        <v>69</v>
      </c>
      <c r="D26" s="12" t="str">
        <f>_yearDol &amp; "$"</f>
        <v>2015$</v>
      </c>
      <c r="E26" s="13">
        <f>SUMPRODUCT(INDEX(polEff,,1),INDEX(IF($E$19&lt;yearC,tlccQubc,tlccQupol),,1))</f>
        <v>2264.2584854444176</v>
      </c>
      <c r="F26" s="13">
        <f>SUMPRODUCT(INDEX(polEff,,2),INDEX(IF($F$19&lt;yearC,tlccQubc,tlccQupol),,2))</f>
        <v>2264.2584854444176</v>
      </c>
      <c r="G26" s="13">
        <f>SUMPRODUCT(INDEX(polEff,,3),INDEX(IF($G$19&lt;yearC,tlccQubc,tlccQupol),,3))</f>
        <v>2264.2584854444176</v>
      </c>
      <c r="H26" s="13">
        <f ca="1">SUMPRODUCT(INDEX(polEff,,4),INDEX(IF($H$19&lt;yearC,tlccQubc,tlccQupol),,4))</f>
        <v>2494.0081661087174</v>
      </c>
      <c r="I26" s="13">
        <f ca="1">SUMPRODUCT(INDEX(polEff,,5),INDEX(IF($I$19&lt;yearC,tlccQubc,tlccQupol),,5))</f>
        <v>2494.0081661087174</v>
      </c>
      <c r="J26" s="13">
        <f ca="1">SUMPRODUCT(INDEX(polEff,,6),INDEX(tlccQupol,,6))</f>
        <v>2494.0081661087174</v>
      </c>
      <c r="K26" s="13">
        <f ca="1">SUMPRODUCT(INDEX(polEff,,7),INDEX(tlccQupol,,7))</f>
        <v>2494.0081661087174</v>
      </c>
      <c r="L26" s="13">
        <f ca="1">SUMPRODUCT(INDEX(polEff,,8),INDEX(tlccQupol,,8))</f>
        <v>2494.0081661087174</v>
      </c>
      <c r="M26" s="13">
        <f ca="1">SUMPRODUCT(INDEX(polEff,,9),INDEX(tlccQupol,,9))</f>
        <v>2494.0081661087174</v>
      </c>
      <c r="N26" s="13">
        <f ca="1">SUMPRODUCT(INDEX(polEff,,10),INDEX(tlccQupol,,10))</f>
        <v>2494.0081661087174</v>
      </c>
      <c r="O26" s="13">
        <f ca="1">SUMPRODUCT(INDEX(polEff,,11),INDEX(tlccQupol,,11))</f>
        <v>2494.0081661087174</v>
      </c>
      <c r="P26" s="13">
        <f ca="1">SUMPRODUCT(INDEX(polEff,,12),INDEX(tlccQupol,,12))</f>
        <v>2494.0081661087174</v>
      </c>
      <c r="Q26" s="13">
        <f ca="1">SUMPRODUCT(INDEX(polEff,,13),INDEX(tlccQupol,,13))</f>
        <v>2494.0081661087174</v>
      </c>
      <c r="R26" s="13">
        <f ca="1">SUMPRODUCT(INDEX(polEff,,14),INDEX(tlccQupol,,14))</f>
        <v>2494.0081661087174</v>
      </c>
      <c r="S26" s="13">
        <f ca="1">SUMPRODUCT(INDEX(polEff,,15),INDEX(tlccQupol,,15))</f>
        <v>2494.0081661087174</v>
      </c>
      <c r="T26" s="13">
        <f ca="1">SUMPRODUCT(INDEX(polEff,,16),INDEX(tlccQupol,,16))</f>
        <v>2494.0081661087174</v>
      </c>
      <c r="U26" s="13">
        <f ca="1">SUMPRODUCT(INDEX(polEff,,17),INDEX(tlccQupol,,17))</f>
        <v>2494.0081661087174</v>
      </c>
      <c r="V26" s="13">
        <f ca="1">SUMPRODUCT(INDEX(polEff,,18),INDEX(tlccQupol,,18))</f>
        <v>2494.0081661087174</v>
      </c>
      <c r="W26" s="13">
        <f ca="1">SUMPRODUCT(INDEX(polEff,,19),INDEX(tlccQupol,,19))</f>
        <v>2494.0081661087174</v>
      </c>
      <c r="X26" s="13">
        <f ca="1">SUMPRODUCT(INDEX(polEff,,20),INDEX(tlccQupol,,20))</f>
        <v>2494.0081661087174</v>
      </c>
      <c r="Y26" s="13">
        <f ca="1">SUMPRODUCT(INDEX(polEff,,21),INDEX(tlccQupol,,21))</f>
        <v>2494.0081661087174</v>
      </c>
      <c r="Z26" s="13">
        <f ca="1">SUMPRODUCT(INDEX(polEff,,22),INDEX(tlccQupol,,22))</f>
        <v>2494.0081661087174</v>
      </c>
      <c r="AA26" s="13">
        <f ca="1">SUMPRODUCT(INDEX(polEff,,23),INDEX(tlccQupol,,23))</f>
        <v>2494.0081661087174</v>
      </c>
      <c r="AB26" s="13">
        <f ca="1">SUMPRODUCT(INDEX(polEff,,24),INDEX(tlccQupol,,24))</f>
        <v>2494.0081661087174</v>
      </c>
      <c r="AC26" s="13">
        <f ca="1">SUMPRODUCT(INDEX(polEff,,25),INDEX(tlccQupol,,25))</f>
        <v>2494.0081661087174</v>
      </c>
      <c r="AD26" s="13">
        <f ca="1">SUMPRODUCT(INDEX(polEff,,26),INDEX(tlccQupol,,26))</f>
        <v>2494.0081661087174</v>
      </c>
      <c r="AE26" s="13">
        <f ca="1">SUMPRODUCT(INDEX(polEff,,27),INDEX(tlccQupol,,27))</f>
        <v>2494.0081661087174</v>
      </c>
      <c r="AF26" s="13">
        <f ca="1">SUMPRODUCT(INDEX(polEff,,28),INDEX(tlccQupol,,28))</f>
        <v>2494.0081661087174</v>
      </c>
      <c r="AG26" s="13">
        <f ca="1">SUMPRODUCT(INDEX(polEff,,29),INDEX(tlccQupol,,29))</f>
        <v>2494.0081661087174</v>
      </c>
      <c r="AH26" s="13">
        <f ca="1">SUMPRODUCT(INDEX(polEff,,30),INDEX(tlccQupol,,30))</f>
        <v>2494.0081661087174</v>
      </c>
      <c r="AI26" s="13">
        <f ca="1">SUMPRODUCT(INDEX(polEff,,31),INDEX(tlccQupol,,31))</f>
        <v>2494.0081661087174</v>
      </c>
      <c r="AJ26" s="13">
        <f ca="1">SUMPRODUCT(INDEX(polEff,,32),INDEX(tlccQupol,,32))</f>
        <v>2494.0081661087174</v>
      </c>
      <c r="AK26" s="13">
        <f ca="1">SUMPRODUCT(INDEX(polEff,,33),INDEX(tlccQupol,,33))</f>
        <v>2494.0081661087174</v>
      </c>
      <c r="AL26" s="56">
        <f ca="1">SUMPRODUCT(INDEX(polEff,,34),INDEX(tlccQupol,,34))</f>
        <v>2494.0081661087174</v>
      </c>
      <c r="AM26" s="10"/>
    </row>
    <row r="27" spans="2:39" ht="15">
      <c r="B27" s="10"/>
      <c r="C27" s="16" t="str">
        <f>zEO&amp;" Costs"</f>
        <v>Operating Costs</v>
      </c>
      <c r="D27" s="12" t="str">
        <f>_yearDol &amp; "$"</f>
        <v>2015$</v>
      </c>
      <c r="E27" s="13">
        <f ca="1">SUMPRODUCT(INDEX(polEff,,1),INDEX(IF($E$19&lt;yearC,tlccEubc,tlccEupol),,1))</f>
        <v>24892.482565494611</v>
      </c>
      <c r="F27" s="13">
        <f ca="1">SUMPRODUCT(INDEX(polEff,,2),INDEX(IF($F$19&lt;yearC,tlccEubc,tlccEupol),,2))</f>
        <v>25102.672282124222</v>
      </c>
      <c r="G27" s="13">
        <f ca="1">SUMPRODUCT(INDEX(polEff,,3),INDEX(IF($G$19&lt;yearC,tlccEubc,tlccEupol),,3))</f>
        <v>25305.526325755287</v>
      </c>
      <c r="H27" s="13">
        <f ca="1">SUMPRODUCT(INDEX(polEff,,4),INDEX(IF($H$19&lt;yearC,tlccEubc,tlccEupol),,4))</f>
        <v>24782.81330082714</v>
      </c>
      <c r="I27" s="13">
        <f ca="1">SUMPRODUCT(INDEX(polEff,,5),INDEX(IF($I$19&lt;yearC,tlccEubc,tlccEupol),,5))</f>
        <v>24938.871699728305</v>
      </c>
      <c r="J27" s="13">
        <f ca="1">SUMPRODUCT(INDEX(polEff,,6),INDEX(tlccEupol,,6))</f>
        <v>25095.933715524232</v>
      </c>
      <c r="K27" s="13">
        <f ca="1">SUMPRODUCT(INDEX(polEff,,7),INDEX(tlccEupol,,7))</f>
        <v>25254.005955085231</v>
      </c>
      <c r="L27" s="13">
        <f ca="1">SUMPRODUCT(INDEX(polEff,,8),INDEX(tlccEupol,,8))</f>
        <v>25413.095069865132</v>
      </c>
      <c r="M27" s="13">
        <f ca="1">SUMPRODUCT(INDEX(polEff,,9),INDEX(tlccEupol,,9))</f>
        <v>25573.207756209769</v>
      </c>
      <c r="N27" s="13">
        <f ca="1">SUMPRODUCT(INDEX(polEff,,10),INDEX(tlccEupol,,10))</f>
        <v>25734.350755667561</v>
      </c>
      <c r="O27" s="13">
        <f ca="1">SUMPRODUCT(INDEX(polEff,,11),INDEX(tlccEupol,,11))</f>
        <v>25896.530855302342</v>
      </c>
      <c r="P27" s="13">
        <f ca="1">SUMPRODUCT(INDEX(polEff,,12),INDEX(tlccEupol,,12))</f>
        <v>26059.754888008538</v>
      </c>
      <c r="Q27" s="13">
        <f ca="1">SUMPRODUCT(INDEX(polEff,,13),INDEX(tlccEupol,,13))</f>
        <v>26224.02973282837</v>
      </c>
      <c r="R27" s="13">
        <f ca="1">SUMPRODUCT(INDEX(polEff,,14),INDEX(tlccEupol,,14))</f>
        <v>26389.362315271439</v>
      </c>
      <c r="S27" s="13">
        <f ca="1">SUMPRODUCT(INDEX(polEff,,15),INDEX(tlccEupol,,15))</f>
        <v>26555.759607636501</v>
      </c>
      <c r="T27" s="13">
        <f ca="1">SUMPRODUCT(INDEX(polEff,,16),INDEX(tlccEupol,,16))</f>
        <v>26723.22862933563</v>
      </c>
      <c r="U27" s="13">
        <f ca="1">SUMPRODUCT(INDEX(polEff,,17),INDEX(tlccEupol,,17))</f>
        <v>26891.776447220553</v>
      </c>
      <c r="V27" s="13">
        <f ca="1">SUMPRODUCT(INDEX(polEff,,18),INDEX(tlccEupol,,18))</f>
        <v>27061.410175911489</v>
      </c>
      <c r="W27" s="13">
        <f ca="1">SUMPRODUCT(INDEX(polEff,,19),INDEX(tlccEupol,,19))</f>
        <v>27232.136978127932</v>
      </c>
      <c r="X27" s="13">
        <f ca="1">SUMPRODUCT(INDEX(polEff,,20),INDEX(tlccEupol,,20))</f>
        <v>27403.964065022377</v>
      </c>
      <c r="Y27" s="13">
        <f ca="1">SUMPRODUCT(INDEX(polEff,,21),INDEX(tlccEupol,,21))</f>
        <v>27576.89869651584</v>
      </c>
      <c r="Z27" s="13">
        <f ca="1">SUMPRODUCT(INDEX(polEff,,22),INDEX(tlccEupol,,22))</f>
        <v>27750.948181636086</v>
      </c>
      <c r="AA27" s="13">
        <f ca="1">SUMPRODUCT(INDEX(polEff,,23),INDEX(tlccEupol,,23))</f>
        <v>27926.119878858193</v>
      </c>
      <c r="AB27" s="13">
        <f ca="1">SUMPRODUCT(INDEX(polEff,,24),INDEX(tlccEupol,,24))</f>
        <v>28102.421196447529</v>
      </c>
      <c r="AC27" s="13">
        <f ca="1">SUMPRODUCT(INDEX(polEff,,25),INDEX(tlccEupol,,25))</f>
        <v>28279.859592805056</v>
      </c>
      <c r="AD27" s="13">
        <f ca="1">SUMPRODUCT(INDEX(polEff,,26),INDEX(tlccEupol,,26))</f>
        <v>28458.442576815309</v>
      </c>
      <c r="AE27" s="13">
        <f ca="1">SUMPRODUCT(INDEX(polEff,,27),INDEX(tlccEupol,,27))</f>
        <v>28638.177708196687</v>
      </c>
      <c r="AF27" s="13">
        <f ca="1">SUMPRODUCT(INDEX(polEff,,28),INDEX(tlccEupol,,28))</f>
        <v>28819.072597854218</v>
      </c>
      <c r="AG27" s="13">
        <f ca="1">SUMPRODUCT(INDEX(polEff,,29),INDEX(tlccEupol,,29))</f>
        <v>29001.134908234933</v>
      </c>
      <c r="AH27" s="13">
        <f ca="1">SUMPRODUCT(INDEX(polEff,,30),INDEX(tlccEupol,,30))</f>
        <v>29184.372353685721</v>
      </c>
      <c r="AI27" s="13">
        <f ca="1">SUMPRODUCT(INDEX(polEff,,31),INDEX(tlccEupol,,31))</f>
        <v>29368.792700813672</v>
      </c>
      <c r="AJ27" s="13">
        <f ca="1">SUMPRODUCT(INDEX(polEff,,32),INDEX(tlccEupol,,32))</f>
        <v>29554.403768849123</v>
      </c>
      <c r="AK27" s="13">
        <f ca="1">SUMPRODUCT(INDEX(polEff,,33),INDEX(tlccEupol,,33))</f>
        <v>29741.213430011136</v>
      </c>
      <c r="AL27" s="56">
        <f ca="1">SUMPRODUCT(INDEX(polEff,,34),INDEX(tlccEupol,,34))</f>
        <v>29929.229609875605</v>
      </c>
      <c r="AM27" s="10"/>
    </row>
    <row r="28" spans="2:39" ht="15">
      <c r="B28" s="10"/>
      <c r="C28" s="16" t="s">
        <v>79</v>
      </c>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5"/>
      <c r="AM28" s="10"/>
    </row>
    <row r="29" spans="2:39" ht="15">
      <c r="B29" s="10"/>
      <c r="C29" s="45" t="str">
        <f>INDEX(_fuel,1)</f>
        <v>Electricity</v>
      </c>
      <c r="D29" s="18" t="s">
        <v>83</v>
      </c>
      <c r="E29" s="49">
        <f ca="1">SUMPRODUCT(INDEX(polEff,,1),INDEX(IF($E$19&lt;yearC,tlccFubcElec,tlccFupolElec),,1))</f>
        <v>4287.0735396146338</v>
      </c>
      <c r="F29" s="49">
        <f ca="1">SUMPRODUCT(INDEX(polEff,,2),INDEX(IF($F$19&lt;yearC,tlccFubcElec,tlccFupolElec),,2))</f>
        <v>4247.3082578385274</v>
      </c>
      <c r="G29" s="49">
        <f ca="1">SUMPRODUCT(INDEX(polEff,,3),INDEX(IF($G$19&lt;yearC,tlccFubcElec,tlccFupolElec),,3))</f>
        <v>4212.0041496261174</v>
      </c>
      <c r="H29" s="49">
        <f ca="1">SUMPRODUCT(INDEX(polEff,,4),INDEX(IF($H$19&lt;yearC,tlccFubcElec,tlccFupolElec),,4))</f>
        <v>4062.9760590152309</v>
      </c>
      <c r="I29" s="49">
        <f ca="1">SUMPRODUCT(INDEX(polEff,,5),INDEX(IF($I$19&lt;yearC,tlccFubcElec,tlccFupolElec),,5))</f>
        <v>4033.9986542111556</v>
      </c>
      <c r="J29" s="49">
        <f ca="1">SUMPRODUCT(INDEX(polEff,,6),INDEX(tlccFupolElec,,6))</f>
        <v>4011.2899615028468</v>
      </c>
      <c r="K29" s="49">
        <f ca="1">SUMPRODUCT(INDEX(polEff,,7),INDEX(tlccFupolElec,,7))</f>
        <v>3992.2165865365369</v>
      </c>
      <c r="L29" s="49">
        <f ca="1">SUMPRODUCT(INDEX(polEff,,8),INDEX(tlccFupolElec,,8))</f>
        <v>3972.9147807301115</v>
      </c>
      <c r="M29" s="49">
        <f ca="1">SUMPRODUCT(INDEX(polEff,,9),INDEX(tlccFupolElec,,9))</f>
        <v>3957.2840025397563</v>
      </c>
      <c r="N29" s="49">
        <f ca="1">SUMPRODUCT(INDEX(polEff,,10),INDEX(tlccFupolElec,,10))</f>
        <v>3946.2775706760549</v>
      </c>
      <c r="O29" s="49">
        <f ca="1">SUMPRODUCT(INDEX(polEff,,11),INDEX(tlccFupolElec,,11))</f>
        <v>3938.0835645983634</v>
      </c>
      <c r="P29" s="49">
        <f ca="1">SUMPRODUCT(INDEX(polEff,,12),INDEX(tlccFupolElec,,12))</f>
        <v>3931.0939303972841</v>
      </c>
      <c r="Q29" s="49">
        <f ca="1">SUMPRODUCT(INDEX(polEff,,13),INDEX(tlccFupolElec,,13))</f>
        <v>3925.8467639448563</v>
      </c>
      <c r="R29" s="49">
        <f ca="1">SUMPRODUCT(INDEX(polEff,,14),INDEX(tlccFupolElec,,14))</f>
        <v>3921.7734628018629</v>
      </c>
      <c r="S29" s="49">
        <f ca="1">SUMPRODUCT(INDEX(polEff,,15),INDEX(tlccFupolElec,,15))</f>
        <v>3920.9500481592377</v>
      </c>
      <c r="T29" s="49">
        <f ca="1">SUMPRODUCT(INDEX(polEff,,16),INDEX(tlccFupolElec,,16))</f>
        <v>3921.6128275369247</v>
      </c>
      <c r="U29" s="49">
        <f ca="1">SUMPRODUCT(INDEX(polEff,,17),INDEX(tlccFupolElec,,17))</f>
        <v>3922.7732092514057</v>
      </c>
      <c r="V29" s="49">
        <f ca="1">SUMPRODUCT(INDEX(polEff,,18),INDEX(tlccFupolElec,,18))</f>
        <v>3924.5622828872256</v>
      </c>
      <c r="W29" s="49">
        <f ca="1">SUMPRODUCT(INDEX(polEff,,19),INDEX(tlccFupolElec,,19))</f>
        <v>3926.2814914892979</v>
      </c>
      <c r="X29" s="49">
        <f ca="1">SUMPRODUCT(INDEX(polEff,,20),INDEX(tlccFupolElec,,20))</f>
        <v>3927.7079285024674</v>
      </c>
      <c r="Y29" s="49">
        <f ca="1">SUMPRODUCT(INDEX(polEff,,21),INDEX(tlccFupolElec,,21))</f>
        <v>3928.6642567427784</v>
      </c>
      <c r="Z29" s="49">
        <f ca="1">SUMPRODUCT(INDEX(polEff,,22),INDEX(tlccFupolElec,,22))</f>
        <v>3929.3233741685381</v>
      </c>
      <c r="AA29" s="49">
        <f ca="1">SUMPRODUCT(INDEX(polEff,,23),INDEX(tlccFupolElec,,23))</f>
        <v>3929.3233741685381</v>
      </c>
      <c r="AB29" s="49">
        <f ca="1">SUMPRODUCT(INDEX(polEff,,24),INDEX(tlccFupolElec,,24))</f>
        <v>3929.3233741685381</v>
      </c>
      <c r="AC29" s="49">
        <f ca="1">SUMPRODUCT(INDEX(polEff,,25),INDEX(tlccFupolElec,,25))</f>
        <v>3929.3233741685381</v>
      </c>
      <c r="AD29" s="49">
        <f ca="1">SUMPRODUCT(INDEX(polEff,,26),INDEX(tlccFupolElec,,26))</f>
        <v>3929.3233741685381</v>
      </c>
      <c r="AE29" s="49">
        <f ca="1">SUMPRODUCT(INDEX(polEff,,27),INDEX(tlccFupolElec,,27))</f>
        <v>3929.3233741685381</v>
      </c>
      <c r="AF29" s="49">
        <f ca="1">SUMPRODUCT(INDEX(polEff,,28),INDEX(tlccFupolElec,,28))</f>
        <v>3929.3233741685381</v>
      </c>
      <c r="AG29" s="49">
        <f ca="1">SUMPRODUCT(INDEX(polEff,,29),INDEX(tlccFupolElec,,29))</f>
        <v>3929.3233741685381</v>
      </c>
      <c r="AH29" s="49">
        <f ca="1">SUMPRODUCT(INDEX(polEff,,30),INDEX(tlccFupolElec,,30))</f>
        <v>3929.3233741685381</v>
      </c>
      <c r="AI29" s="49">
        <f ca="1">SUMPRODUCT(INDEX(polEff,,31),INDEX(tlccFupolElec,,31))</f>
        <v>3929.3233741685381</v>
      </c>
      <c r="AJ29" s="49">
        <f ca="1">SUMPRODUCT(INDEX(polEff,,32),INDEX(tlccFupolElec,,32))</f>
        <v>3929.3233741685381</v>
      </c>
      <c r="AK29" s="49">
        <f ca="1">SUMPRODUCT(INDEX(polEff,,33),INDEX(tlccFupolElec,,33))</f>
        <v>3929.3233741685381</v>
      </c>
      <c r="AL29" s="50">
        <f ca="1">SUMPRODUCT(INDEX(polEff,,34),INDEX(tlccFupolElec,,34))</f>
        <v>3929.3233741685381</v>
      </c>
      <c r="AM29" s="284">
        <f ca="1">SUM(tlccFmElecPol)</f>
        <v>134993.89719279369</v>
      </c>
    </row>
    <row r="30" spans="2:39" ht="15">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row>
    <row r="31" spans="2:39" ht="15">
      <c r="B31" s="10"/>
      <c r="C31" s="22" t="s">
        <v>91</v>
      </c>
      <c r="D31" s="23"/>
      <c r="E31" s="24">
        <f t="array" ref="E31:AL31">_yS</f>
        <v>2019</v>
      </c>
      <c r="F31" s="24">
        <v>2020</v>
      </c>
      <c r="G31" s="24">
        <v>2021</v>
      </c>
      <c r="H31" s="24">
        <v>2022</v>
      </c>
      <c r="I31" s="24">
        <v>2023</v>
      </c>
      <c r="J31" s="24">
        <v>2024</v>
      </c>
      <c r="K31" s="24">
        <v>2025</v>
      </c>
      <c r="L31" s="24">
        <v>2026</v>
      </c>
      <c r="M31" s="24">
        <v>2027</v>
      </c>
      <c r="N31" s="24">
        <v>2028</v>
      </c>
      <c r="O31" s="24">
        <v>2029</v>
      </c>
      <c r="P31" s="24">
        <v>2030</v>
      </c>
      <c r="Q31" s="24">
        <v>2031</v>
      </c>
      <c r="R31" s="24">
        <v>2032</v>
      </c>
      <c r="S31" s="24">
        <v>2033</v>
      </c>
      <c r="T31" s="24">
        <v>2034</v>
      </c>
      <c r="U31" s="24">
        <v>2035</v>
      </c>
      <c r="V31" s="24">
        <v>2036</v>
      </c>
      <c r="W31" s="24">
        <v>2037</v>
      </c>
      <c r="X31" s="24">
        <v>2038</v>
      </c>
      <c r="Y31" s="24">
        <v>2039</v>
      </c>
      <c r="Z31" s="24">
        <v>2040</v>
      </c>
      <c r="AA31" s="24">
        <v>2041</v>
      </c>
      <c r="AB31" s="24">
        <v>2042</v>
      </c>
      <c r="AC31" s="24">
        <v>2043</v>
      </c>
      <c r="AD31" s="24">
        <v>2044</v>
      </c>
      <c r="AE31" s="24">
        <v>2045</v>
      </c>
      <c r="AF31" s="24">
        <v>2046</v>
      </c>
      <c r="AG31" s="24">
        <v>2047</v>
      </c>
      <c r="AH31" s="24">
        <v>2048</v>
      </c>
      <c r="AI31" s="24">
        <v>2049</v>
      </c>
      <c r="AJ31" s="24">
        <v>2050</v>
      </c>
      <c r="AK31" s="24">
        <v>2051</v>
      </c>
      <c r="AL31" s="25">
        <v>2052</v>
      </c>
      <c r="AM31" s="10"/>
    </row>
    <row r="32" spans="2:39" ht="15">
      <c r="B32" s="10"/>
      <c r="C32" s="11" t="str">
        <f>"EL 0: " &amp; INDEX(_doName,3,1)</f>
        <v>EL 0: EL 2</v>
      </c>
      <c r="D32" s="12" t="s">
        <v>47</v>
      </c>
      <c r="E32" s="29">
        <f t="array" ref="E32:E38">IF($E$31&lt;yearC,INDEX(refEff,,1),MMULT(mRoll,INDEX(refEff,,1))+INDEX(elastAdjust,,1))</f>
        <v>0.152</v>
      </c>
      <c r="F32" s="29">
        <f t="array" ref="F32:F38">IF($F$31&lt;yearC,INDEX(refEff,,2),MMULT(mRoll,INDEX(refEff,,2))+INDEX(elastAdjust,,2))</f>
        <v>0.152</v>
      </c>
      <c r="G32" s="29">
        <f t="array" ref="G32:G38">IF($G$31&lt;yearC,INDEX(refEff,,3),MMULT(mRoll,INDEX(refEff,,3))+INDEX(elastAdjust,,3))</f>
        <v>0.152</v>
      </c>
      <c r="H32" s="29">
        <f t="array" aca="1" ref="H32:H38" ca="1">IF($H$31&lt;yearC,INDEX(refEff,,4),MMULT(mRoll,INDEX(refEff,,4))+INDEX(elastAdjust,,4))</f>
        <v>0</v>
      </c>
      <c r="I32" s="29">
        <f t="array" aca="1" ref="I32:I38" ca="1">IF($I$31&lt;yearC,INDEX(refEff,,5),MMULT(mRoll,INDEX(refEff,,5))+INDEX(elastAdjust,,5))</f>
        <v>0</v>
      </c>
      <c r="J32" s="29">
        <f t="array" aca="1" ref="J32:J38" ca="1">MMULT(mRoll,INDEX(refEff,,6))+INDEX(elastAdjust,,6)</f>
        <v>0</v>
      </c>
      <c r="K32" s="29">
        <f t="array" aca="1" ref="K32:K38" ca="1">MMULT(mRoll,INDEX(refEff,,7))+INDEX(elastAdjust,,7)</f>
        <v>0</v>
      </c>
      <c r="L32" s="29">
        <f t="array" aca="1" ref="L32:L38" ca="1">MMULT(mRoll,INDEX(refEff,,8))+INDEX(elastAdjust,,8)</f>
        <v>0</v>
      </c>
      <c r="M32" s="29">
        <f t="array" aca="1" ref="M32:M38" ca="1">MMULT(mRoll,INDEX(refEff,,9))+INDEX(elastAdjust,,9)</f>
        <v>0</v>
      </c>
      <c r="N32" s="29">
        <f t="array" aca="1" ref="N32:N38" ca="1">MMULT(mRoll,INDEX(refEff,,10))+INDEX(elastAdjust,,10)</f>
        <v>0</v>
      </c>
      <c r="O32" s="29">
        <f t="array" aca="1" ref="O32:O38" ca="1">MMULT(mRoll,INDEX(refEff,,11))+INDEX(elastAdjust,,11)</f>
        <v>0</v>
      </c>
      <c r="P32" s="29">
        <f t="array" aca="1" ref="P32:P38" ca="1">MMULT(mRoll,INDEX(refEff,,12))+INDEX(elastAdjust,,12)</f>
        <v>0</v>
      </c>
      <c r="Q32" s="29">
        <f t="array" aca="1" ref="Q32:Q38" ca="1">MMULT(mRoll,INDEX(refEff,,13))+INDEX(elastAdjust,,13)</f>
        <v>0</v>
      </c>
      <c r="R32" s="29">
        <f t="array" aca="1" ref="R32:R38" ca="1">MMULT(mRoll,INDEX(refEff,,14))+INDEX(elastAdjust,,14)</f>
        <v>0</v>
      </c>
      <c r="S32" s="29">
        <f t="array" aca="1" ref="S32:S38" ca="1">MMULT(mRoll,INDEX(refEff,,15))+INDEX(elastAdjust,,15)</f>
        <v>0</v>
      </c>
      <c r="T32" s="29">
        <f t="array" aca="1" ref="T32:T38" ca="1">MMULT(mRoll,INDEX(refEff,,16))+INDEX(elastAdjust,,16)</f>
        <v>0</v>
      </c>
      <c r="U32" s="29">
        <f t="array" aca="1" ref="U32:U38" ca="1">MMULT(mRoll,INDEX(refEff,,17))+INDEX(elastAdjust,,17)</f>
        <v>0</v>
      </c>
      <c r="V32" s="29">
        <f t="array" aca="1" ref="V32:V38" ca="1">MMULT(mRoll,INDEX(refEff,,18))+INDEX(elastAdjust,,18)</f>
        <v>0</v>
      </c>
      <c r="W32" s="29">
        <f t="array" aca="1" ref="W32:W38" ca="1">MMULT(mRoll,INDEX(refEff,,19))+INDEX(elastAdjust,,19)</f>
        <v>0</v>
      </c>
      <c r="X32" s="29">
        <f t="array" aca="1" ref="X32:X38" ca="1">MMULT(mRoll,INDEX(refEff,,20))+INDEX(elastAdjust,,20)</f>
        <v>0</v>
      </c>
      <c r="Y32" s="29">
        <f t="array" aca="1" ref="Y32:Y38" ca="1">MMULT(mRoll,INDEX(refEff,,21))+INDEX(elastAdjust,,21)</f>
        <v>0</v>
      </c>
      <c r="Z32" s="29">
        <f t="array" aca="1" ref="Z32:Z38" ca="1">MMULT(mRoll,INDEX(refEff,,22))+INDEX(elastAdjust,,22)</f>
        <v>0</v>
      </c>
      <c r="AA32" s="29">
        <f t="array" aca="1" ref="AA32:AA38" ca="1">MMULT(mRoll,INDEX(refEff,,23))+INDEX(elastAdjust,,23)</f>
        <v>0</v>
      </c>
      <c r="AB32" s="29">
        <f t="array" aca="1" ref="AB32:AB38" ca="1">MMULT(mRoll,INDEX(refEff,,24))+INDEX(elastAdjust,,24)</f>
        <v>0</v>
      </c>
      <c r="AC32" s="29">
        <f t="array" aca="1" ref="AC32:AC38" ca="1">MMULT(mRoll,INDEX(refEff,,25))+INDEX(elastAdjust,,25)</f>
        <v>0</v>
      </c>
      <c r="AD32" s="29">
        <f t="array" aca="1" ref="AD32:AD38" ca="1">MMULT(mRoll,INDEX(refEff,,26))+INDEX(elastAdjust,,26)</f>
        <v>0</v>
      </c>
      <c r="AE32" s="29">
        <f t="array" aca="1" ref="AE32:AE38" ca="1">MMULT(mRoll,INDEX(refEff,,27))+INDEX(elastAdjust,,27)</f>
        <v>0</v>
      </c>
      <c r="AF32" s="29">
        <f t="array" aca="1" ref="AF32:AF38" ca="1">MMULT(mRoll,INDEX(refEff,,28))+INDEX(elastAdjust,,28)</f>
        <v>0</v>
      </c>
      <c r="AG32" s="29">
        <f t="array" aca="1" ref="AG32:AG38" ca="1">MMULT(mRoll,INDEX(refEff,,29))+INDEX(elastAdjust,,29)</f>
        <v>0</v>
      </c>
      <c r="AH32" s="29">
        <f t="array" aca="1" ref="AH32:AH38" ca="1">MMULT(mRoll,INDEX(refEff,,30))+INDEX(elastAdjust,,30)</f>
        <v>0</v>
      </c>
      <c r="AI32" s="29">
        <f t="array" aca="1" ref="AI32:AI38" ca="1">MMULT(mRoll,INDEX(refEff,,31))+INDEX(elastAdjust,,31)</f>
        <v>0</v>
      </c>
      <c r="AJ32" s="29">
        <f t="array" aca="1" ref="AJ32:AJ38" ca="1">MMULT(mRoll,INDEX(refEff,,32))+INDEX(elastAdjust,,32)</f>
        <v>0</v>
      </c>
      <c r="AK32" s="29">
        <f t="array" aca="1" ref="AK32:AK38" ca="1">MMULT(mRoll,INDEX(refEff,,33))+INDEX(elastAdjust,,33)</f>
        <v>0</v>
      </c>
      <c r="AL32" s="44">
        <f t="array" aca="1" ref="AL32:AL38" ca="1">MMULT(mRoll,INDEX(refEff,,34))+INDEX(elastAdjust,,34)</f>
        <v>0</v>
      </c>
      <c r="AM32" s="10"/>
    </row>
    <row r="33" spans="2:39" ht="15">
      <c r="B33" s="10"/>
      <c r="C33" s="11" t="str">
        <f>"EL 1: " &amp; INDEX(_doName,3,2)</f>
        <v>EL 1: EL 1</v>
      </c>
      <c r="D33" s="12" t="s">
        <v>47</v>
      </c>
      <c r="E33" s="29">
        <v>3.7999999999999999E-2</v>
      </c>
      <c r="F33" s="29">
        <v>3.7999999999999999E-2</v>
      </c>
      <c r="G33" s="29">
        <v>3.7999999999999999E-2</v>
      </c>
      <c r="H33" s="29">
        <f ca="1"/>
        <v>0</v>
      </c>
      <c r="I33" s="29">
        <f ca="1"/>
        <v>0</v>
      </c>
      <c r="J33" s="29">
        <f ca="1"/>
        <v>0</v>
      </c>
      <c r="K33" s="29">
        <f ca="1"/>
        <v>0</v>
      </c>
      <c r="L33" s="29">
        <f ca="1"/>
        <v>0</v>
      </c>
      <c r="M33" s="29">
        <f ca="1"/>
        <v>0</v>
      </c>
      <c r="N33" s="29">
        <f ca="1"/>
        <v>0</v>
      </c>
      <c r="O33" s="29">
        <f ca="1"/>
        <v>0</v>
      </c>
      <c r="P33" s="29">
        <f ca="1"/>
        <v>0</v>
      </c>
      <c r="Q33" s="29">
        <f ca="1"/>
        <v>0</v>
      </c>
      <c r="R33" s="29">
        <f ca="1"/>
        <v>0</v>
      </c>
      <c r="S33" s="29">
        <f ca="1"/>
        <v>0</v>
      </c>
      <c r="T33" s="29">
        <f ca="1"/>
        <v>0</v>
      </c>
      <c r="U33" s="29">
        <f ca="1"/>
        <v>0</v>
      </c>
      <c r="V33" s="29">
        <f ca="1"/>
        <v>0</v>
      </c>
      <c r="W33" s="29">
        <f ca="1"/>
        <v>0</v>
      </c>
      <c r="X33" s="29">
        <f ca="1"/>
        <v>0</v>
      </c>
      <c r="Y33" s="29">
        <f ca="1"/>
        <v>0</v>
      </c>
      <c r="Z33" s="29">
        <f ca="1"/>
        <v>0</v>
      </c>
      <c r="AA33" s="29">
        <f ca="1"/>
        <v>0</v>
      </c>
      <c r="AB33" s="29">
        <f ca="1"/>
        <v>0</v>
      </c>
      <c r="AC33" s="29">
        <f ca="1"/>
        <v>0</v>
      </c>
      <c r="AD33" s="29">
        <f ca="1"/>
        <v>0</v>
      </c>
      <c r="AE33" s="29">
        <f ca="1"/>
        <v>0</v>
      </c>
      <c r="AF33" s="29">
        <f ca="1"/>
        <v>0</v>
      </c>
      <c r="AG33" s="29">
        <f ca="1"/>
        <v>0</v>
      </c>
      <c r="AH33" s="29">
        <f ca="1"/>
        <v>0</v>
      </c>
      <c r="AI33" s="29">
        <f ca="1"/>
        <v>0</v>
      </c>
      <c r="AJ33" s="29">
        <f ca="1"/>
        <v>0</v>
      </c>
      <c r="AK33" s="29">
        <f ca="1"/>
        <v>0</v>
      </c>
      <c r="AL33" s="44">
        <f ca="1"/>
        <v>0</v>
      </c>
      <c r="AM33" s="10"/>
    </row>
    <row r="34" spans="2:39" ht="15">
      <c r="B34" s="10"/>
      <c r="C34" s="11" t="str">
        <f>"EL 2: " &amp; INDEX(_doName,3,3)</f>
        <v>EL 2: EL 2</v>
      </c>
      <c r="D34" s="12" t="s">
        <v>47</v>
      </c>
      <c r="E34" s="29">
        <v>0.05</v>
      </c>
      <c r="F34" s="29">
        <v>0.05</v>
      </c>
      <c r="G34" s="29">
        <v>0.05</v>
      </c>
      <c r="H34" s="29">
        <f ca="1"/>
        <v>0</v>
      </c>
      <c r="I34" s="29">
        <f ca="1"/>
        <v>0</v>
      </c>
      <c r="J34" s="29">
        <f ca="1"/>
        <v>0</v>
      </c>
      <c r="K34" s="29">
        <f ca="1"/>
        <v>0</v>
      </c>
      <c r="L34" s="29">
        <f ca="1"/>
        <v>0</v>
      </c>
      <c r="M34" s="29">
        <f ca="1"/>
        <v>0</v>
      </c>
      <c r="N34" s="29">
        <f ca="1"/>
        <v>0</v>
      </c>
      <c r="O34" s="29">
        <f ca="1"/>
        <v>0</v>
      </c>
      <c r="P34" s="29">
        <f ca="1"/>
        <v>0</v>
      </c>
      <c r="Q34" s="29">
        <f ca="1"/>
        <v>0</v>
      </c>
      <c r="R34" s="29">
        <f ca="1"/>
        <v>0</v>
      </c>
      <c r="S34" s="29">
        <f ca="1"/>
        <v>0</v>
      </c>
      <c r="T34" s="29">
        <f ca="1"/>
        <v>0</v>
      </c>
      <c r="U34" s="29">
        <f ca="1"/>
        <v>0</v>
      </c>
      <c r="V34" s="29">
        <f ca="1"/>
        <v>0</v>
      </c>
      <c r="W34" s="29">
        <f ca="1"/>
        <v>0</v>
      </c>
      <c r="X34" s="29">
        <f ca="1"/>
        <v>0</v>
      </c>
      <c r="Y34" s="29">
        <f ca="1"/>
        <v>0</v>
      </c>
      <c r="Z34" s="29">
        <f ca="1"/>
        <v>0</v>
      </c>
      <c r="AA34" s="29">
        <f ca="1"/>
        <v>0</v>
      </c>
      <c r="AB34" s="29">
        <f ca="1"/>
        <v>0</v>
      </c>
      <c r="AC34" s="29">
        <f ca="1"/>
        <v>0</v>
      </c>
      <c r="AD34" s="29">
        <f ca="1"/>
        <v>0</v>
      </c>
      <c r="AE34" s="29">
        <f ca="1"/>
        <v>0</v>
      </c>
      <c r="AF34" s="29">
        <f ca="1"/>
        <v>0</v>
      </c>
      <c r="AG34" s="29">
        <f ca="1"/>
        <v>0</v>
      </c>
      <c r="AH34" s="29">
        <f ca="1"/>
        <v>0</v>
      </c>
      <c r="AI34" s="29">
        <f ca="1"/>
        <v>0</v>
      </c>
      <c r="AJ34" s="29">
        <f ca="1"/>
        <v>0</v>
      </c>
      <c r="AK34" s="29">
        <f ca="1"/>
        <v>0</v>
      </c>
      <c r="AL34" s="44">
        <f ca="1"/>
        <v>0</v>
      </c>
      <c r="AM34" s="10"/>
    </row>
    <row r="35" spans="2:39" ht="15">
      <c r="B35" s="10"/>
      <c r="C35" s="11" t="str">
        <f>"EL 3: " &amp; INDEX(_doName,3,4)</f>
        <v>EL 3: EL 3</v>
      </c>
      <c r="D35" s="12" t="s">
        <v>47</v>
      </c>
      <c r="E35" s="29">
        <v>6.7000000000000004E-2</v>
      </c>
      <c r="F35" s="29">
        <v>6.7000000000000004E-2</v>
      </c>
      <c r="G35" s="29">
        <v>6.7000000000000004E-2</v>
      </c>
      <c r="H35" s="29">
        <f ca="1"/>
        <v>0</v>
      </c>
      <c r="I35" s="29">
        <f ca="1"/>
        <v>0</v>
      </c>
      <c r="J35" s="29">
        <f ca="1"/>
        <v>0</v>
      </c>
      <c r="K35" s="29">
        <f ca="1"/>
        <v>0</v>
      </c>
      <c r="L35" s="29">
        <f ca="1"/>
        <v>0</v>
      </c>
      <c r="M35" s="29">
        <f ca="1"/>
        <v>0</v>
      </c>
      <c r="N35" s="29">
        <f ca="1"/>
        <v>0</v>
      </c>
      <c r="O35" s="29">
        <f ca="1"/>
        <v>0</v>
      </c>
      <c r="P35" s="29">
        <f ca="1"/>
        <v>0</v>
      </c>
      <c r="Q35" s="29">
        <f ca="1"/>
        <v>0</v>
      </c>
      <c r="R35" s="29">
        <f ca="1"/>
        <v>0</v>
      </c>
      <c r="S35" s="29">
        <f ca="1"/>
        <v>0</v>
      </c>
      <c r="T35" s="29">
        <f ca="1"/>
        <v>0</v>
      </c>
      <c r="U35" s="29">
        <f ca="1"/>
        <v>0</v>
      </c>
      <c r="V35" s="29">
        <f ca="1"/>
        <v>0</v>
      </c>
      <c r="W35" s="29">
        <f ca="1"/>
        <v>0</v>
      </c>
      <c r="X35" s="29">
        <f ca="1"/>
        <v>0</v>
      </c>
      <c r="Y35" s="29">
        <f ca="1"/>
        <v>0</v>
      </c>
      <c r="Z35" s="29">
        <f ca="1"/>
        <v>0</v>
      </c>
      <c r="AA35" s="29">
        <f ca="1"/>
        <v>0</v>
      </c>
      <c r="AB35" s="29">
        <f ca="1"/>
        <v>0</v>
      </c>
      <c r="AC35" s="29">
        <f ca="1"/>
        <v>0</v>
      </c>
      <c r="AD35" s="29">
        <f ca="1"/>
        <v>0</v>
      </c>
      <c r="AE35" s="29">
        <f ca="1"/>
        <v>0</v>
      </c>
      <c r="AF35" s="29">
        <f ca="1"/>
        <v>0</v>
      </c>
      <c r="AG35" s="29">
        <f ca="1"/>
        <v>0</v>
      </c>
      <c r="AH35" s="29">
        <f ca="1"/>
        <v>0</v>
      </c>
      <c r="AI35" s="29">
        <f ca="1"/>
        <v>0</v>
      </c>
      <c r="AJ35" s="29">
        <f ca="1"/>
        <v>0</v>
      </c>
      <c r="AK35" s="29">
        <f ca="1"/>
        <v>0</v>
      </c>
      <c r="AL35" s="44">
        <f ca="1"/>
        <v>0</v>
      </c>
      <c r="AM35" s="10"/>
    </row>
    <row r="36" spans="2:39" ht="15">
      <c r="B36" s="10"/>
      <c r="C36" s="11" t="str">
        <f>"EL 4: " &amp; INDEX(_doName,3,5)</f>
        <v>EL 4: EL 4</v>
      </c>
      <c r="D36" s="12" t="s">
        <v>47</v>
      </c>
      <c r="E36" s="29">
        <v>9.1999999999999998E-2</v>
      </c>
      <c r="F36" s="29">
        <v>9.1999999999999998E-2</v>
      </c>
      <c r="G36" s="29">
        <v>9.1999999999999998E-2</v>
      </c>
      <c r="H36" s="29">
        <f ca="1"/>
        <v>0</v>
      </c>
      <c r="I36" s="29">
        <f ca="1"/>
        <v>0</v>
      </c>
      <c r="J36" s="29">
        <f ca="1"/>
        <v>0</v>
      </c>
      <c r="K36" s="29">
        <f ca="1"/>
        <v>0</v>
      </c>
      <c r="L36" s="29">
        <f ca="1"/>
        <v>0</v>
      </c>
      <c r="M36" s="29">
        <f ca="1"/>
        <v>0</v>
      </c>
      <c r="N36" s="29">
        <f ca="1"/>
        <v>0</v>
      </c>
      <c r="O36" s="29">
        <f ca="1"/>
        <v>0</v>
      </c>
      <c r="P36" s="29">
        <f ca="1"/>
        <v>0</v>
      </c>
      <c r="Q36" s="29">
        <f ca="1"/>
        <v>0</v>
      </c>
      <c r="R36" s="29">
        <f ca="1"/>
        <v>0</v>
      </c>
      <c r="S36" s="29">
        <f ca="1"/>
        <v>0</v>
      </c>
      <c r="T36" s="29">
        <f ca="1"/>
        <v>0</v>
      </c>
      <c r="U36" s="29">
        <f ca="1"/>
        <v>0</v>
      </c>
      <c r="V36" s="29">
        <f ca="1"/>
        <v>0</v>
      </c>
      <c r="W36" s="29">
        <f ca="1"/>
        <v>0</v>
      </c>
      <c r="X36" s="29">
        <f ca="1"/>
        <v>0</v>
      </c>
      <c r="Y36" s="29">
        <f ca="1"/>
        <v>0</v>
      </c>
      <c r="Z36" s="29">
        <f ca="1"/>
        <v>0</v>
      </c>
      <c r="AA36" s="29">
        <f ca="1"/>
        <v>0</v>
      </c>
      <c r="AB36" s="29">
        <f ca="1"/>
        <v>0</v>
      </c>
      <c r="AC36" s="29">
        <f ca="1"/>
        <v>0</v>
      </c>
      <c r="AD36" s="29">
        <f ca="1"/>
        <v>0</v>
      </c>
      <c r="AE36" s="29">
        <f ca="1"/>
        <v>0</v>
      </c>
      <c r="AF36" s="29">
        <f ca="1"/>
        <v>0</v>
      </c>
      <c r="AG36" s="29">
        <f ca="1"/>
        <v>0</v>
      </c>
      <c r="AH36" s="29">
        <f ca="1"/>
        <v>0</v>
      </c>
      <c r="AI36" s="29">
        <f ca="1"/>
        <v>0</v>
      </c>
      <c r="AJ36" s="29">
        <f ca="1"/>
        <v>0</v>
      </c>
      <c r="AK36" s="29">
        <f ca="1"/>
        <v>0</v>
      </c>
      <c r="AL36" s="44">
        <f ca="1"/>
        <v>0</v>
      </c>
      <c r="AM36" s="10"/>
    </row>
    <row r="37" spans="2:39" ht="15">
      <c r="B37" s="10"/>
      <c r="C37" s="11" t="str">
        <f>"EL 5: " &amp; INDEX(_doName,3,6)</f>
        <v>EL 5: EL 5</v>
      </c>
      <c r="D37" s="12" t="s">
        <v>47</v>
      </c>
      <c r="E37" s="29">
        <v>0.313</v>
      </c>
      <c r="F37" s="29">
        <v>0.313</v>
      </c>
      <c r="G37" s="29">
        <v>0.313</v>
      </c>
      <c r="H37" s="29">
        <f ca="1"/>
        <v>0.71199999999999997</v>
      </c>
      <c r="I37" s="29">
        <f ca="1"/>
        <v>0.71199999999999997</v>
      </c>
      <c r="J37" s="29">
        <f ca="1"/>
        <v>0.71199999999999997</v>
      </c>
      <c r="K37" s="29">
        <f ca="1"/>
        <v>0.71199999999999997</v>
      </c>
      <c r="L37" s="29">
        <f ca="1"/>
        <v>0.71199999999999997</v>
      </c>
      <c r="M37" s="29">
        <f ca="1"/>
        <v>0.71199999999999997</v>
      </c>
      <c r="N37" s="29">
        <f ca="1"/>
        <v>0.71199999999999997</v>
      </c>
      <c r="O37" s="29">
        <f ca="1"/>
        <v>0.71199999999999997</v>
      </c>
      <c r="P37" s="29">
        <f ca="1"/>
        <v>0.71199999999999997</v>
      </c>
      <c r="Q37" s="29">
        <f ca="1"/>
        <v>0.71199999999999997</v>
      </c>
      <c r="R37" s="29">
        <f ca="1"/>
        <v>0.71199999999999997</v>
      </c>
      <c r="S37" s="29">
        <f ca="1"/>
        <v>0.71199999999999997</v>
      </c>
      <c r="T37" s="29">
        <f ca="1"/>
        <v>0.71199999999999997</v>
      </c>
      <c r="U37" s="29">
        <f ca="1"/>
        <v>0.71199999999999997</v>
      </c>
      <c r="V37" s="29">
        <f ca="1"/>
        <v>0.71199999999999997</v>
      </c>
      <c r="W37" s="29">
        <f ca="1"/>
        <v>0.71199999999999997</v>
      </c>
      <c r="X37" s="29">
        <f ca="1"/>
        <v>0.71199999999999997</v>
      </c>
      <c r="Y37" s="29">
        <f ca="1"/>
        <v>0.71199999999999997</v>
      </c>
      <c r="Z37" s="29">
        <f ca="1"/>
        <v>0.71199999999999997</v>
      </c>
      <c r="AA37" s="29">
        <f ca="1"/>
        <v>0.71199999999999997</v>
      </c>
      <c r="AB37" s="29">
        <f ca="1"/>
        <v>0.71199999999999997</v>
      </c>
      <c r="AC37" s="29">
        <f ca="1"/>
        <v>0.71199999999999997</v>
      </c>
      <c r="AD37" s="29">
        <f ca="1"/>
        <v>0.71199999999999997</v>
      </c>
      <c r="AE37" s="29">
        <f ca="1"/>
        <v>0.71199999999999997</v>
      </c>
      <c r="AF37" s="29">
        <f ca="1"/>
        <v>0.71199999999999997</v>
      </c>
      <c r="AG37" s="29">
        <f ca="1"/>
        <v>0.71199999999999997</v>
      </c>
      <c r="AH37" s="29">
        <f ca="1"/>
        <v>0.71199999999999997</v>
      </c>
      <c r="AI37" s="29">
        <f ca="1"/>
        <v>0.71199999999999997</v>
      </c>
      <c r="AJ37" s="29">
        <f ca="1"/>
        <v>0.71199999999999997</v>
      </c>
      <c r="AK37" s="29">
        <f ca="1"/>
        <v>0.71199999999999997</v>
      </c>
      <c r="AL37" s="44">
        <f ca="1"/>
        <v>0.71199999999999997</v>
      </c>
      <c r="AM37" s="10"/>
    </row>
    <row r="38" spans="2:39" ht="15">
      <c r="B38" s="10"/>
      <c r="C38" s="21" t="str">
        <f>"EL 6: " &amp; INDEX(_doName,3,7)</f>
        <v>EL 6: EL 6</v>
      </c>
      <c r="D38" s="18" t="s">
        <v>47</v>
      </c>
      <c r="E38" s="46">
        <v>0.28799999999999998</v>
      </c>
      <c r="F38" s="46">
        <v>0.28799999999999998</v>
      </c>
      <c r="G38" s="46">
        <v>0.28799999999999998</v>
      </c>
      <c r="H38" s="46">
        <f ca="1"/>
        <v>0.28799999999999998</v>
      </c>
      <c r="I38" s="46">
        <f ca="1"/>
        <v>0.28799999999999998</v>
      </c>
      <c r="J38" s="46">
        <f ca="1"/>
        <v>0.28799999999999998</v>
      </c>
      <c r="K38" s="46">
        <f ca="1"/>
        <v>0.28799999999999998</v>
      </c>
      <c r="L38" s="46">
        <f ca="1"/>
        <v>0.28799999999999998</v>
      </c>
      <c r="M38" s="46">
        <f ca="1"/>
        <v>0.28799999999999998</v>
      </c>
      <c r="N38" s="46">
        <f ca="1"/>
        <v>0.28799999999999998</v>
      </c>
      <c r="O38" s="46">
        <f ca="1"/>
        <v>0.28799999999999998</v>
      </c>
      <c r="P38" s="46">
        <f ca="1"/>
        <v>0.28799999999999998</v>
      </c>
      <c r="Q38" s="46">
        <f ca="1"/>
        <v>0.28799999999999998</v>
      </c>
      <c r="R38" s="46">
        <f ca="1"/>
        <v>0.28799999999999998</v>
      </c>
      <c r="S38" s="46">
        <f ca="1"/>
        <v>0.28799999999999998</v>
      </c>
      <c r="T38" s="46">
        <f ca="1"/>
        <v>0.28799999999999998</v>
      </c>
      <c r="U38" s="46">
        <f ca="1"/>
        <v>0.28799999999999998</v>
      </c>
      <c r="V38" s="46">
        <f ca="1"/>
        <v>0.28799999999999998</v>
      </c>
      <c r="W38" s="46">
        <f ca="1"/>
        <v>0.28799999999999998</v>
      </c>
      <c r="X38" s="46">
        <f ca="1"/>
        <v>0.28799999999999998</v>
      </c>
      <c r="Y38" s="46">
        <f ca="1"/>
        <v>0.28799999999999998</v>
      </c>
      <c r="Z38" s="46">
        <f ca="1"/>
        <v>0.28799999999999998</v>
      </c>
      <c r="AA38" s="46">
        <f ca="1"/>
        <v>0.28799999999999998</v>
      </c>
      <c r="AB38" s="46">
        <f ca="1"/>
        <v>0.28799999999999998</v>
      </c>
      <c r="AC38" s="46">
        <f ca="1"/>
        <v>0.28799999999999998</v>
      </c>
      <c r="AD38" s="46">
        <f ca="1"/>
        <v>0.28799999999999998</v>
      </c>
      <c r="AE38" s="46">
        <f ca="1"/>
        <v>0.28799999999999998</v>
      </c>
      <c r="AF38" s="46">
        <f ca="1"/>
        <v>0.28799999999999998</v>
      </c>
      <c r="AG38" s="46">
        <f ca="1"/>
        <v>0.28799999999999998</v>
      </c>
      <c r="AH38" s="46">
        <f ca="1"/>
        <v>0.28799999999999998</v>
      </c>
      <c r="AI38" s="46">
        <f ca="1"/>
        <v>0.28799999999999998</v>
      </c>
      <c r="AJ38" s="46">
        <f ca="1"/>
        <v>0.28799999999999998</v>
      </c>
      <c r="AK38" s="46">
        <f ca="1"/>
        <v>0.28799999999999998</v>
      </c>
      <c r="AL38" s="47">
        <f ca="1"/>
        <v>0.28799999999999998</v>
      </c>
      <c r="AM38" s="10"/>
    </row>
    <row r="39" spans="2:39" ht="15">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2:39" ht="15">
      <c r="B40" s="10"/>
      <c r="C40" s="22" t="s">
        <v>90</v>
      </c>
      <c r="D40" s="23"/>
      <c r="E40" s="24">
        <f t="array" ref="E40:AL40">_yS</f>
        <v>2019</v>
      </c>
      <c r="F40" s="24">
        <v>2020</v>
      </c>
      <c r="G40" s="24">
        <v>2021</v>
      </c>
      <c r="H40" s="24">
        <v>2022</v>
      </c>
      <c r="I40" s="24">
        <v>2023</v>
      </c>
      <c r="J40" s="24">
        <v>2024</v>
      </c>
      <c r="K40" s="24">
        <v>2025</v>
      </c>
      <c r="L40" s="24">
        <v>2026</v>
      </c>
      <c r="M40" s="24">
        <v>2027</v>
      </c>
      <c r="N40" s="24">
        <v>2028</v>
      </c>
      <c r="O40" s="24">
        <v>2029</v>
      </c>
      <c r="P40" s="24">
        <v>2030</v>
      </c>
      <c r="Q40" s="24">
        <v>2031</v>
      </c>
      <c r="R40" s="24">
        <v>2032</v>
      </c>
      <c r="S40" s="24">
        <v>2033</v>
      </c>
      <c r="T40" s="24">
        <v>2034</v>
      </c>
      <c r="U40" s="24">
        <v>2035</v>
      </c>
      <c r="V40" s="24">
        <v>2036</v>
      </c>
      <c r="W40" s="24">
        <v>2037</v>
      </c>
      <c r="X40" s="24">
        <v>2038</v>
      </c>
      <c r="Y40" s="24">
        <v>2039</v>
      </c>
      <c r="Z40" s="24">
        <v>2040</v>
      </c>
      <c r="AA40" s="24">
        <v>2041</v>
      </c>
      <c r="AB40" s="24">
        <v>2042</v>
      </c>
      <c r="AC40" s="24">
        <v>2043</v>
      </c>
      <c r="AD40" s="24">
        <v>2044</v>
      </c>
      <c r="AE40" s="24">
        <v>2045</v>
      </c>
      <c r="AF40" s="24">
        <v>2046</v>
      </c>
      <c r="AG40" s="24">
        <v>2047</v>
      </c>
      <c r="AH40" s="24">
        <v>2048</v>
      </c>
      <c r="AI40" s="24">
        <v>2049</v>
      </c>
      <c r="AJ40" s="24">
        <v>2050</v>
      </c>
      <c r="AK40" s="24">
        <v>2051</v>
      </c>
      <c r="AL40" s="25">
        <v>2052</v>
      </c>
      <c r="AM40" s="10"/>
    </row>
    <row r="41" spans="2:39" ht="15">
      <c r="B41" s="10"/>
      <c r="C41" s="11" t="str">
        <f>"EL 0: " &amp; INDEX(_doName,3,1)</f>
        <v>EL 0: EL 2</v>
      </c>
      <c r="D41" s="12" t="s">
        <v>47</v>
      </c>
      <c r="E41" s="29">
        <f t="array" ref="E41:E47">TRANSPOSE(bcCnH)</f>
        <v>0.152</v>
      </c>
      <c r="F41" s="29">
        <f t="array" ref="F41:AL41">$E$41</f>
        <v>0.152</v>
      </c>
      <c r="G41" s="29">
        <v>0.152</v>
      </c>
      <c r="H41" s="29">
        <v>0.152</v>
      </c>
      <c r="I41" s="29">
        <v>0.152</v>
      </c>
      <c r="J41" s="29">
        <v>0.152</v>
      </c>
      <c r="K41" s="29">
        <v>0.152</v>
      </c>
      <c r="L41" s="29">
        <v>0.152</v>
      </c>
      <c r="M41" s="29">
        <v>0.152</v>
      </c>
      <c r="N41" s="29">
        <v>0.152</v>
      </c>
      <c r="O41" s="29">
        <v>0.152</v>
      </c>
      <c r="P41" s="29">
        <v>0.152</v>
      </c>
      <c r="Q41" s="29">
        <v>0.152</v>
      </c>
      <c r="R41" s="29">
        <v>0.152</v>
      </c>
      <c r="S41" s="29">
        <v>0.152</v>
      </c>
      <c r="T41" s="29">
        <v>0.152</v>
      </c>
      <c r="U41" s="29">
        <v>0.152</v>
      </c>
      <c r="V41" s="29">
        <v>0.152</v>
      </c>
      <c r="W41" s="29">
        <v>0.152</v>
      </c>
      <c r="X41" s="29">
        <v>0.152</v>
      </c>
      <c r="Y41" s="29">
        <v>0.152</v>
      </c>
      <c r="Z41" s="29">
        <v>0.152</v>
      </c>
      <c r="AA41" s="29">
        <v>0.152</v>
      </c>
      <c r="AB41" s="29">
        <v>0.152</v>
      </c>
      <c r="AC41" s="29">
        <v>0.152</v>
      </c>
      <c r="AD41" s="29">
        <v>0.152</v>
      </c>
      <c r="AE41" s="29">
        <v>0.152</v>
      </c>
      <c r="AF41" s="29">
        <v>0.152</v>
      </c>
      <c r="AG41" s="29">
        <v>0.152</v>
      </c>
      <c r="AH41" s="29">
        <v>0.152</v>
      </c>
      <c r="AI41" s="29">
        <v>0.152</v>
      </c>
      <c r="AJ41" s="29">
        <v>0.152</v>
      </c>
      <c r="AK41" s="29">
        <v>0.152</v>
      </c>
      <c r="AL41" s="44">
        <v>0.152</v>
      </c>
      <c r="AM41" s="10"/>
    </row>
    <row r="42" spans="2:39" ht="15">
      <c r="B42" s="10"/>
      <c r="C42" s="11" t="str">
        <f>"EL 1: " &amp; INDEX(_doName,3,2)</f>
        <v>EL 1: EL 1</v>
      </c>
      <c r="D42" s="12" t="s">
        <v>47</v>
      </c>
      <c r="E42" s="29">
        <v>3.7999999999999999E-2</v>
      </c>
      <c r="F42" s="29">
        <f t="array" ref="F42:AL42">$E$42</f>
        <v>3.7999999999999999E-2</v>
      </c>
      <c r="G42" s="29">
        <v>3.7999999999999999E-2</v>
      </c>
      <c r="H42" s="29">
        <v>3.7999999999999999E-2</v>
      </c>
      <c r="I42" s="29">
        <v>3.7999999999999999E-2</v>
      </c>
      <c r="J42" s="29">
        <v>3.7999999999999999E-2</v>
      </c>
      <c r="K42" s="29">
        <v>3.7999999999999999E-2</v>
      </c>
      <c r="L42" s="29">
        <v>3.7999999999999999E-2</v>
      </c>
      <c r="M42" s="29">
        <v>3.7999999999999999E-2</v>
      </c>
      <c r="N42" s="29">
        <v>3.7999999999999999E-2</v>
      </c>
      <c r="O42" s="29">
        <v>3.7999999999999999E-2</v>
      </c>
      <c r="P42" s="29">
        <v>3.7999999999999999E-2</v>
      </c>
      <c r="Q42" s="29">
        <v>3.7999999999999999E-2</v>
      </c>
      <c r="R42" s="29">
        <v>3.7999999999999999E-2</v>
      </c>
      <c r="S42" s="29">
        <v>3.7999999999999999E-2</v>
      </c>
      <c r="T42" s="29">
        <v>3.7999999999999999E-2</v>
      </c>
      <c r="U42" s="29">
        <v>3.7999999999999999E-2</v>
      </c>
      <c r="V42" s="29">
        <v>3.7999999999999999E-2</v>
      </c>
      <c r="W42" s="29">
        <v>3.7999999999999999E-2</v>
      </c>
      <c r="X42" s="29">
        <v>3.7999999999999999E-2</v>
      </c>
      <c r="Y42" s="29">
        <v>3.7999999999999999E-2</v>
      </c>
      <c r="Z42" s="29">
        <v>3.7999999999999999E-2</v>
      </c>
      <c r="AA42" s="29">
        <v>3.7999999999999999E-2</v>
      </c>
      <c r="AB42" s="29">
        <v>3.7999999999999999E-2</v>
      </c>
      <c r="AC42" s="29">
        <v>3.7999999999999999E-2</v>
      </c>
      <c r="AD42" s="29">
        <v>3.7999999999999999E-2</v>
      </c>
      <c r="AE42" s="29">
        <v>3.7999999999999999E-2</v>
      </c>
      <c r="AF42" s="29">
        <v>3.7999999999999999E-2</v>
      </c>
      <c r="AG42" s="29">
        <v>3.7999999999999999E-2</v>
      </c>
      <c r="AH42" s="29">
        <v>3.7999999999999999E-2</v>
      </c>
      <c r="AI42" s="29">
        <v>3.7999999999999999E-2</v>
      </c>
      <c r="AJ42" s="29">
        <v>3.7999999999999999E-2</v>
      </c>
      <c r="AK42" s="29">
        <v>3.7999999999999999E-2</v>
      </c>
      <c r="AL42" s="44">
        <v>3.7999999999999999E-2</v>
      </c>
      <c r="AM42" s="10"/>
    </row>
    <row r="43" spans="2:39" ht="15">
      <c r="B43" s="10"/>
      <c r="C43" s="11" t="str">
        <f>"EL 2: " &amp; INDEX(_doName,3,3)</f>
        <v>EL 2: EL 2</v>
      </c>
      <c r="D43" s="12" t="s">
        <v>47</v>
      </c>
      <c r="E43" s="29">
        <v>0.05</v>
      </c>
      <c r="F43" s="29">
        <f t="array" ref="F43:AL43">$E$43</f>
        <v>0.05</v>
      </c>
      <c r="G43" s="29">
        <v>0.05</v>
      </c>
      <c r="H43" s="29">
        <v>0.05</v>
      </c>
      <c r="I43" s="29">
        <v>0.05</v>
      </c>
      <c r="J43" s="29">
        <v>0.05</v>
      </c>
      <c r="K43" s="29">
        <v>0.05</v>
      </c>
      <c r="L43" s="29">
        <v>0.05</v>
      </c>
      <c r="M43" s="29">
        <v>0.05</v>
      </c>
      <c r="N43" s="29">
        <v>0.05</v>
      </c>
      <c r="O43" s="29">
        <v>0.05</v>
      </c>
      <c r="P43" s="29">
        <v>0.05</v>
      </c>
      <c r="Q43" s="29">
        <v>0.05</v>
      </c>
      <c r="R43" s="29">
        <v>0.05</v>
      </c>
      <c r="S43" s="29">
        <v>0.05</v>
      </c>
      <c r="T43" s="29">
        <v>0.05</v>
      </c>
      <c r="U43" s="29">
        <v>0.05</v>
      </c>
      <c r="V43" s="29">
        <v>0.05</v>
      </c>
      <c r="W43" s="29">
        <v>0.05</v>
      </c>
      <c r="X43" s="29">
        <v>0.05</v>
      </c>
      <c r="Y43" s="29">
        <v>0.05</v>
      </c>
      <c r="Z43" s="29">
        <v>0.05</v>
      </c>
      <c r="AA43" s="29">
        <v>0.05</v>
      </c>
      <c r="AB43" s="29">
        <v>0.05</v>
      </c>
      <c r="AC43" s="29">
        <v>0.05</v>
      </c>
      <c r="AD43" s="29">
        <v>0.05</v>
      </c>
      <c r="AE43" s="29">
        <v>0.05</v>
      </c>
      <c r="AF43" s="29">
        <v>0.05</v>
      </c>
      <c r="AG43" s="29">
        <v>0.05</v>
      </c>
      <c r="AH43" s="29">
        <v>0.05</v>
      </c>
      <c r="AI43" s="29">
        <v>0.05</v>
      </c>
      <c r="AJ43" s="29">
        <v>0.05</v>
      </c>
      <c r="AK43" s="29">
        <v>0.05</v>
      </c>
      <c r="AL43" s="44">
        <v>0.05</v>
      </c>
      <c r="AM43" s="10"/>
    </row>
    <row r="44" spans="2:39" ht="15">
      <c r="B44" s="10"/>
      <c r="C44" s="11" t="str">
        <f>"EL 3: " &amp; INDEX(_doName,3,4)</f>
        <v>EL 3: EL 3</v>
      </c>
      <c r="D44" s="12" t="s">
        <v>47</v>
      </c>
      <c r="E44" s="29">
        <v>6.7000000000000004E-2</v>
      </c>
      <c r="F44" s="29">
        <f t="array" ref="F44:AL44">$E$44</f>
        <v>6.7000000000000004E-2</v>
      </c>
      <c r="G44" s="29">
        <v>6.7000000000000004E-2</v>
      </c>
      <c r="H44" s="29">
        <v>6.7000000000000004E-2</v>
      </c>
      <c r="I44" s="29">
        <v>6.7000000000000004E-2</v>
      </c>
      <c r="J44" s="29">
        <v>6.7000000000000004E-2</v>
      </c>
      <c r="K44" s="29">
        <v>6.7000000000000004E-2</v>
      </c>
      <c r="L44" s="29">
        <v>6.7000000000000004E-2</v>
      </c>
      <c r="M44" s="29">
        <v>6.7000000000000004E-2</v>
      </c>
      <c r="N44" s="29">
        <v>6.7000000000000004E-2</v>
      </c>
      <c r="O44" s="29">
        <v>6.7000000000000004E-2</v>
      </c>
      <c r="P44" s="29">
        <v>6.7000000000000004E-2</v>
      </c>
      <c r="Q44" s="29">
        <v>6.7000000000000004E-2</v>
      </c>
      <c r="R44" s="29">
        <v>6.7000000000000004E-2</v>
      </c>
      <c r="S44" s="29">
        <v>6.7000000000000004E-2</v>
      </c>
      <c r="T44" s="29">
        <v>6.7000000000000004E-2</v>
      </c>
      <c r="U44" s="29">
        <v>6.7000000000000004E-2</v>
      </c>
      <c r="V44" s="29">
        <v>6.7000000000000004E-2</v>
      </c>
      <c r="W44" s="29">
        <v>6.7000000000000004E-2</v>
      </c>
      <c r="X44" s="29">
        <v>6.7000000000000004E-2</v>
      </c>
      <c r="Y44" s="29">
        <v>6.7000000000000004E-2</v>
      </c>
      <c r="Z44" s="29">
        <v>6.7000000000000004E-2</v>
      </c>
      <c r="AA44" s="29">
        <v>6.7000000000000004E-2</v>
      </c>
      <c r="AB44" s="29">
        <v>6.7000000000000004E-2</v>
      </c>
      <c r="AC44" s="29">
        <v>6.7000000000000004E-2</v>
      </c>
      <c r="AD44" s="29">
        <v>6.7000000000000004E-2</v>
      </c>
      <c r="AE44" s="29">
        <v>6.7000000000000004E-2</v>
      </c>
      <c r="AF44" s="29">
        <v>6.7000000000000004E-2</v>
      </c>
      <c r="AG44" s="29">
        <v>6.7000000000000004E-2</v>
      </c>
      <c r="AH44" s="29">
        <v>6.7000000000000004E-2</v>
      </c>
      <c r="AI44" s="29">
        <v>6.7000000000000004E-2</v>
      </c>
      <c r="AJ44" s="29">
        <v>6.7000000000000004E-2</v>
      </c>
      <c r="AK44" s="29">
        <v>6.7000000000000004E-2</v>
      </c>
      <c r="AL44" s="44">
        <v>6.7000000000000004E-2</v>
      </c>
      <c r="AM44" s="10"/>
    </row>
    <row r="45" spans="2:39" ht="15">
      <c r="B45" s="10"/>
      <c r="C45" s="11" t="str">
        <f>"EL 4: " &amp; INDEX(_doName,3,5)</f>
        <v>EL 4: EL 4</v>
      </c>
      <c r="D45" s="12" t="s">
        <v>47</v>
      </c>
      <c r="E45" s="29">
        <v>9.1999999999999998E-2</v>
      </c>
      <c r="F45" s="29">
        <f t="array" ref="F45:AL45">$E$45</f>
        <v>9.1999999999999998E-2</v>
      </c>
      <c r="G45" s="29">
        <v>9.1999999999999998E-2</v>
      </c>
      <c r="H45" s="29">
        <v>9.1999999999999998E-2</v>
      </c>
      <c r="I45" s="29">
        <v>9.1999999999999998E-2</v>
      </c>
      <c r="J45" s="29">
        <v>9.1999999999999998E-2</v>
      </c>
      <c r="K45" s="29">
        <v>9.1999999999999998E-2</v>
      </c>
      <c r="L45" s="29">
        <v>9.1999999999999998E-2</v>
      </c>
      <c r="M45" s="29">
        <v>9.1999999999999998E-2</v>
      </c>
      <c r="N45" s="29">
        <v>9.1999999999999998E-2</v>
      </c>
      <c r="O45" s="29">
        <v>9.1999999999999998E-2</v>
      </c>
      <c r="P45" s="29">
        <v>9.1999999999999998E-2</v>
      </c>
      <c r="Q45" s="29">
        <v>9.1999999999999998E-2</v>
      </c>
      <c r="R45" s="29">
        <v>9.1999999999999998E-2</v>
      </c>
      <c r="S45" s="29">
        <v>9.1999999999999998E-2</v>
      </c>
      <c r="T45" s="29">
        <v>9.1999999999999998E-2</v>
      </c>
      <c r="U45" s="29">
        <v>9.1999999999999998E-2</v>
      </c>
      <c r="V45" s="29">
        <v>9.1999999999999998E-2</v>
      </c>
      <c r="W45" s="29">
        <v>9.1999999999999998E-2</v>
      </c>
      <c r="X45" s="29">
        <v>9.1999999999999998E-2</v>
      </c>
      <c r="Y45" s="29">
        <v>9.1999999999999998E-2</v>
      </c>
      <c r="Z45" s="29">
        <v>9.1999999999999998E-2</v>
      </c>
      <c r="AA45" s="29">
        <v>9.1999999999999998E-2</v>
      </c>
      <c r="AB45" s="29">
        <v>9.1999999999999998E-2</v>
      </c>
      <c r="AC45" s="29">
        <v>9.1999999999999998E-2</v>
      </c>
      <c r="AD45" s="29">
        <v>9.1999999999999998E-2</v>
      </c>
      <c r="AE45" s="29">
        <v>9.1999999999999998E-2</v>
      </c>
      <c r="AF45" s="29">
        <v>9.1999999999999998E-2</v>
      </c>
      <c r="AG45" s="29">
        <v>9.1999999999999998E-2</v>
      </c>
      <c r="AH45" s="29">
        <v>9.1999999999999998E-2</v>
      </c>
      <c r="AI45" s="29">
        <v>9.1999999999999998E-2</v>
      </c>
      <c r="AJ45" s="29">
        <v>9.1999999999999998E-2</v>
      </c>
      <c r="AK45" s="29">
        <v>9.1999999999999998E-2</v>
      </c>
      <c r="AL45" s="44">
        <v>9.1999999999999998E-2</v>
      </c>
      <c r="AM45" s="10"/>
    </row>
    <row r="46" spans="2:39" ht="15">
      <c r="B46" s="10"/>
      <c r="C46" s="11" t="str">
        <f>"EL 5: " &amp; INDEX(_doName,3,6)</f>
        <v>EL 5: EL 5</v>
      </c>
      <c r="D46" s="12" t="s">
        <v>47</v>
      </c>
      <c r="E46" s="29">
        <v>0.313</v>
      </c>
      <c r="F46" s="29">
        <f t="array" ref="F46:AL46">$E$46</f>
        <v>0.313</v>
      </c>
      <c r="G46" s="29">
        <v>0.313</v>
      </c>
      <c r="H46" s="29">
        <v>0.313</v>
      </c>
      <c r="I46" s="29">
        <v>0.313</v>
      </c>
      <c r="J46" s="29">
        <v>0.313</v>
      </c>
      <c r="K46" s="29">
        <v>0.313</v>
      </c>
      <c r="L46" s="29">
        <v>0.313</v>
      </c>
      <c r="M46" s="29">
        <v>0.313</v>
      </c>
      <c r="N46" s="29">
        <v>0.313</v>
      </c>
      <c r="O46" s="29">
        <v>0.313</v>
      </c>
      <c r="P46" s="29">
        <v>0.313</v>
      </c>
      <c r="Q46" s="29">
        <v>0.313</v>
      </c>
      <c r="R46" s="29">
        <v>0.313</v>
      </c>
      <c r="S46" s="29">
        <v>0.313</v>
      </c>
      <c r="T46" s="29">
        <v>0.313</v>
      </c>
      <c r="U46" s="29">
        <v>0.313</v>
      </c>
      <c r="V46" s="29">
        <v>0.313</v>
      </c>
      <c r="W46" s="29">
        <v>0.313</v>
      </c>
      <c r="X46" s="29">
        <v>0.313</v>
      </c>
      <c r="Y46" s="29">
        <v>0.313</v>
      </c>
      <c r="Z46" s="29">
        <v>0.313</v>
      </c>
      <c r="AA46" s="29">
        <v>0.313</v>
      </c>
      <c r="AB46" s="29">
        <v>0.313</v>
      </c>
      <c r="AC46" s="29">
        <v>0.313</v>
      </c>
      <c r="AD46" s="29">
        <v>0.313</v>
      </c>
      <c r="AE46" s="29">
        <v>0.313</v>
      </c>
      <c r="AF46" s="29">
        <v>0.313</v>
      </c>
      <c r="AG46" s="29">
        <v>0.313</v>
      </c>
      <c r="AH46" s="29">
        <v>0.313</v>
      </c>
      <c r="AI46" s="29">
        <v>0.313</v>
      </c>
      <c r="AJ46" s="29">
        <v>0.313</v>
      </c>
      <c r="AK46" s="29">
        <v>0.313</v>
      </c>
      <c r="AL46" s="44">
        <v>0.313</v>
      </c>
      <c r="AM46" s="10"/>
    </row>
    <row r="47" spans="2:39">
      <c r="B47" s="10"/>
      <c r="C47" s="21" t="str">
        <f>"EL 6: " &amp; INDEX(_doName,3,7)</f>
        <v>EL 6: EL 6</v>
      </c>
      <c r="D47" s="18" t="s">
        <v>47</v>
      </c>
      <c r="E47" s="46">
        <v>0.28799999999999998</v>
      </c>
      <c r="F47" s="46">
        <f t="array" ref="F47:AL47">$E$47</f>
        <v>0.28799999999999998</v>
      </c>
      <c r="G47" s="46">
        <v>0.28799999999999998</v>
      </c>
      <c r="H47" s="46">
        <v>0.28799999999999998</v>
      </c>
      <c r="I47" s="46">
        <v>0.28799999999999998</v>
      </c>
      <c r="J47" s="46">
        <v>0.28799999999999998</v>
      </c>
      <c r="K47" s="46">
        <v>0.28799999999999998</v>
      </c>
      <c r="L47" s="46">
        <v>0.28799999999999998</v>
      </c>
      <c r="M47" s="46">
        <v>0.28799999999999998</v>
      </c>
      <c r="N47" s="46">
        <v>0.28799999999999998</v>
      </c>
      <c r="O47" s="46">
        <v>0.28799999999999998</v>
      </c>
      <c r="P47" s="46">
        <v>0.28799999999999998</v>
      </c>
      <c r="Q47" s="46">
        <v>0.28799999999999998</v>
      </c>
      <c r="R47" s="46">
        <v>0.28799999999999998</v>
      </c>
      <c r="S47" s="46">
        <v>0.28799999999999998</v>
      </c>
      <c r="T47" s="46">
        <v>0.28799999999999998</v>
      </c>
      <c r="U47" s="46">
        <v>0.28799999999999998</v>
      </c>
      <c r="V47" s="46">
        <v>0.28799999999999998</v>
      </c>
      <c r="W47" s="46">
        <v>0.28799999999999998</v>
      </c>
      <c r="X47" s="46">
        <v>0.28799999999999998</v>
      </c>
      <c r="Y47" s="46">
        <v>0.28799999999999998</v>
      </c>
      <c r="Z47" s="46">
        <v>0.28799999999999998</v>
      </c>
      <c r="AA47" s="46">
        <v>0.28799999999999998</v>
      </c>
      <c r="AB47" s="46">
        <v>0.28799999999999998</v>
      </c>
      <c r="AC47" s="46">
        <v>0.28799999999999998</v>
      </c>
      <c r="AD47" s="46">
        <v>0.28799999999999998</v>
      </c>
      <c r="AE47" s="46">
        <v>0.28799999999999998</v>
      </c>
      <c r="AF47" s="46">
        <v>0.28799999999999998</v>
      </c>
      <c r="AG47" s="46">
        <v>0.28799999999999998</v>
      </c>
      <c r="AH47" s="46">
        <v>0.28799999999999998</v>
      </c>
      <c r="AI47" s="46">
        <v>0.28799999999999998</v>
      </c>
      <c r="AJ47" s="46">
        <v>0.28799999999999998</v>
      </c>
      <c r="AK47" s="46">
        <v>0.28799999999999998</v>
      </c>
      <c r="AL47" s="47">
        <v>0.28799999999999998</v>
      </c>
      <c r="AM47" s="10"/>
    </row>
    <row r="48" spans="2:39">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2:39" ht="15" hidden="1">
      <c r="B49" s="10"/>
      <c r="C49" s="22" t="s">
        <v>89</v>
      </c>
      <c r="D49" s="23"/>
      <c r="E49" s="24">
        <f t="array" ref="E49:AL49">_yS</f>
        <v>2019</v>
      </c>
      <c r="F49" s="24">
        <v>2020</v>
      </c>
      <c r="G49" s="24">
        <v>2021</v>
      </c>
      <c r="H49" s="24">
        <v>2022</v>
      </c>
      <c r="I49" s="24">
        <v>2023</v>
      </c>
      <c r="J49" s="24">
        <v>2024</v>
      </c>
      <c r="K49" s="24">
        <v>2025</v>
      </c>
      <c r="L49" s="24">
        <v>2026</v>
      </c>
      <c r="M49" s="24">
        <v>2027</v>
      </c>
      <c r="N49" s="24">
        <v>2028</v>
      </c>
      <c r="O49" s="24">
        <v>2029</v>
      </c>
      <c r="P49" s="24">
        <v>2030</v>
      </c>
      <c r="Q49" s="24">
        <v>2031</v>
      </c>
      <c r="R49" s="24">
        <v>2032</v>
      </c>
      <c r="S49" s="24">
        <v>2033</v>
      </c>
      <c r="T49" s="24">
        <v>2034</v>
      </c>
      <c r="U49" s="24">
        <v>2035</v>
      </c>
      <c r="V49" s="24">
        <v>2036</v>
      </c>
      <c r="W49" s="24">
        <v>2037</v>
      </c>
      <c r="X49" s="24">
        <v>2038</v>
      </c>
      <c r="Y49" s="24">
        <v>2039</v>
      </c>
      <c r="Z49" s="24">
        <v>2040</v>
      </c>
      <c r="AA49" s="24">
        <v>2041</v>
      </c>
      <c r="AB49" s="24">
        <v>2042</v>
      </c>
      <c r="AC49" s="24">
        <v>2043</v>
      </c>
      <c r="AD49" s="24">
        <v>2044</v>
      </c>
      <c r="AE49" s="24">
        <v>2045</v>
      </c>
      <c r="AF49" s="24">
        <v>2046</v>
      </c>
      <c r="AG49" s="24">
        <v>2047</v>
      </c>
      <c r="AH49" s="24">
        <v>2048</v>
      </c>
      <c r="AI49" s="24">
        <v>2049</v>
      </c>
      <c r="AJ49" s="24">
        <v>2050</v>
      </c>
      <c r="AK49" s="24">
        <v>2051</v>
      </c>
      <c r="AL49" s="25">
        <v>2052</v>
      </c>
      <c r="AM49" s="10"/>
    </row>
    <row r="50" spans="2:39" ht="15" hidden="1">
      <c r="B50" s="10"/>
      <c r="C50" s="11" t="str">
        <f>"EL 0: " &amp; INDEX(_doName,3,1)</f>
        <v>EL 0: EL 2</v>
      </c>
      <c r="D50" s="12"/>
      <c r="E50" s="13">
        <f t="array" ref="E50:AL50">tlccQubc0</f>
        <v>923.86830322221704</v>
      </c>
      <c r="F50" s="13">
        <v>923.86830322221704</v>
      </c>
      <c r="G50" s="13">
        <v>923.86830322221704</v>
      </c>
      <c r="H50" s="13">
        <v>923.86830322221704</v>
      </c>
      <c r="I50" s="13">
        <v>923.86830322221704</v>
      </c>
      <c r="J50" s="13">
        <v>923.86830322221704</v>
      </c>
      <c r="K50" s="13">
        <v>923.86830322221704</v>
      </c>
      <c r="L50" s="13">
        <v>923.86830322221704</v>
      </c>
      <c r="M50" s="13">
        <v>923.86830322221704</v>
      </c>
      <c r="N50" s="13">
        <v>923.86830322221704</v>
      </c>
      <c r="O50" s="13">
        <v>923.86830322221704</v>
      </c>
      <c r="P50" s="13">
        <v>923.86830322221704</v>
      </c>
      <c r="Q50" s="13">
        <v>923.86830322221704</v>
      </c>
      <c r="R50" s="13">
        <v>923.86830322221704</v>
      </c>
      <c r="S50" s="13">
        <v>923.86830322221704</v>
      </c>
      <c r="T50" s="13">
        <v>923.86830322221704</v>
      </c>
      <c r="U50" s="13">
        <v>923.86830322221704</v>
      </c>
      <c r="V50" s="13">
        <v>923.86830322221704</v>
      </c>
      <c r="W50" s="13">
        <v>923.86830322221704</v>
      </c>
      <c r="X50" s="13">
        <v>923.86830322221704</v>
      </c>
      <c r="Y50" s="13">
        <v>923.86830322221704</v>
      </c>
      <c r="Z50" s="13">
        <v>923.86830322221704</v>
      </c>
      <c r="AA50" s="13">
        <v>923.86830322221704</v>
      </c>
      <c r="AB50" s="13">
        <v>923.86830322221704</v>
      </c>
      <c r="AC50" s="13">
        <v>923.86830322221704</v>
      </c>
      <c r="AD50" s="13">
        <v>923.86830322221704</v>
      </c>
      <c r="AE50" s="13">
        <v>923.86830322221704</v>
      </c>
      <c r="AF50" s="13">
        <v>923.86830322221704</v>
      </c>
      <c r="AG50" s="13">
        <v>923.86830322221704</v>
      </c>
      <c r="AH50" s="13">
        <v>923.86830322221704</v>
      </c>
      <c r="AI50" s="13">
        <v>923.86830322221704</v>
      </c>
      <c r="AJ50" s="13">
        <v>923.86830322221704</v>
      </c>
      <c r="AK50" s="13">
        <v>923.86830322221704</v>
      </c>
      <c r="AL50" s="56">
        <v>923.86830322221704</v>
      </c>
      <c r="AM50" s="10"/>
    </row>
    <row r="51" spans="2:39" ht="15" hidden="1">
      <c r="B51" s="10"/>
      <c r="C51" s="11" t="str">
        <f>"EL 1: " &amp; INDEX(_doName,3,2)</f>
        <v>EL 1: EL 1</v>
      </c>
      <c r="D51" s="12"/>
      <c r="E51" s="13">
        <f t="array" ref="E51:AL51">tlccQubc1</f>
        <v>1632.7489955022099</v>
      </c>
      <c r="F51" s="13">
        <v>1632.7489955022099</v>
      </c>
      <c r="G51" s="13">
        <v>1632.7489955022099</v>
      </c>
      <c r="H51" s="13">
        <v>1632.7489955022099</v>
      </c>
      <c r="I51" s="13">
        <v>1632.7489955022099</v>
      </c>
      <c r="J51" s="13">
        <v>1632.7489955022099</v>
      </c>
      <c r="K51" s="13">
        <v>1632.7489955022099</v>
      </c>
      <c r="L51" s="13">
        <v>1632.7489955022099</v>
      </c>
      <c r="M51" s="13">
        <v>1632.7489955022099</v>
      </c>
      <c r="N51" s="13">
        <v>1632.7489955022099</v>
      </c>
      <c r="O51" s="13">
        <v>1632.7489955022099</v>
      </c>
      <c r="P51" s="13">
        <v>1632.7489955022099</v>
      </c>
      <c r="Q51" s="13">
        <v>1632.7489955022099</v>
      </c>
      <c r="R51" s="13">
        <v>1632.7489955022099</v>
      </c>
      <c r="S51" s="13">
        <v>1632.7489955022099</v>
      </c>
      <c r="T51" s="13">
        <v>1632.7489955022099</v>
      </c>
      <c r="U51" s="13">
        <v>1632.7489955022099</v>
      </c>
      <c r="V51" s="13">
        <v>1632.7489955022099</v>
      </c>
      <c r="W51" s="13">
        <v>1632.7489955022099</v>
      </c>
      <c r="X51" s="13">
        <v>1632.7489955022099</v>
      </c>
      <c r="Y51" s="13">
        <v>1632.7489955022099</v>
      </c>
      <c r="Z51" s="13">
        <v>1632.7489955022099</v>
      </c>
      <c r="AA51" s="13">
        <v>1632.7489955022099</v>
      </c>
      <c r="AB51" s="13">
        <v>1632.7489955022099</v>
      </c>
      <c r="AC51" s="13">
        <v>1632.7489955022099</v>
      </c>
      <c r="AD51" s="13">
        <v>1632.7489955022099</v>
      </c>
      <c r="AE51" s="13">
        <v>1632.7489955022099</v>
      </c>
      <c r="AF51" s="13">
        <v>1632.7489955022099</v>
      </c>
      <c r="AG51" s="13">
        <v>1632.7489955022099</v>
      </c>
      <c r="AH51" s="13">
        <v>1632.7489955022099</v>
      </c>
      <c r="AI51" s="13">
        <v>1632.7489955022099</v>
      </c>
      <c r="AJ51" s="13">
        <v>1632.7489955022099</v>
      </c>
      <c r="AK51" s="13">
        <v>1632.7489955022099</v>
      </c>
      <c r="AL51" s="56">
        <v>1632.7489955022099</v>
      </c>
      <c r="AM51" s="10"/>
    </row>
    <row r="52" spans="2:39" ht="15" hidden="1">
      <c r="B52" s="10"/>
      <c r="C52" s="11" t="str">
        <f>"EL 2: " &amp; INDEX(_doName,3,3)</f>
        <v>EL 2: EL 2</v>
      </c>
      <c r="D52" s="12"/>
      <c r="E52" s="13">
        <f t="array" ref="E52:AL52">tlccQubc2</f>
        <v>1606.73941742082</v>
      </c>
      <c r="F52" s="13">
        <v>1606.73941742082</v>
      </c>
      <c r="G52" s="13">
        <v>1606.73941742082</v>
      </c>
      <c r="H52" s="13">
        <v>1606.73941742082</v>
      </c>
      <c r="I52" s="13">
        <v>1606.73941742082</v>
      </c>
      <c r="J52" s="13">
        <v>1606.73941742082</v>
      </c>
      <c r="K52" s="13">
        <v>1606.73941742082</v>
      </c>
      <c r="L52" s="13">
        <v>1606.73941742082</v>
      </c>
      <c r="M52" s="13">
        <v>1606.73941742082</v>
      </c>
      <c r="N52" s="13">
        <v>1606.73941742082</v>
      </c>
      <c r="O52" s="13">
        <v>1606.73941742082</v>
      </c>
      <c r="P52" s="13">
        <v>1606.73941742082</v>
      </c>
      <c r="Q52" s="13">
        <v>1606.73941742082</v>
      </c>
      <c r="R52" s="13">
        <v>1606.73941742082</v>
      </c>
      <c r="S52" s="13">
        <v>1606.73941742082</v>
      </c>
      <c r="T52" s="13">
        <v>1606.73941742082</v>
      </c>
      <c r="U52" s="13">
        <v>1606.73941742082</v>
      </c>
      <c r="V52" s="13">
        <v>1606.73941742082</v>
      </c>
      <c r="W52" s="13">
        <v>1606.73941742082</v>
      </c>
      <c r="X52" s="13">
        <v>1606.73941742082</v>
      </c>
      <c r="Y52" s="13">
        <v>1606.73941742082</v>
      </c>
      <c r="Z52" s="13">
        <v>1606.73941742082</v>
      </c>
      <c r="AA52" s="13">
        <v>1606.73941742082</v>
      </c>
      <c r="AB52" s="13">
        <v>1606.73941742082</v>
      </c>
      <c r="AC52" s="13">
        <v>1606.73941742082</v>
      </c>
      <c r="AD52" s="13">
        <v>1606.73941742082</v>
      </c>
      <c r="AE52" s="13">
        <v>1606.73941742082</v>
      </c>
      <c r="AF52" s="13">
        <v>1606.73941742082</v>
      </c>
      <c r="AG52" s="13">
        <v>1606.73941742082</v>
      </c>
      <c r="AH52" s="13">
        <v>1606.73941742082</v>
      </c>
      <c r="AI52" s="13">
        <v>1606.73941742082</v>
      </c>
      <c r="AJ52" s="13">
        <v>1606.73941742082</v>
      </c>
      <c r="AK52" s="13">
        <v>1606.73941742082</v>
      </c>
      <c r="AL52" s="56">
        <v>1606.73941742082</v>
      </c>
      <c r="AM52" s="10"/>
    </row>
    <row r="53" spans="2:39" ht="15" hidden="1">
      <c r="B53" s="10"/>
      <c r="C53" s="11" t="str">
        <f>"EL 3: " &amp; INDEX(_doName,3,4)</f>
        <v>EL 3: EL 3</v>
      </c>
      <c r="D53" s="12"/>
      <c r="E53" s="13">
        <f t="array" ref="E53:AL53">tlccQubc3</f>
        <v>1642.5726172529201</v>
      </c>
      <c r="F53" s="13">
        <v>1642.5726172529201</v>
      </c>
      <c r="G53" s="13">
        <v>1642.5726172529201</v>
      </c>
      <c r="H53" s="13">
        <v>1642.5726172529201</v>
      </c>
      <c r="I53" s="13">
        <v>1642.5726172529201</v>
      </c>
      <c r="J53" s="13">
        <v>1642.5726172529201</v>
      </c>
      <c r="K53" s="13">
        <v>1642.5726172529201</v>
      </c>
      <c r="L53" s="13">
        <v>1642.5726172529201</v>
      </c>
      <c r="M53" s="13">
        <v>1642.5726172529201</v>
      </c>
      <c r="N53" s="13">
        <v>1642.5726172529201</v>
      </c>
      <c r="O53" s="13">
        <v>1642.5726172529201</v>
      </c>
      <c r="P53" s="13">
        <v>1642.5726172529201</v>
      </c>
      <c r="Q53" s="13">
        <v>1642.5726172529201</v>
      </c>
      <c r="R53" s="13">
        <v>1642.5726172529201</v>
      </c>
      <c r="S53" s="13">
        <v>1642.5726172529201</v>
      </c>
      <c r="T53" s="13">
        <v>1642.5726172529201</v>
      </c>
      <c r="U53" s="13">
        <v>1642.5726172529201</v>
      </c>
      <c r="V53" s="13">
        <v>1642.5726172529201</v>
      </c>
      <c r="W53" s="13">
        <v>1642.5726172529201</v>
      </c>
      <c r="X53" s="13">
        <v>1642.5726172529201</v>
      </c>
      <c r="Y53" s="13">
        <v>1642.5726172529201</v>
      </c>
      <c r="Z53" s="13">
        <v>1642.5726172529201</v>
      </c>
      <c r="AA53" s="13">
        <v>1642.5726172529201</v>
      </c>
      <c r="AB53" s="13">
        <v>1642.5726172529201</v>
      </c>
      <c r="AC53" s="13">
        <v>1642.5726172529201</v>
      </c>
      <c r="AD53" s="13">
        <v>1642.5726172529201</v>
      </c>
      <c r="AE53" s="13">
        <v>1642.5726172529201</v>
      </c>
      <c r="AF53" s="13">
        <v>1642.5726172529201</v>
      </c>
      <c r="AG53" s="13">
        <v>1642.5726172529201</v>
      </c>
      <c r="AH53" s="13">
        <v>1642.5726172529201</v>
      </c>
      <c r="AI53" s="13">
        <v>1642.5726172529201</v>
      </c>
      <c r="AJ53" s="13">
        <v>1642.5726172529201</v>
      </c>
      <c r="AK53" s="13">
        <v>1642.5726172529201</v>
      </c>
      <c r="AL53" s="56">
        <v>1642.5726172529201</v>
      </c>
      <c r="AM53" s="10"/>
    </row>
    <row r="54" spans="2:39" ht="15" hidden="1">
      <c r="B54" s="10"/>
      <c r="C54" s="11" t="str">
        <f>"EL 4: " &amp; INDEX(_doName,3,5)</f>
        <v>EL 4: EL 4</v>
      </c>
      <c r="D54" s="12"/>
      <c r="E54" s="13">
        <f t="array" ref="E54:AL54">tlccQubc4</f>
        <v>1956.1763667180101</v>
      </c>
      <c r="F54" s="13">
        <v>1956.1763667180101</v>
      </c>
      <c r="G54" s="13">
        <v>1956.1763667180101</v>
      </c>
      <c r="H54" s="13">
        <v>1956.1763667180101</v>
      </c>
      <c r="I54" s="13">
        <v>1956.1763667180101</v>
      </c>
      <c r="J54" s="13">
        <v>1956.1763667180101</v>
      </c>
      <c r="K54" s="13">
        <v>1956.1763667180101</v>
      </c>
      <c r="L54" s="13">
        <v>1956.1763667180101</v>
      </c>
      <c r="M54" s="13">
        <v>1956.1763667180101</v>
      </c>
      <c r="N54" s="13">
        <v>1956.1763667180101</v>
      </c>
      <c r="O54" s="13">
        <v>1956.1763667180101</v>
      </c>
      <c r="P54" s="13">
        <v>1956.1763667180101</v>
      </c>
      <c r="Q54" s="13">
        <v>1956.1763667180101</v>
      </c>
      <c r="R54" s="13">
        <v>1956.1763667180101</v>
      </c>
      <c r="S54" s="13">
        <v>1956.1763667180101</v>
      </c>
      <c r="T54" s="13">
        <v>1956.1763667180101</v>
      </c>
      <c r="U54" s="13">
        <v>1956.1763667180101</v>
      </c>
      <c r="V54" s="13">
        <v>1956.1763667180101</v>
      </c>
      <c r="W54" s="13">
        <v>1956.1763667180101</v>
      </c>
      <c r="X54" s="13">
        <v>1956.1763667180101</v>
      </c>
      <c r="Y54" s="13">
        <v>1956.1763667180101</v>
      </c>
      <c r="Z54" s="13">
        <v>1956.1763667180101</v>
      </c>
      <c r="AA54" s="13">
        <v>1956.1763667180101</v>
      </c>
      <c r="AB54" s="13">
        <v>1956.1763667180101</v>
      </c>
      <c r="AC54" s="13">
        <v>1956.1763667180101</v>
      </c>
      <c r="AD54" s="13">
        <v>1956.1763667180101</v>
      </c>
      <c r="AE54" s="13">
        <v>1956.1763667180101</v>
      </c>
      <c r="AF54" s="13">
        <v>1956.1763667180101</v>
      </c>
      <c r="AG54" s="13">
        <v>1956.1763667180101</v>
      </c>
      <c r="AH54" s="13">
        <v>1956.1763667180101</v>
      </c>
      <c r="AI54" s="13">
        <v>1956.1763667180101</v>
      </c>
      <c r="AJ54" s="13">
        <v>1956.1763667180101</v>
      </c>
      <c r="AK54" s="13">
        <v>1956.1763667180101</v>
      </c>
      <c r="AL54" s="56">
        <v>1956.1763667180101</v>
      </c>
      <c r="AM54" s="10"/>
    </row>
    <row r="55" spans="2:39" ht="15" hidden="1">
      <c r="B55" s="10"/>
      <c r="C55" s="11" t="str">
        <f>"EL 5: " &amp; INDEX(_doName,3,6)</f>
        <v>EL 5: EL 5</v>
      </c>
      <c r="D55" s="12"/>
      <c r="E55" s="13">
        <f t="array" ref="E55:AL55">tlccQubc5</f>
        <v>2337.7572863462001</v>
      </c>
      <c r="F55" s="13">
        <v>2337.7572863462001</v>
      </c>
      <c r="G55" s="13">
        <v>2337.7572863462001</v>
      </c>
      <c r="H55" s="13">
        <v>2337.7572863462001</v>
      </c>
      <c r="I55" s="13">
        <v>2337.7572863462001</v>
      </c>
      <c r="J55" s="13">
        <v>2337.7572863462001</v>
      </c>
      <c r="K55" s="13">
        <v>2337.7572863462001</v>
      </c>
      <c r="L55" s="13">
        <v>2337.7572863462001</v>
      </c>
      <c r="M55" s="13">
        <v>2337.7572863462001</v>
      </c>
      <c r="N55" s="13">
        <v>2337.7572863462001</v>
      </c>
      <c r="O55" s="13">
        <v>2337.7572863462001</v>
      </c>
      <c r="P55" s="13">
        <v>2337.7572863462001</v>
      </c>
      <c r="Q55" s="13">
        <v>2337.7572863462001</v>
      </c>
      <c r="R55" s="13">
        <v>2337.7572863462001</v>
      </c>
      <c r="S55" s="13">
        <v>2337.7572863462001</v>
      </c>
      <c r="T55" s="13">
        <v>2337.7572863462001</v>
      </c>
      <c r="U55" s="13">
        <v>2337.7572863462001</v>
      </c>
      <c r="V55" s="13">
        <v>2337.7572863462001</v>
      </c>
      <c r="W55" s="13">
        <v>2337.7572863462001</v>
      </c>
      <c r="X55" s="13">
        <v>2337.7572863462001</v>
      </c>
      <c r="Y55" s="13">
        <v>2337.7572863462001</v>
      </c>
      <c r="Z55" s="13">
        <v>2337.7572863462001</v>
      </c>
      <c r="AA55" s="13">
        <v>2337.7572863462001</v>
      </c>
      <c r="AB55" s="13">
        <v>2337.7572863462001</v>
      </c>
      <c r="AC55" s="13">
        <v>2337.7572863462001</v>
      </c>
      <c r="AD55" s="13">
        <v>2337.7572863462001</v>
      </c>
      <c r="AE55" s="13">
        <v>2337.7572863462001</v>
      </c>
      <c r="AF55" s="13">
        <v>2337.7572863462001</v>
      </c>
      <c r="AG55" s="13">
        <v>2337.7572863462001</v>
      </c>
      <c r="AH55" s="13">
        <v>2337.7572863462001</v>
      </c>
      <c r="AI55" s="13">
        <v>2337.7572863462001</v>
      </c>
      <c r="AJ55" s="13">
        <v>2337.7572863462001</v>
      </c>
      <c r="AK55" s="13">
        <v>2337.7572863462001</v>
      </c>
      <c r="AL55" s="56">
        <v>2337.7572863462001</v>
      </c>
      <c r="AM55" s="10"/>
    </row>
    <row r="56" spans="2:39" ht="15" hidden="1">
      <c r="B56" s="10"/>
      <c r="C56" s="21" t="str">
        <f>"EL 6: " &amp; INDEX(_doName,3,7)</f>
        <v>EL 6: EL 6</v>
      </c>
      <c r="D56" s="18"/>
      <c r="E56" s="58">
        <f t="array" ref="E56:AL56">tlccQubc6</f>
        <v>3332.3279476880298</v>
      </c>
      <c r="F56" s="58">
        <v>3332.3279476880298</v>
      </c>
      <c r="G56" s="58">
        <v>3332.3279476880298</v>
      </c>
      <c r="H56" s="58">
        <v>3332.3279476880298</v>
      </c>
      <c r="I56" s="58">
        <v>3332.3279476880298</v>
      </c>
      <c r="J56" s="58">
        <v>3332.3279476880298</v>
      </c>
      <c r="K56" s="58">
        <v>3332.3279476880298</v>
      </c>
      <c r="L56" s="58">
        <v>3332.3279476880298</v>
      </c>
      <c r="M56" s="58">
        <v>3332.3279476880298</v>
      </c>
      <c r="N56" s="58">
        <v>3332.3279476880298</v>
      </c>
      <c r="O56" s="58">
        <v>3332.3279476880298</v>
      </c>
      <c r="P56" s="58">
        <v>3332.3279476880298</v>
      </c>
      <c r="Q56" s="58">
        <v>3332.3279476880298</v>
      </c>
      <c r="R56" s="58">
        <v>3332.3279476880298</v>
      </c>
      <c r="S56" s="58">
        <v>3332.3279476880298</v>
      </c>
      <c r="T56" s="58">
        <v>3332.3279476880298</v>
      </c>
      <c r="U56" s="58">
        <v>3332.3279476880298</v>
      </c>
      <c r="V56" s="58">
        <v>3332.3279476880298</v>
      </c>
      <c r="W56" s="58">
        <v>3332.3279476880298</v>
      </c>
      <c r="X56" s="58">
        <v>3332.3279476880298</v>
      </c>
      <c r="Y56" s="58">
        <v>3332.3279476880298</v>
      </c>
      <c r="Z56" s="58">
        <v>3332.3279476880298</v>
      </c>
      <c r="AA56" s="58">
        <v>3332.3279476880298</v>
      </c>
      <c r="AB56" s="58">
        <v>3332.3279476880298</v>
      </c>
      <c r="AC56" s="58">
        <v>3332.3279476880298</v>
      </c>
      <c r="AD56" s="58">
        <v>3332.3279476880298</v>
      </c>
      <c r="AE56" s="58">
        <v>3332.3279476880298</v>
      </c>
      <c r="AF56" s="58">
        <v>3332.3279476880298</v>
      </c>
      <c r="AG56" s="58">
        <v>3332.3279476880298</v>
      </c>
      <c r="AH56" s="58">
        <v>3332.3279476880298</v>
      </c>
      <c r="AI56" s="58">
        <v>3332.3279476880298</v>
      </c>
      <c r="AJ56" s="58">
        <v>3332.3279476880298</v>
      </c>
      <c r="AK56" s="58">
        <v>3332.3279476880298</v>
      </c>
      <c r="AL56" s="59">
        <v>3332.3279476880298</v>
      </c>
      <c r="AM56" s="10"/>
    </row>
    <row r="57" spans="2:39" ht="15" hidden="1">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2:39" ht="15" hidden="1">
      <c r="B58" s="10"/>
      <c r="C58" s="22" t="s">
        <v>88</v>
      </c>
      <c r="D58" s="23"/>
      <c r="E58" s="24">
        <f t="array" ref="E58:AL58">_yS</f>
        <v>2019</v>
      </c>
      <c r="F58" s="24">
        <v>2020</v>
      </c>
      <c r="G58" s="24">
        <v>2021</v>
      </c>
      <c r="H58" s="24">
        <v>2022</v>
      </c>
      <c r="I58" s="24">
        <v>2023</v>
      </c>
      <c r="J58" s="24">
        <v>2024</v>
      </c>
      <c r="K58" s="24">
        <v>2025</v>
      </c>
      <c r="L58" s="24">
        <v>2026</v>
      </c>
      <c r="M58" s="24">
        <v>2027</v>
      </c>
      <c r="N58" s="24">
        <v>2028</v>
      </c>
      <c r="O58" s="24">
        <v>2029</v>
      </c>
      <c r="P58" s="24">
        <v>2030</v>
      </c>
      <c r="Q58" s="24">
        <v>2031</v>
      </c>
      <c r="R58" s="24">
        <v>2032</v>
      </c>
      <c r="S58" s="24">
        <v>2033</v>
      </c>
      <c r="T58" s="24">
        <v>2034</v>
      </c>
      <c r="U58" s="24">
        <v>2035</v>
      </c>
      <c r="V58" s="24">
        <v>2036</v>
      </c>
      <c r="W58" s="24">
        <v>2037</v>
      </c>
      <c r="X58" s="24">
        <v>2038</v>
      </c>
      <c r="Y58" s="24">
        <v>2039</v>
      </c>
      <c r="Z58" s="24">
        <v>2040</v>
      </c>
      <c r="AA58" s="24">
        <v>2041</v>
      </c>
      <c r="AB58" s="24">
        <v>2042</v>
      </c>
      <c r="AC58" s="24">
        <v>2043</v>
      </c>
      <c r="AD58" s="24">
        <v>2044</v>
      </c>
      <c r="AE58" s="24">
        <v>2045</v>
      </c>
      <c r="AF58" s="24">
        <v>2046</v>
      </c>
      <c r="AG58" s="24">
        <v>2047</v>
      </c>
      <c r="AH58" s="24">
        <v>2048</v>
      </c>
      <c r="AI58" s="24">
        <v>2049</v>
      </c>
      <c r="AJ58" s="24">
        <v>2050</v>
      </c>
      <c r="AK58" s="24">
        <v>2051</v>
      </c>
      <c r="AL58" s="25">
        <v>2052</v>
      </c>
      <c r="AM58" s="10"/>
    </row>
    <row r="59" spans="2:39" ht="15" hidden="1">
      <c r="B59" s="10"/>
      <c r="C59" s="11" t="str">
        <f>"EL 0: " &amp; INDEX(_doName,3,1)</f>
        <v>EL 0: EL 2</v>
      </c>
      <c r="D59" s="12"/>
      <c r="E59" s="13">
        <f t="array" aca="1" ref="E59:AL59" ca="1">tlccEubc0</f>
        <v>8662.6444665197378</v>
      </c>
      <c r="F59" s="13">
        <f ca="1"/>
        <v>8735.7909990477947</v>
      </c>
      <c r="G59" s="13">
        <f ca="1"/>
        <v>8806.3846995333988</v>
      </c>
      <c r="H59" s="13">
        <f ca="1"/>
        <v>8869.0353630750833</v>
      </c>
      <c r="I59" s="13">
        <f ca="1"/>
        <v>8924.8840450531407</v>
      </c>
      <c r="J59" s="13">
        <f ca="1"/>
        <v>8981.0918918129519</v>
      </c>
      <c r="K59" s="13">
        <f ca="1"/>
        <v>9037.6612677578523</v>
      </c>
      <c r="L59" s="13">
        <f ca="1"/>
        <v>9094.5945532463174</v>
      </c>
      <c r="M59" s="13">
        <f ca="1"/>
        <v>9151.8941447023117</v>
      </c>
      <c r="N59" s="13">
        <f ca="1"/>
        <v>9209.5624547264724</v>
      </c>
      <c r="O59" s="13">
        <f ca="1"/>
        <v>9267.6019122080797</v>
      </c>
      <c r="P59" s="13">
        <f ca="1"/>
        <v>9326.0149624378082</v>
      </c>
      <c r="Q59" s="13">
        <f ca="1"/>
        <v>9384.8040672212483</v>
      </c>
      <c r="R59" s="13">
        <f ca="1"/>
        <v>9443.971704993306</v>
      </c>
      <c r="S59" s="13">
        <f ca="1"/>
        <v>9503.5203709333582</v>
      </c>
      <c r="T59" s="13">
        <f ca="1"/>
        <v>9563.4525770812215</v>
      </c>
      <c r="U59" s="13">
        <f ca="1"/>
        <v>9623.7708524539721</v>
      </c>
      <c r="V59" s="13">
        <f ca="1"/>
        <v>9684.4777431635794</v>
      </c>
      <c r="W59" s="13">
        <f ca="1"/>
        <v>9745.5758125353914</v>
      </c>
      <c r="X59" s="13">
        <f ca="1"/>
        <v>9807.0676412274206</v>
      </c>
      <c r="Y59" s="13">
        <f ca="1"/>
        <v>9868.9558273505281</v>
      </c>
      <c r="Z59" s="13">
        <f ca="1"/>
        <v>9931.2429865894283</v>
      </c>
      <c r="AA59" s="13">
        <f ca="1"/>
        <v>9993.9317523245445</v>
      </c>
      <c r="AB59" s="13">
        <f ca="1"/>
        <v>10057.024775754793</v>
      </c>
      <c r="AC59" s="13">
        <f ca="1"/>
        <v>10120.524726021127</v>
      </c>
      <c r="AD59" s="13">
        <f ca="1"/>
        <v>10184.434290331063</v>
      </c>
      <c r="AE59" s="13">
        <f ca="1"/>
        <v>10248.75617408407</v>
      </c>
      <c r="AF59" s="13">
        <f ca="1"/>
        <v>10313.493100997799</v>
      </c>
      <c r="AG59" s="13">
        <f ca="1"/>
        <v>10378.647813235246</v>
      </c>
      <c r="AH59" s="13">
        <f ca="1"/>
        <v>10444.223071532828</v>
      </c>
      <c r="AI59" s="13">
        <f ca="1"/>
        <v>10510.221655329358</v>
      </c>
      <c r="AJ59" s="13">
        <f ca="1"/>
        <v>10576.646362895935</v>
      </c>
      <c r="AK59" s="13">
        <f ca="1"/>
        <v>10643.500011466764</v>
      </c>
      <c r="AL59" s="56">
        <f ca="1"/>
        <v>10710.785437370878</v>
      </c>
      <c r="AM59" s="10"/>
    </row>
    <row r="60" spans="2:39" ht="15" hidden="1">
      <c r="B60" s="10"/>
      <c r="C60" s="11" t="str">
        <f>"EL 1: " &amp; INDEX(_doName,3,2)</f>
        <v>EL 1: EL 1</v>
      </c>
      <c r="D60" s="12"/>
      <c r="E60" s="13">
        <f t="array" aca="1" ref="E60:AL60" ca="1">tlccEubc1</f>
        <v>10832.335013931728</v>
      </c>
      <c r="F60" s="13">
        <f ca="1"/>
        <v>10923.802203715835</v>
      </c>
      <c r="G60" s="13">
        <f ca="1"/>
        <v>11012.077165996538</v>
      </c>
      <c r="H60" s="13">
        <f ca="1"/>
        <v>11090.41963739215</v>
      </c>
      <c r="I60" s="13">
        <f ca="1"/>
        <v>11160.25646789016</v>
      </c>
      <c r="J60" s="13">
        <f ca="1"/>
        <v>11230.542421430926</v>
      </c>
      <c r="K60" s="13">
        <f ca="1"/>
        <v>11301.280454618427</v>
      </c>
      <c r="L60" s="13">
        <f ca="1"/>
        <v>11372.473544007989</v>
      </c>
      <c r="M60" s="13">
        <f ca="1"/>
        <v>11444.124686244251</v>
      </c>
      <c r="N60" s="13">
        <f ca="1"/>
        <v>11516.23689820023</v>
      </c>
      <c r="O60" s="13">
        <f ca="1"/>
        <v>11588.813217117335</v>
      </c>
      <c r="P60" s="13">
        <f ca="1"/>
        <v>11661.85670074633</v>
      </c>
      <c r="Q60" s="13">
        <f ca="1"/>
        <v>11735.370427489312</v>
      </c>
      <c r="R60" s="13">
        <f ca="1"/>
        <v>11809.357496542767</v>
      </c>
      <c r="S60" s="13">
        <f ca="1"/>
        <v>11883.821028041544</v>
      </c>
      <c r="T60" s="13">
        <f ca="1"/>
        <v>11958.764163203876</v>
      </c>
      <c r="U60" s="13">
        <f ca="1"/>
        <v>12034.190064477501</v>
      </c>
      <c r="V60" s="13">
        <f ca="1"/>
        <v>12110.101915686706</v>
      </c>
      <c r="W60" s="13">
        <f ca="1"/>
        <v>12186.502922180483</v>
      </c>
      <c r="X60" s="13">
        <f ca="1"/>
        <v>12263.396310981761</v>
      </c>
      <c r="Y60" s="13">
        <f ca="1"/>
        <v>12340.785330937617</v>
      </c>
      <c r="Z60" s="13">
        <f ca="1"/>
        <v>12418.673252870643</v>
      </c>
      <c r="AA60" s="13">
        <f ca="1"/>
        <v>12497.063369731293</v>
      </c>
      <c r="AB60" s="13">
        <f ca="1"/>
        <v>12575.958996751384</v>
      </c>
      <c r="AC60" s="13">
        <f ca="1"/>
        <v>12655.363471598688</v>
      </c>
      <c r="AD60" s="13">
        <f ca="1"/>
        <v>12735.280154532564</v>
      </c>
      <c r="AE60" s="13">
        <f ca="1"/>
        <v>12815.712428560733</v>
      </c>
      <c r="AF60" s="13">
        <f ca="1"/>
        <v>12896.663699597222</v>
      </c>
      <c r="AG60" s="13">
        <f ca="1"/>
        <v>12978.13739662128</v>
      </c>
      <c r="AH60" s="13">
        <f ca="1"/>
        <v>13060.136971837583</v>
      </c>
      <c r="AI60" s="13">
        <f ca="1"/>
        <v>13142.665900837512</v>
      </c>
      <c r="AJ60" s="13">
        <f ca="1"/>
        <v>13225.72768276157</v>
      </c>
      <c r="AK60" s="13">
        <f ca="1"/>
        <v>13309.325840462907</v>
      </c>
      <c r="AL60" s="56">
        <f ca="1"/>
        <v>13393.463920672189</v>
      </c>
      <c r="AM60" s="10"/>
    </row>
    <row r="61" spans="2:39" ht="15" hidden="1">
      <c r="B61" s="10"/>
      <c r="C61" s="11" t="str">
        <f>"EL 2: " &amp; INDEX(_doName,3,3)</f>
        <v>EL 2: EL 2</v>
      </c>
      <c r="D61" s="12"/>
      <c r="E61" s="13">
        <f t="array" aca="1" ref="E61:AL61" ca="1">tlccEubc2</f>
        <v>11166.87302137714</v>
      </c>
      <c r="F61" s="13">
        <f ca="1"/>
        <v>11261.165017759031</v>
      </c>
      <c r="G61" s="13">
        <f ca="1"/>
        <v>11352.166200189944</v>
      </c>
      <c r="H61" s="13">
        <f ca="1"/>
        <v>11432.928143864174</v>
      </c>
      <c r="I61" s="13">
        <f ca="1"/>
        <v>11504.921764573264</v>
      </c>
      <c r="J61" s="13">
        <f ca="1"/>
        <v>11577.378378716619</v>
      </c>
      <c r="K61" s="13">
        <f ca="1"/>
        <v>11650.301034207896</v>
      </c>
      <c r="L61" s="13">
        <f ca="1"/>
        <v>11723.692799528133</v>
      </c>
      <c r="M61" s="13">
        <f ca="1"/>
        <v>11797.556763868228</v>
      </c>
      <c r="N61" s="13">
        <f ca="1"/>
        <v>11871.896037272099</v>
      </c>
      <c r="O61" s="13">
        <f ca="1"/>
        <v>11946.713750781135</v>
      </c>
      <c r="P61" s="13">
        <f ca="1"/>
        <v>12022.013056579473</v>
      </c>
      <c r="Q61" s="13">
        <f ca="1"/>
        <v>12097.797128140337</v>
      </c>
      <c r="R61" s="13">
        <f ca="1"/>
        <v>12174.069160373578</v>
      </c>
      <c r="S61" s="13">
        <f ca="1"/>
        <v>12250.832369774002</v>
      </c>
      <c r="T61" s="13">
        <f ca="1"/>
        <v>12328.089994571008</v>
      </c>
      <c r="U61" s="13">
        <f ca="1"/>
        <v>12405.845294879044</v>
      </c>
      <c r="V61" s="13">
        <f ca="1"/>
        <v>12484.101552849324</v>
      </c>
      <c r="W61" s="13">
        <f ca="1"/>
        <v>12562.862072822551</v>
      </c>
      <c r="X61" s="13">
        <f ca="1"/>
        <v>12642.130181482682</v>
      </c>
      <c r="Y61" s="13">
        <f ca="1"/>
        <v>12721.909228011851</v>
      </c>
      <c r="Z61" s="13">
        <f ca="1"/>
        <v>12802.202584246344</v>
      </c>
      <c r="AA61" s="13">
        <f ca="1"/>
        <v>12883.013644833734</v>
      </c>
      <c r="AB61" s="13">
        <f ca="1"/>
        <v>12964.345827391075</v>
      </c>
      <c r="AC61" s="13">
        <f ca="1"/>
        <v>13046.202572664231</v>
      </c>
      <c r="AD61" s="13">
        <f ca="1"/>
        <v>13128.5873446884</v>
      </c>
      <c r="AE61" s="13">
        <f ca="1"/>
        <v>13211.503630949686</v>
      </c>
      <c r="AF61" s="13">
        <f ca="1"/>
        <v>13294.954942547865</v>
      </c>
      <c r="AG61" s="13">
        <f ca="1"/>
        <v>13378.94481436032</v>
      </c>
      <c r="AH61" s="13">
        <f ca="1"/>
        <v>13463.476805207143</v>
      </c>
      <c r="AI61" s="13">
        <f ca="1"/>
        <v>13548.554498017342</v>
      </c>
      <c r="AJ61" s="13">
        <f ca="1"/>
        <v>13634.181499996348</v>
      </c>
      <c r="AK61" s="13">
        <f ca="1"/>
        <v>13720.361442794594</v>
      </c>
      <c r="AL61" s="56">
        <f ca="1"/>
        <v>13807.097982677367</v>
      </c>
      <c r="AM61" s="10"/>
    </row>
    <row r="62" spans="2:39" ht="15" hidden="1">
      <c r="B62" s="10"/>
      <c r="C62" s="11" t="str">
        <f>"EL 3: " &amp; INDEX(_doName,3,4)</f>
        <v>EL 3: EL 3</v>
      </c>
      <c r="D62" s="12"/>
      <c r="E62" s="13">
        <f t="array" aca="1" ref="E62:AL62" ca="1">tlccEubc3</f>
        <v>13744.966983689754</v>
      </c>
      <c r="F62" s="13">
        <f ca="1"/>
        <v>13861.028156286089</v>
      </c>
      <c r="G62" s="13">
        <f ca="1"/>
        <v>13973.038765307545</v>
      </c>
      <c r="H62" s="13">
        <f ca="1"/>
        <v>14072.446204365539</v>
      </c>
      <c r="I62" s="13">
        <f ca="1"/>
        <v>14161.060979315364</v>
      </c>
      <c r="J62" s="13">
        <f ca="1"/>
        <v>14250.245638910228</v>
      </c>
      <c r="K62" s="13">
        <f ca="1"/>
        <v>14340.003934734998</v>
      </c>
      <c r="L62" s="13">
        <f ca="1"/>
        <v>14430.339643690431</v>
      </c>
      <c r="M62" s="13">
        <f ca="1"/>
        <v>14521.256568168341</v>
      </c>
      <c r="N62" s="13">
        <f ca="1"/>
        <v>14612.75853622795</v>
      </c>
      <c r="O62" s="13">
        <f ca="1"/>
        <v>14704.849401773599</v>
      </c>
      <c r="P62" s="13">
        <f ca="1"/>
        <v>14797.533044733571</v>
      </c>
      <c r="Q62" s="13">
        <f ca="1"/>
        <v>14890.813371240351</v>
      </c>
      <c r="R62" s="13">
        <f ca="1"/>
        <v>14984.694313811999</v>
      </c>
      <c r="S62" s="13">
        <f ca="1"/>
        <v>15079.179831534928</v>
      </c>
      <c r="T62" s="13">
        <f ca="1"/>
        <v>15174.273910247932</v>
      </c>
      <c r="U62" s="13">
        <f ca="1"/>
        <v>15269.980562727536</v>
      </c>
      <c r="V62" s="13">
        <f ca="1"/>
        <v>15366.303828874601</v>
      </c>
      <c r="W62" s="13">
        <f ca="1"/>
        <v>15463.247775902375</v>
      </c>
      <c r="X62" s="13">
        <f ca="1"/>
        <v>15560.816498525735</v>
      </c>
      <c r="Y62" s="13">
        <f ca="1"/>
        <v>15659.014119151901</v>
      </c>
      <c r="Z62" s="13">
        <f ca="1"/>
        <v>15757.844788072374</v>
      </c>
      <c r="AA62" s="13">
        <f ca="1"/>
        <v>15857.312683656421</v>
      </c>
      <c r="AB62" s="13">
        <f ca="1"/>
        <v>15957.422012545725</v>
      </c>
      <c r="AC62" s="13">
        <f ca="1"/>
        <v>16058.17700985052</v>
      </c>
      <c r="AD62" s="13">
        <f ca="1"/>
        <v>16159.581939347197</v>
      </c>
      <c r="AE62" s="13">
        <f ca="1"/>
        <v>16261.641093677119</v>
      </c>
      <c r="AF62" s="13">
        <f ca="1"/>
        <v>16364.35879454707</v>
      </c>
      <c r="AG62" s="13">
        <f ca="1"/>
        <v>16467.739392930936</v>
      </c>
      <c r="AH62" s="13">
        <f ca="1"/>
        <v>16571.787269272943</v>
      </c>
      <c r="AI62" s="13">
        <f ca="1"/>
        <v>16676.506833692296</v>
      </c>
      <c r="AJ62" s="13">
        <f ca="1"/>
        <v>16781.902526189253</v>
      </c>
      <c r="AK62" s="13">
        <f ca="1"/>
        <v>16887.978816852759</v>
      </c>
      <c r="AL62" s="56">
        <f ca="1"/>
        <v>16994.740206069415</v>
      </c>
      <c r="AM62" s="10"/>
    </row>
    <row r="63" spans="2:39" ht="15" hidden="1">
      <c r="B63" s="10"/>
      <c r="C63" s="11" t="str">
        <f>"EL 4: " &amp; INDEX(_doName,3,5)</f>
        <v>EL 4: EL 4</v>
      </c>
      <c r="D63" s="12"/>
      <c r="E63" s="13">
        <f t="array" aca="1" ref="E63:AL63" ca="1">tlccEubc4</f>
        <v>17451.77293660117</v>
      </c>
      <c r="F63" s="13">
        <f ca="1"/>
        <v>17599.134020357153</v>
      </c>
      <c r="G63" s="13">
        <f ca="1"/>
        <v>17741.352165911983</v>
      </c>
      <c r="H63" s="13">
        <f ca="1"/>
        <v>17867.568260625631</v>
      </c>
      <c r="I63" s="13">
        <f ca="1"/>
        <v>17980.081075904654</v>
      </c>
      <c r="J63" s="13">
        <f ca="1"/>
        <v>18093.317464942505</v>
      </c>
      <c r="K63" s="13">
        <f ca="1"/>
        <v>18207.282191068731</v>
      </c>
      <c r="L63" s="13">
        <f ca="1"/>
        <v>18321.980049756065</v>
      </c>
      <c r="M63" s="13">
        <f ca="1"/>
        <v>18437.415868842814</v>
      </c>
      <c r="N63" s="13">
        <f ca="1"/>
        <v>18553.594508756862</v>
      </c>
      <c r="O63" s="13">
        <f ca="1"/>
        <v>18670.520862741181</v>
      </c>
      <c r="P63" s="13">
        <f ca="1"/>
        <v>18788.199857080985</v>
      </c>
      <c r="Q63" s="13">
        <f ca="1"/>
        <v>18906.636451332539</v>
      </c>
      <c r="R63" s="13">
        <f ca="1"/>
        <v>19025.835638553479</v>
      </c>
      <c r="S63" s="13">
        <f ca="1"/>
        <v>19145.80244553486</v>
      </c>
      <c r="T63" s="13">
        <f ca="1"/>
        <v>19266.541933034838</v>
      </c>
      <c r="U63" s="13">
        <f ca="1"/>
        <v>19388.059196013946</v>
      </c>
      <c r="V63" s="13">
        <f ca="1"/>
        <v>19510.359363872129</v>
      </c>
      <c r="W63" s="13">
        <f ca="1"/>
        <v>19633.447600687396</v>
      </c>
      <c r="X63" s="13">
        <f ca="1"/>
        <v>19757.329105456203</v>
      </c>
      <c r="Y63" s="13">
        <f ca="1"/>
        <v>19882.009112335505</v>
      </c>
      <c r="Z63" s="13">
        <f ca="1"/>
        <v>20007.492890886548</v>
      </c>
      <c r="AA63" s="13">
        <f ca="1"/>
        <v>20133.78574632042</v>
      </c>
      <c r="AB63" s="13">
        <f ca="1"/>
        <v>20260.893019745268</v>
      </c>
      <c r="AC63" s="13">
        <f ca="1"/>
        <v>20388.820088415403</v>
      </c>
      <c r="AD63" s="13">
        <f ca="1"/>
        <v>20517.572365982021</v>
      </c>
      <c r="AE63" s="13">
        <f ca="1"/>
        <v>20647.155302745781</v>
      </c>
      <c r="AF63" s="13">
        <f ca="1"/>
        <v>20777.57438591123</v>
      </c>
      <c r="AG63" s="13">
        <f ca="1"/>
        <v>20908.8351398429</v>
      </c>
      <c r="AH63" s="13">
        <f ca="1"/>
        <v>21040.943126323393</v>
      </c>
      <c r="AI63" s="13">
        <f ca="1"/>
        <v>21173.903944813177</v>
      </c>
      <c r="AJ63" s="13">
        <f ca="1"/>
        <v>21307.7232327122</v>
      </c>
      <c r="AK63" s="13">
        <f ca="1"/>
        <v>21442.406665623552</v>
      </c>
      <c r="AL63" s="56">
        <f ca="1"/>
        <v>21577.95995761879</v>
      </c>
      <c r="AM63" s="10"/>
    </row>
    <row r="64" spans="2:39" ht="15" hidden="1">
      <c r="B64" s="10"/>
      <c r="C64" s="11" t="str">
        <f>"EL 5: " &amp; INDEX(_doName,3,6)</f>
        <v>EL 5: EL 5</v>
      </c>
      <c r="D64" s="12"/>
      <c r="E64" s="13">
        <f t="array" aca="1" ref="E64:AL64" ca="1">tlccEubc5</f>
        <v>31768.398175780178</v>
      </c>
      <c r="F64" s="13">
        <f ca="1"/>
        <v>32036.647459184325</v>
      </c>
      <c r="G64" s="13">
        <f ca="1"/>
        <v>32295.534776376677</v>
      </c>
      <c r="H64" s="13">
        <f ca="1"/>
        <v>32525.292702268871</v>
      </c>
      <c r="I64" s="13">
        <f ca="1"/>
        <v>32730.105813730228</v>
      </c>
      <c r="J64" s="13">
        <f ca="1"/>
        <v>32936.236085308396</v>
      </c>
      <c r="K64" s="13">
        <f ca="1"/>
        <v>33143.692187947578</v>
      </c>
      <c r="L64" s="13">
        <f ca="1"/>
        <v>33352.482851104018</v>
      </c>
      <c r="M64" s="13">
        <f ca="1"/>
        <v>33562.616863150659</v>
      </c>
      <c r="N64" s="13">
        <f ca="1"/>
        <v>33774.103071785059</v>
      </c>
      <c r="O64" s="13">
        <f ca="1"/>
        <v>33986.950384439755</v>
      </c>
      <c r="P64" s="13">
        <f ca="1"/>
        <v>34201.167768696025</v>
      </c>
      <c r="Q64" s="13">
        <f ca="1"/>
        <v>34416.764252699977</v>
      </c>
      <c r="R64" s="13">
        <f ca="1"/>
        <v>34633.748925582244</v>
      </c>
      <c r="S64" s="13">
        <f ca="1"/>
        <v>34852.130937880189</v>
      </c>
      <c r="T64" s="13">
        <f ca="1"/>
        <v>35071.919501963224</v>
      </c>
      <c r="U64" s="13">
        <f ca="1"/>
        <v>35293.123892461292</v>
      </c>
      <c r="V64" s="13">
        <f ca="1"/>
        <v>35515.753446696166</v>
      </c>
      <c r="W64" s="13">
        <f ca="1"/>
        <v>35739.817565115947</v>
      </c>
      <c r="X64" s="13">
        <f ca="1"/>
        <v>35965.325711732767</v>
      </c>
      <c r="Y64" s="13">
        <f ca="1"/>
        <v>36192.287414563201</v>
      </c>
      <c r="Z64" s="13">
        <f ca="1"/>
        <v>36420.7122660721</v>
      </c>
      <c r="AA64" s="13">
        <f ca="1"/>
        <v>36650.609923619857</v>
      </c>
      <c r="AB64" s="13">
        <f ca="1"/>
        <v>36881.990109911974</v>
      </c>
      <c r="AC64" s="13">
        <f ca="1"/>
        <v>37114.862613452817</v>
      </c>
      <c r="AD64" s="13">
        <f ca="1"/>
        <v>37349.237289002085</v>
      </c>
      <c r="AE64" s="13">
        <f ca="1"/>
        <v>37585.124058034286</v>
      </c>
      <c r="AF64" s="13">
        <f ca="1"/>
        <v>37822.532909202047</v>
      </c>
      <c r="AG64" s="13">
        <f ca="1"/>
        <v>38061.473898802571</v>
      </c>
      <c r="AH64" s="13">
        <f ca="1"/>
        <v>38301.957151246846</v>
      </c>
      <c r="AI64" s="13">
        <f ca="1"/>
        <v>38543.9928595331</v>
      </c>
      <c r="AJ64" s="13">
        <f ca="1"/>
        <v>38787.591285722767</v>
      </c>
      <c r="AK64" s="13">
        <f ca="1"/>
        <v>39032.762761420534</v>
      </c>
      <c r="AL64" s="56">
        <f ca="1"/>
        <v>39279.51768825727</v>
      </c>
      <c r="AM64" s="10"/>
    </row>
    <row r="65" spans="2:39" ht="15" hidden="1">
      <c r="B65" s="10"/>
      <c r="C65" s="21" t="str">
        <f>"EL 6: " &amp; INDEX(_doName,3,7)</f>
        <v>EL 6: EL 6</v>
      </c>
      <c r="D65" s="18"/>
      <c r="E65" s="58">
        <f t="array" aca="1" ref="E65:AL65" ca="1">tlccEubc6</f>
        <v>35193.762839901494</v>
      </c>
      <c r="F65" s="58">
        <f ca="1"/>
        <v>35490.935571427384</v>
      </c>
      <c r="G65" s="58">
        <f ca="1"/>
        <v>35777.736901261931</v>
      </c>
      <c r="H65" s="58">
        <f ca="1"/>
        <v>36032.268020825933</v>
      </c>
      <c r="I65" s="58">
        <f ca="1"/>
        <v>36259.164700708548</v>
      </c>
      <c r="J65" s="58">
        <f ca="1"/>
        <v>36487.520560890945</v>
      </c>
      <c r="K65" s="58">
        <f ca="1"/>
        <v>36717.345207244725</v>
      </c>
      <c r="L65" s="58">
        <f ca="1"/>
        <v>36948.648310462369</v>
      </c>
      <c r="M65" s="58">
        <f ca="1"/>
        <v>37181.439606505905</v>
      </c>
      <c r="N65" s="58">
        <f ca="1"/>
        <v>37415.728897058267</v>
      </c>
      <c r="O65" s="58">
        <f ca="1"/>
        <v>37651.526049978369</v>
      </c>
      <c r="P65" s="58">
        <f ca="1"/>
        <v>37888.840999759057</v>
      </c>
      <c r="Q65" s="58">
        <f ca="1"/>
        <v>38127.683747988507</v>
      </c>
      <c r="R65" s="58">
        <f ca="1"/>
        <v>38368.064363814956</v>
      </c>
      <c r="S65" s="58">
        <f ca="1"/>
        <v>38609.992984414195</v>
      </c>
      <c r="T65" s="58">
        <f ca="1"/>
        <v>38853.479815461222</v>
      </c>
      <c r="U65" s="58">
        <f ca="1"/>
        <v>39098.535131604527</v>
      </c>
      <c r="V65" s="58">
        <f ca="1"/>
        <v>39345.169276944274</v>
      </c>
      <c r="W65" s="58">
        <f ca="1"/>
        <v>39593.392665513173</v>
      </c>
      <c r="X65" s="58">
        <f ca="1"/>
        <v>39843.215781761704</v>
      </c>
      <c r="Y65" s="58">
        <f ca="1"/>
        <v>40094.649181046007</v>
      </c>
      <c r="Z65" s="58">
        <f ca="1"/>
        <v>40347.703490119544</v>
      </c>
      <c r="AA65" s="58">
        <f ca="1"/>
        <v>40602.389407628332</v>
      </c>
      <c r="AB65" s="58">
        <f ca="1"/>
        <v>40858.717704609509</v>
      </c>
      <c r="AC65" s="58">
        <f ca="1"/>
        <v>41116.699224993499</v>
      </c>
      <c r="AD65" s="58">
        <f ca="1"/>
        <v>41376.344886109837</v>
      </c>
      <c r="AE65" s="58">
        <f ca="1"/>
        <v>41637.665679196565</v>
      </c>
      <c r="AF65" s="58">
        <f ca="1"/>
        <v>41900.672669913016</v>
      </c>
      <c r="AG65" s="58">
        <f ca="1"/>
        <v>42165.376998856584</v>
      </c>
      <c r="AH65" s="58">
        <f ca="1"/>
        <v>42431.789882082958</v>
      </c>
      <c r="AI65" s="58">
        <f ca="1"/>
        <v>42699.922611630078</v>
      </c>
      <c r="AJ65" s="58">
        <f ca="1"/>
        <v>42969.78655604602</v>
      </c>
      <c r="AK65" s="58">
        <f ca="1"/>
        <v>43241.393160920241</v>
      </c>
      <c r="AL65" s="59">
        <f ca="1"/>
        <v>43514.753949418882</v>
      </c>
      <c r="AM65" s="10"/>
    </row>
    <row r="66" spans="2:39" ht="15" hidden="1">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2:39" ht="15" hidden="1">
      <c r="B67" s="10"/>
      <c r="C67" s="22" t="s">
        <v>87</v>
      </c>
      <c r="D67" s="23"/>
      <c r="E67" s="24">
        <f t="array" ref="E67:AL67">_yS</f>
        <v>2019</v>
      </c>
      <c r="F67" s="24">
        <v>2020</v>
      </c>
      <c r="G67" s="24">
        <v>2021</v>
      </c>
      <c r="H67" s="24">
        <v>2022</v>
      </c>
      <c r="I67" s="24">
        <v>2023</v>
      </c>
      <c r="J67" s="24">
        <v>2024</v>
      </c>
      <c r="K67" s="24">
        <v>2025</v>
      </c>
      <c r="L67" s="24">
        <v>2026</v>
      </c>
      <c r="M67" s="24">
        <v>2027</v>
      </c>
      <c r="N67" s="24">
        <v>2028</v>
      </c>
      <c r="O67" s="24">
        <v>2029</v>
      </c>
      <c r="P67" s="24">
        <v>2030</v>
      </c>
      <c r="Q67" s="24">
        <v>2031</v>
      </c>
      <c r="R67" s="24">
        <v>2032</v>
      </c>
      <c r="S67" s="24">
        <v>2033</v>
      </c>
      <c r="T67" s="24">
        <v>2034</v>
      </c>
      <c r="U67" s="24">
        <v>2035</v>
      </c>
      <c r="V67" s="24">
        <v>2036</v>
      </c>
      <c r="W67" s="24">
        <v>2037</v>
      </c>
      <c r="X67" s="24">
        <v>2038</v>
      </c>
      <c r="Y67" s="24">
        <v>2039</v>
      </c>
      <c r="Z67" s="24">
        <v>2040</v>
      </c>
      <c r="AA67" s="24">
        <v>2041</v>
      </c>
      <c r="AB67" s="24">
        <v>2042</v>
      </c>
      <c r="AC67" s="24">
        <v>2043</v>
      </c>
      <c r="AD67" s="24">
        <v>2044</v>
      </c>
      <c r="AE67" s="24">
        <v>2045</v>
      </c>
      <c r="AF67" s="24">
        <v>2046</v>
      </c>
      <c r="AG67" s="24">
        <v>2047</v>
      </c>
      <c r="AH67" s="24">
        <v>2048</v>
      </c>
      <c r="AI67" s="24">
        <v>2049</v>
      </c>
      <c r="AJ67" s="24">
        <v>2050</v>
      </c>
      <c r="AK67" s="24">
        <v>2051</v>
      </c>
      <c r="AL67" s="25">
        <v>2052</v>
      </c>
      <c r="AM67" s="10"/>
    </row>
    <row r="68" spans="2:39" ht="15" hidden="1">
      <c r="B68" s="10"/>
      <c r="C68" s="11" t="str">
        <f>"EL 0: " &amp; INDEX(_doName,3,1)</f>
        <v>EL 0: EL 2</v>
      </c>
      <c r="D68" s="12"/>
      <c r="E68" s="13">
        <f t="array" aca="1" ref="E68:AL68" ca="1">tlccFubcElec0</f>
        <v>1491.9120171237928</v>
      </c>
      <c r="F68" s="13">
        <f ca="1"/>
        <v>1478.0736023641941</v>
      </c>
      <c r="G68" s="13">
        <f ca="1"/>
        <v>1465.7876868534781</v>
      </c>
      <c r="H68" s="13">
        <f ca="1"/>
        <v>1454.0188762803152</v>
      </c>
      <c r="I68" s="13">
        <f ca="1"/>
        <v>1443.6487207689991</v>
      </c>
      <c r="J68" s="13">
        <f ca="1"/>
        <v>1435.5219517765352</v>
      </c>
      <c r="K68" s="13">
        <f ca="1"/>
        <v>1428.6961554064455</v>
      </c>
      <c r="L68" s="13">
        <f ca="1"/>
        <v>1421.7886103997337</v>
      </c>
      <c r="M68" s="13">
        <f ca="1"/>
        <v>1416.1948175223924</v>
      </c>
      <c r="N68" s="13">
        <f ca="1"/>
        <v>1412.2559413247825</v>
      </c>
      <c r="O68" s="13">
        <f ca="1"/>
        <v>1409.3235490743079</v>
      </c>
      <c r="P68" s="13">
        <f ca="1"/>
        <v>1406.8221658716891</v>
      </c>
      <c r="Q68" s="13">
        <f ca="1"/>
        <v>1404.9443603030627</v>
      </c>
      <c r="R68" s="13">
        <f ca="1"/>
        <v>1403.4866463848264</v>
      </c>
      <c r="S68" s="13">
        <f ca="1"/>
        <v>1403.1919706555104</v>
      </c>
      <c r="T68" s="13">
        <f ca="1"/>
        <v>1403.4291597779588</v>
      </c>
      <c r="U68" s="13">
        <f ca="1"/>
        <v>1403.8444260488004</v>
      </c>
      <c r="V68" s="13">
        <f ca="1"/>
        <v>1404.4846825503778</v>
      </c>
      <c r="W68" s="13">
        <f ca="1"/>
        <v>1405.0999364242296</v>
      </c>
      <c r="X68" s="13">
        <f ca="1"/>
        <v>1405.6104160118143</v>
      </c>
      <c r="Y68" s="13">
        <f ca="1"/>
        <v>1405.952657583789</v>
      </c>
      <c r="Z68" s="13">
        <f ca="1"/>
        <v>1406.1885362020284</v>
      </c>
      <c r="AA68" s="13">
        <f ca="1"/>
        <v>1406.1885362020284</v>
      </c>
      <c r="AB68" s="13">
        <f ca="1"/>
        <v>1406.1885362020284</v>
      </c>
      <c r="AC68" s="13">
        <f ca="1"/>
        <v>1406.1885362020284</v>
      </c>
      <c r="AD68" s="13">
        <f ca="1"/>
        <v>1406.1885362020284</v>
      </c>
      <c r="AE68" s="13">
        <f ca="1"/>
        <v>1406.1885362020284</v>
      </c>
      <c r="AF68" s="13">
        <f ca="1"/>
        <v>1406.1885362020284</v>
      </c>
      <c r="AG68" s="13">
        <f ca="1"/>
        <v>1406.1885362020284</v>
      </c>
      <c r="AH68" s="13">
        <f ca="1"/>
        <v>1406.1885362020284</v>
      </c>
      <c r="AI68" s="13">
        <f ca="1"/>
        <v>1406.1885362020284</v>
      </c>
      <c r="AJ68" s="13">
        <f ca="1"/>
        <v>1406.1885362020284</v>
      </c>
      <c r="AK68" s="13">
        <f ca="1"/>
        <v>1406.1885362020284</v>
      </c>
      <c r="AL68" s="56">
        <f ca="1"/>
        <v>1406.1885362020284</v>
      </c>
      <c r="AM68" s="10"/>
    </row>
    <row r="69" spans="2:39" ht="15" hidden="1">
      <c r="B69" s="10"/>
      <c r="C69" s="11" t="str">
        <f>"EL 1: " &amp; INDEX(_doName,3,2)</f>
        <v>EL 1: EL 1</v>
      </c>
      <c r="D69" s="12"/>
      <c r="E69" s="13">
        <f t="array" aca="1" ref="E69:AL69" ca="1">tlccFubcElec1</f>
        <v>1865.5839845737423</v>
      </c>
      <c r="F69" s="13">
        <f ca="1"/>
        <v>1848.2795291828902</v>
      </c>
      <c r="G69" s="13">
        <f ca="1"/>
        <v>1832.9164199984721</v>
      </c>
      <c r="H69" s="13">
        <f ca="1"/>
        <v>1818.1999325174597</v>
      </c>
      <c r="I69" s="13">
        <f ca="1"/>
        <v>1805.2324144484328</v>
      </c>
      <c r="J69" s="13">
        <f ca="1"/>
        <v>1795.0701730396531</v>
      </c>
      <c r="K69" s="13">
        <f ca="1"/>
        <v>1786.5347525565139</v>
      </c>
      <c r="L69" s="13">
        <f ca="1"/>
        <v>1777.8971082522016</v>
      </c>
      <c r="M69" s="13">
        <f ca="1"/>
        <v>1770.9022652016647</v>
      </c>
      <c r="N69" s="13">
        <f ca="1"/>
        <v>1765.9768377856121</v>
      </c>
      <c r="O69" s="13">
        <f ca="1"/>
        <v>1762.3099834696854</v>
      </c>
      <c r="P69" s="13">
        <f ca="1"/>
        <v>1759.1820909475218</v>
      </c>
      <c r="Q69" s="13">
        <f ca="1"/>
        <v>1756.8339605251081</v>
      </c>
      <c r="R69" s="13">
        <f ca="1"/>
        <v>1755.0111400713963</v>
      </c>
      <c r="S69" s="13">
        <f ca="1"/>
        <v>1754.6426583412776</v>
      </c>
      <c r="T69" s="13">
        <f ca="1"/>
        <v>1754.9392550729053</v>
      </c>
      <c r="U69" s="13">
        <f ca="1"/>
        <v>1755.4585310726452</v>
      </c>
      <c r="V69" s="13">
        <f ca="1"/>
        <v>1756.259149515055</v>
      </c>
      <c r="W69" s="13">
        <f ca="1"/>
        <v>1757.0285030428304</v>
      </c>
      <c r="X69" s="13">
        <f ca="1"/>
        <v>1757.6668399769924</v>
      </c>
      <c r="Y69" s="13">
        <f ca="1"/>
        <v>1758.0948011356954</v>
      </c>
      <c r="Z69" s="13">
        <f ca="1"/>
        <v>1758.3897591274804</v>
      </c>
      <c r="AA69" s="13">
        <f ca="1"/>
        <v>1758.3897591274804</v>
      </c>
      <c r="AB69" s="13">
        <f ca="1"/>
        <v>1758.3897591274804</v>
      </c>
      <c r="AC69" s="13">
        <f ca="1"/>
        <v>1758.3897591274804</v>
      </c>
      <c r="AD69" s="13">
        <f ca="1"/>
        <v>1758.3897591274804</v>
      </c>
      <c r="AE69" s="13">
        <f ca="1"/>
        <v>1758.3897591274804</v>
      </c>
      <c r="AF69" s="13">
        <f ca="1"/>
        <v>1758.3897591274804</v>
      </c>
      <c r="AG69" s="13">
        <f ca="1"/>
        <v>1758.3897591274804</v>
      </c>
      <c r="AH69" s="13">
        <f ca="1"/>
        <v>1758.3897591274804</v>
      </c>
      <c r="AI69" s="13">
        <f ca="1"/>
        <v>1758.3897591274804</v>
      </c>
      <c r="AJ69" s="13">
        <f ca="1"/>
        <v>1758.3897591274804</v>
      </c>
      <c r="AK69" s="13">
        <f ca="1"/>
        <v>1758.3897591274804</v>
      </c>
      <c r="AL69" s="56">
        <f ca="1"/>
        <v>1758.3897591274804</v>
      </c>
      <c r="AM69" s="10"/>
    </row>
    <row r="70" spans="2:39" ht="15" hidden="1">
      <c r="B70" s="10"/>
      <c r="C70" s="11" t="str">
        <f>"EL 2: " &amp; INDEX(_doName,3,3)</f>
        <v>EL 2: EL 2</v>
      </c>
      <c r="D70" s="12"/>
      <c r="E70" s="13">
        <f t="array" aca="1" ref="E70:AL70" ca="1">tlccFubcElec2</f>
        <v>1923.1993323375129</v>
      </c>
      <c r="F70" s="13">
        <f ca="1"/>
        <v>1905.3604586500567</v>
      </c>
      <c r="G70" s="13">
        <f ca="1"/>
        <v>1889.5228863025154</v>
      </c>
      <c r="H70" s="13">
        <f ca="1"/>
        <v>1874.3519054558381</v>
      </c>
      <c r="I70" s="13">
        <f ca="1"/>
        <v>1860.9839079287126</v>
      </c>
      <c r="J70" s="13">
        <f ca="1"/>
        <v>1850.507823199199</v>
      </c>
      <c r="K70" s="13">
        <f ca="1"/>
        <v>1841.7088009573006</v>
      </c>
      <c r="L70" s="13">
        <f ca="1"/>
        <v>1832.8043978876001</v>
      </c>
      <c r="M70" s="13">
        <f ca="1"/>
        <v>1825.5935311585574</v>
      </c>
      <c r="N70" s="13">
        <f ca="1"/>
        <v>1820.5159904011559</v>
      </c>
      <c r="O70" s="13">
        <f ca="1"/>
        <v>1816.7358916060962</v>
      </c>
      <c r="P70" s="13">
        <f ca="1"/>
        <v>1813.5113995114009</v>
      </c>
      <c r="Q70" s="13">
        <f ca="1"/>
        <v>1811.0907511257108</v>
      </c>
      <c r="R70" s="13">
        <f ca="1"/>
        <v>1809.2116360022228</v>
      </c>
      <c r="S70" s="13">
        <f ca="1"/>
        <v>1808.8317743486054</v>
      </c>
      <c r="T70" s="13">
        <f ca="1"/>
        <v>1809.1375309593802</v>
      </c>
      <c r="U70" s="13">
        <f ca="1"/>
        <v>1809.6728439038827</v>
      </c>
      <c r="V70" s="13">
        <f ca="1"/>
        <v>1810.4981880677647</v>
      </c>
      <c r="W70" s="13">
        <f ca="1"/>
        <v>1811.29130175398</v>
      </c>
      <c r="X70" s="13">
        <f ca="1"/>
        <v>1811.9493526247729</v>
      </c>
      <c r="Y70" s="13">
        <f ca="1"/>
        <v>1812.3905306266693</v>
      </c>
      <c r="Z70" s="13">
        <f ca="1"/>
        <v>1812.6945978879446</v>
      </c>
      <c r="AA70" s="13">
        <f ca="1"/>
        <v>1812.6945978879446</v>
      </c>
      <c r="AB70" s="13">
        <f ca="1"/>
        <v>1812.6945978879446</v>
      </c>
      <c r="AC70" s="13">
        <f ca="1"/>
        <v>1812.6945978879446</v>
      </c>
      <c r="AD70" s="13">
        <f ca="1"/>
        <v>1812.6945978879446</v>
      </c>
      <c r="AE70" s="13">
        <f ca="1"/>
        <v>1812.6945978879446</v>
      </c>
      <c r="AF70" s="13">
        <f ca="1"/>
        <v>1812.6945978879446</v>
      </c>
      <c r="AG70" s="13">
        <f ca="1"/>
        <v>1812.6945978879446</v>
      </c>
      <c r="AH70" s="13">
        <f ca="1"/>
        <v>1812.6945978879446</v>
      </c>
      <c r="AI70" s="13">
        <f ca="1"/>
        <v>1812.6945978879446</v>
      </c>
      <c r="AJ70" s="13">
        <f ca="1"/>
        <v>1812.6945978879446</v>
      </c>
      <c r="AK70" s="13">
        <f ca="1"/>
        <v>1812.6945978879446</v>
      </c>
      <c r="AL70" s="56">
        <f ca="1"/>
        <v>1812.6945978879446</v>
      </c>
      <c r="AM70" s="10"/>
    </row>
    <row r="71" spans="2:39" ht="15" hidden="1">
      <c r="B71" s="10"/>
      <c r="C71" s="11" t="str">
        <f>"EL 3: " &amp; INDEX(_doName,3,4)</f>
        <v>EL 3: EL 3</v>
      </c>
      <c r="D71" s="12"/>
      <c r="E71" s="13">
        <f t="array" aca="1" ref="E71:AL71" ca="1">tlccFubcElec3</f>
        <v>2367.208015657488</v>
      </c>
      <c r="F71" s="13">
        <f ca="1"/>
        <v>2345.250684416153</v>
      </c>
      <c r="G71" s="13">
        <f ca="1"/>
        <v>2325.7566945944704</v>
      </c>
      <c r="H71" s="13">
        <f ca="1"/>
        <v>2307.0831921333433</v>
      </c>
      <c r="I71" s="13">
        <f ca="1"/>
        <v>2290.6289274258784</v>
      </c>
      <c r="J71" s="13">
        <f ca="1"/>
        <v>2277.7342309025239</v>
      </c>
      <c r="K71" s="13">
        <f ca="1"/>
        <v>2266.9037799811135</v>
      </c>
      <c r="L71" s="13">
        <f ca="1"/>
        <v>2255.9436189791754</v>
      </c>
      <c r="M71" s="13">
        <f ca="1"/>
        <v>2247.0679807477077</v>
      </c>
      <c r="N71" s="13">
        <f ca="1"/>
        <v>2240.818189070555</v>
      </c>
      <c r="O71" s="13">
        <f ca="1"/>
        <v>2236.1653795478073</v>
      </c>
      <c r="P71" s="13">
        <f ca="1"/>
        <v>2232.196449544223</v>
      </c>
      <c r="Q71" s="13">
        <f ca="1"/>
        <v>2229.2169465019001</v>
      </c>
      <c r="R71" s="13">
        <f ca="1"/>
        <v>2226.9040004084459</v>
      </c>
      <c r="S71" s="13">
        <f ca="1"/>
        <v>2226.4364401633043</v>
      </c>
      <c r="T71" s="13">
        <f ca="1"/>
        <v>2226.8127867477147</v>
      </c>
      <c r="U71" s="13">
        <f ca="1"/>
        <v>2227.4716872952581</v>
      </c>
      <c r="V71" s="13">
        <f ca="1"/>
        <v>2228.4875785175386</v>
      </c>
      <c r="W71" s="13">
        <f ca="1"/>
        <v>2229.4637982175805</v>
      </c>
      <c r="X71" s="13">
        <f ca="1"/>
        <v>2230.2737731743414</v>
      </c>
      <c r="Y71" s="13">
        <f ca="1"/>
        <v>2230.8168058620408</v>
      </c>
      <c r="Z71" s="13">
        <f ca="1"/>
        <v>2231.1910730771374</v>
      </c>
      <c r="AA71" s="13">
        <f ca="1"/>
        <v>2231.1910730771374</v>
      </c>
      <c r="AB71" s="13">
        <f ca="1"/>
        <v>2231.1910730771374</v>
      </c>
      <c r="AC71" s="13">
        <f ca="1"/>
        <v>2231.1910730771374</v>
      </c>
      <c r="AD71" s="13">
        <f ca="1"/>
        <v>2231.1910730771374</v>
      </c>
      <c r="AE71" s="13">
        <f ca="1"/>
        <v>2231.1910730771374</v>
      </c>
      <c r="AF71" s="13">
        <f ca="1"/>
        <v>2231.1910730771374</v>
      </c>
      <c r="AG71" s="13">
        <f ca="1"/>
        <v>2231.1910730771374</v>
      </c>
      <c r="AH71" s="13">
        <f ca="1"/>
        <v>2231.1910730771374</v>
      </c>
      <c r="AI71" s="13">
        <f ca="1"/>
        <v>2231.1910730771374</v>
      </c>
      <c r="AJ71" s="13">
        <f ca="1"/>
        <v>2231.1910730771374</v>
      </c>
      <c r="AK71" s="13">
        <f ca="1"/>
        <v>2231.1910730771374</v>
      </c>
      <c r="AL71" s="56">
        <f ca="1"/>
        <v>2231.1910730771374</v>
      </c>
      <c r="AM71" s="10"/>
    </row>
    <row r="72" spans="2:39" ht="15" hidden="1">
      <c r="B72" s="10"/>
      <c r="C72" s="11" t="str">
        <f>"EL 4: " &amp; INDEX(_doName,3,5)</f>
        <v>EL 4: EL 4</v>
      </c>
      <c r="D72" s="12"/>
      <c r="E72" s="13">
        <f t="array" aca="1" ref="E72:AL72" ca="1">tlccFubcElec4</f>
        <v>3005.6075676266705</v>
      </c>
      <c r="F72" s="13">
        <f ca="1"/>
        <v>2977.7286822446822</v>
      </c>
      <c r="G72" s="13">
        <f ca="1"/>
        <v>2952.9774635331255</v>
      </c>
      <c r="H72" s="13">
        <f ca="1"/>
        <v>2929.2680049895475</v>
      </c>
      <c r="I72" s="13">
        <f ca="1"/>
        <v>2908.3762784503601</v>
      </c>
      <c r="J72" s="13">
        <f ca="1"/>
        <v>2892.0040808249305</v>
      </c>
      <c r="K72" s="13">
        <f ca="1"/>
        <v>2878.2528240553984</v>
      </c>
      <c r="L72" s="13">
        <f ca="1"/>
        <v>2864.3368763938734</v>
      </c>
      <c r="M72" s="13">
        <f ca="1"/>
        <v>2853.0676151968996</v>
      </c>
      <c r="N72" s="13">
        <f ca="1"/>
        <v>2845.1323509376139</v>
      </c>
      <c r="O72" s="13">
        <f ca="1"/>
        <v>2839.2247503297258</v>
      </c>
      <c r="P72" s="13">
        <f ca="1"/>
        <v>2834.1854610170626</v>
      </c>
      <c r="Q72" s="13">
        <f ca="1"/>
        <v>2830.4024318820898</v>
      </c>
      <c r="R72" s="13">
        <f ca="1"/>
        <v>2827.4657198415689</v>
      </c>
      <c r="S72" s="13">
        <f ca="1"/>
        <v>2826.8720657977233</v>
      </c>
      <c r="T72" s="13">
        <f ca="1"/>
        <v>2827.3499072610311</v>
      </c>
      <c r="U72" s="13">
        <f ca="1"/>
        <v>2828.1865031406114</v>
      </c>
      <c r="V72" s="13">
        <f ca="1"/>
        <v>2829.4763645830262</v>
      </c>
      <c r="W72" s="13">
        <f ca="1"/>
        <v>2830.7158557045104</v>
      </c>
      <c r="X72" s="13">
        <f ca="1"/>
        <v>2831.7442684352568</v>
      </c>
      <c r="Y72" s="13">
        <f ca="1"/>
        <v>2832.4337486773065</v>
      </c>
      <c r="Z72" s="13">
        <f ca="1"/>
        <v>2832.9089499974139</v>
      </c>
      <c r="AA72" s="13">
        <f ca="1"/>
        <v>2832.9089499974139</v>
      </c>
      <c r="AB72" s="13">
        <f ca="1"/>
        <v>2832.9089499974139</v>
      </c>
      <c r="AC72" s="13">
        <f ca="1"/>
        <v>2832.9089499974139</v>
      </c>
      <c r="AD72" s="13">
        <f ca="1"/>
        <v>2832.9089499974139</v>
      </c>
      <c r="AE72" s="13">
        <f ca="1"/>
        <v>2832.9089499974139</v>
      </c>
      <c r="AF72" s="13">
        <f ca="1"/>
        <v>2832.9089499974139</v>
      </c>
      <c r="AG72" s="13">
        <f ca="1"/>
        <v>2832.9089499974139</v>
      </c>
      <c r="AH72" s="13">
        <f ca="1"/>
        <v>2832.9089499974139</v>
      </c>
      <c r="AI72" s="13">
        <f ca="1"/>
        <v>2832.9089499974139</v>
      </c>
      <c r="AJ72" s="13">
        <f ca="1"/>
        <v>2832.9089499974139</v>
      </c>
      <c r="AK72" s="13">
        <f ca="1"/>
        <v>2832.9089499974139</v>
      </c>
      <c r="AL72" s="56">
        <f ca="1"/>
        <v>2832.9089499974139</v>
      </c>
      <c r="AM72" s="10"/>
    </row>
    <row r="73" spans="2:39" ht="15" hidden="1">
      <c r="B73" s="10"/>
      <c r="C73" s="11" t="str">
        <f>"EL 5: " &amp; INDEX(_doName,3,6)</f>
        <v>EL 5: EL 5</v>
      </c>
      <c r="D73" s="12"/>
      <c r="E73" s="13">
        <f t="array" aca="1" ref="E73:AL73" ca="1">tlccFubcElec5</f>
        <v>5471.2686393167269</v>
      </c>
      <c r="F73" s="13">
        <f ca="1"/>
        <v>5420.5192091740473</v>
      </c>
      <c r="G73" s="13">
        <f ca="1"/>
        <v>5375.463238401273</v>
      </c>
      <c r="H73" s="13">
        <f ca="1"/>
        <v>5332.3036395295248</v>
      </c>
      <c r="I73" s="13">
        <f ca="1"/>
        <v>5294.273309333993</v>
      </c>
      <c r="J73" s="13">
        <f ca="1"/>
        <v>5264.4701199923311</v>
      </c>
      <c r="K73" s="13">
        <f ca="1"/>
        <v>5239.437969845816</v>
      </c>
      <c r="L73" s="13">
        <f ca="1"/>
        <v>5214.1060240366041</v>
      </c>
      <c r="M73" s="13">
        <f ca="1"/>
        <v>5193.5919835346494</v>
      </c>
      <c r="N73" s="13">
        <f ca="1"/>
        <v>5179.1469964531188</v>
      </c>
      <c r="O73" s="13">
        <f ca="1"/>
        <v>5168.3930742552611</v>
      </c>
      <c r="P73" s="13">
        <f ca="1"/>
        <v>5159.219785673683</v>
      </c>
      <c r="Q73" s="13">
        <f ca="1"/>
        <v>5152.333334863958</v>
      </c>
      <c r="R73" s="13">
        <f ca="1"/>
        <v>5146.9874804473429</v>
      </c>
      <c r="S73" s="13">
        <f ca="1"/>
        <v>5145.9068201550017</v>
      </c>
      <c r="T73" s="13">
        <f ca="1"/>
        <v>5146.7766605962224</v>
      </c>
      <c r="U73" s="13">
        <f ca="1"/>
        <v>5148.2995609405762</v>
      </c>
      <c r="V73" s="13">
        <f ca="1"/>
        <v>5150.6475648965679</v>
      </c>
      <c r="W73" s="13">
        <f ca="1"/>
        <v>5152.9038770561237</v>
      </c>
      <c r="X73" s="13">
        <f ca="1"/>
        <v>5154.7759519013598</v>
      </c>
      <c r="Y73" s="13">
        <f ca="1"/>
        <v>5156.0310497612363</v>
      </c>
      <c r="Z73" s="13">
        <f ca="1"/>
        <v>5156.8960842082042</v>
      </c>
      <c r="AA73" s="13">
        <f ca="1"/>
        <v>5156.8960842082042</v>
      </c>
      <c r="AB73" s="13">
        <f ca="1"/>
        <v>5156.8960842082042</v>
      </c>
      <c r="AC73" s="13">
        <f ca="1"/>
        <v>5156.8960842082042</v>
      </c>
      <c r="AD73" s="13">
        <f ca="1"/>
        <v>5156.8960842082042</v>
      </c>
      <c r="AE73" s="13">
        <f ca="1"/>
        <v>5156.8960842082042</v>
      </c>
      <c r="AF73" s="13">
        <f ca="1"/>
        <v>5156.8960842082042</v>
      </c>
      <c r="AG73" s="13">
        <f ca="1"/>
        <v>5156.8960842082042</v>
      </c>
      <c r="AH73" s="13">
        <f ca="1"/>
        <v>5156.8960842082042</v>
      </c>
      <c r="AI73" s="13">
        <f ca="1"/>
        <v>5156.8960842082042</v>
      </c>
      <c r="AJ73" s="13">
        <f ca="1"/>
        <v>5156.8960842082042</v>
      </c>
      <c r="AK73" s="13">
        <f ca="1"/>
        <v>5156.8960842082042</v>
      </c>
      <c r="AL73" s="56">
        <f ca="1"/>
        <v>5156.8960842082042</v>
      </c>
      <c r="AM73" s="10"/>
    </row>
    <row r="74" spans="2:39" ht="15" hidden="1">
      <c r="B74" s="10"/>
      <c r="C74" s="21" t="str">
        <f>"EL 6: " &amp; INDEX(_doName,3,7)</f>
        <v>EL 6: EL 6</v>
      </c>
      <c r="D74" s="18"/>
      <c r="E74" s="58">
        <f t="array" aca="1" ref="E74:AL74" ca="1">tlccFubcElec6</f>
        <v>6061.1973527927021</v>
      </c>
      <c r="F74" s="58">
        <f ca="1"/>
        <v>6004.9759657772483</v>
      </c>
      <c r="G74" s="58">
        <f ca="1"/>
        <v>5955.0619241209906</v>
      </c>
      <c r="H74" s="58">
        <f ca="1"/>
        <v>5907.2487269130906</v>
      </c>
      <c r="I74" s="58">
        <f ca="1"/>
        <v>5865.1178516256768</v>
      </c>
      <c r="J74" s="58">
        <f ca="1"/>
        <v>5832.101192373314</v>
      </c>
      <c r="K74" s="58">
        <f ca="1"/>
        <v>5804.3700001755014</v>
      </c>
      <c r="L74" s="58">
        <f ca="1"/>
        <v>5776.3066874409515</v>
      </c>
      <c r="M74" s="58">
        <f ca="1"/>
        <v>5753.5807611188511</v>
      </c>
      <c r="N74" s="58">
        <f ca="1"/>
        <v>5737.5782718916653</v>
      </c>
      <c r="O74" s="58">
        <f ca="1"/>
        <v>5725.6648293146754</v>
      </c>
      <c r="P74" s="58">
        <f ca="1"/>
        <v>5715.502449045588</v>
      </c>
      <c r="Q74" s="58">
        <f ca="1"/>
        <v>5707.8734803054876</v>
      </c>
      <c r="R74" s="58">
        <f ca="1"/>
        <v>5701.9512197157674</v>
      </c>
      <c r="S74" s="58">
        <f ca="1"/>
        <v>5700.7540393660138</v>
      </c>
      <c r="T74" s="58">
        <f ca="1"/>
        <v>5701.7176686314087</v>
      </c>
      <c r="U74" s="58">
        <f ca="1"/>
        <v>5703.4047726915942</v>
      </c>
      <c r="V74" s="58">
        <f ca="1"/>
        <v>5706.0059455274768</v>
      </c>
      <c r="W74" s="58">
        <f ca="1"/>
        <v>5708.5055400804295</v>
      </c>
      <c r="X74" s="58">
        <f ca="1"/>
        <v>5710.5794676910455</v>
      </c>
      <c r="Y74" s="58">
        <f ca="1"/>
        <v>5711.9698939938426</v>
      </c>
      <c r="Z74" s="58">
        <f ca="1"/>
        <v>5712.9281990681657</v>
      </c>
      <c r="AA74" s="58">
        <f ca="1"/>
        <v>5712.9281990681657</v>
      </c>
      <c r="AB74" s="58">
        <f ca="1"/>
        <v>5712.9281990681657</v>
      </c>
      <c r="AC74" s="58">
        <f ca="1"/>
        <v>5712.9281990681657</v>
      </c>
      <c r="AD74" s="58">
        <f ca="1"/>
        <v>5712.9281990681657</v>
      </c>
      <c r="AE74" s="58">
        <f ca="1"/>
        <v>5712.9281990681657</v>
      </c>
      <c r="AF74" s="58">
        <f ca="1"/>
        <v>5712.9281990681657</v>
      </c>
      <c r="AG74" s="58">
        <f ca="1"/>
        <v>5712.9281990681657</v>
      </c>
      <c r="AH74" s="58">
        <f ca="1"/>
        <v>5712.9281990681657</v>
      </c>
      <c r="AI74" s="58">
        <f ca="1"/>
        <v>5712.9281990681657</v>
      </c>
      <c r="AJ74" s="58">
        <f ca="1"/>
        <v>5712.9281990681657</v>
      </c>
      <c r="AK74" s="58">
        <f ca="1"/>
        <v>5712.9281990681657</v>
      </c>
      <c r="AL74" s="59">
        <f ca="1"/>
        <v>5712.9281990681657</v>
      </c>
      <c r="AM74" s="10"/>
    </row>
    <row r="75" spans="2:39" ht="15" hidden="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2:39" ht="15" hidden="1">
      <c r="B76" s="10"/>
      <c r="C76" s="22" t="s">
        <v>86</v>
      </c>
      <c r="D76" s="23"/>
      <c r="E76" s="24">
        <f t="array" ref="E76:AL76">_yS</f>
        <v>2019</v>
      </c>
      <c r="F76" s="24">
        <v>2020</v>
      </c>
      <c r="G76" s="24">
        <v>2021</v>
      </c>
      <c r="H76" s="24">
        <v>2022</v>
      </c>
      <c r="I76" s="24">
        <v>2023</v>
      </c>
      <c r="J76" s="24">
        <v>2024</v>
      </c>
      <c r="K76" s="24">
        <v>2025</v>
      </c>
      <c r="L76" s="24">
        <v>2026</v>
      </c>
      <c r="M76" s="24">
        <v>2027</v>
      </c>
      <c r="N76" s="24">
        <v>2028</v>
      </c>
      <c r="O76" s="24">
        <v>2029</v>
      </c>
      <c r="P76" s="24">
        <v>2030</v>
      </c>
      <c r="Q76" s="24">
        <v>2031</v>
      </c>
      <c r="R76" s="24">
        <v>2032</v>
      </c>
      <c r="S76" s="24">
        <v>2033</v>
      </c>
      <c r="T76" s="24">
        <v>2034</v>
      </c>
      <c r="U76" s="24">
        <v>2035</v>
      </c>
      <c r="V76" s="24">
        <v>2036</v>
      </c>
      <c r="W76" s="24">
        <v>2037</v>
      </c>
      <c r="X76" s="24">
        <v>2038</v>
      </c>
      <c r="Y76" s="24">
        <v>2039</v>
      </c>
      <c r="Z76" s="24">
        <v>2040</v>
      </c>
      <c r="AA76" s="24">
        <v>2041</v>
      </c>
      <c r="AB76" s="24">
        <v>2042</v>
      </c>
      <c r="AC76" s="24">
        <v>2043</v>
      </c>
      <c r="AD76" s="24">
        <v>2044</v>
      </c>
      <c r="AE76" s="24">
        <v>2045</v>
      </c>
      <c r="AF76" s="24">
        <v>2046</v>
      </c>
      <c r="AG76" s="24">
        <v>2047</v>
      </c>
      <c r="AH76" s="24">
        <v>2048</v>
      </c>
      <c r="AI76" s="24">
        <v>2049</v>
      </c>
      <c r="AJ76" s="24">
        <v>2050</v>
      </c>
      <c r="AK76" s="24">
        <v>2051</v>
      </c>
      <c r="AL76" s="25">
        <v>2052</v>
      </c>
      <c r="AM76" s="10"/>
    </row>
    <row r="77" spans="2:39" ht="15" hidden="1">
      <c r="B77" s="10"/>
      <c r="C77" s="11" t="str">
        <f>"EL 0: " &amp; INDEX(_doName,3,1)</f>
        <v>EL 0: EL 2</v>
      </c>
      <c r="D77" s="12"/>
      <c r="E77" s="13">
        <f t="array" aca="1" ref="E77:AL77" ca="1">tlccQupol0</f>
        <v>0</v>
      </c>
      <c r="F77" s="13">
        <f ca="1"/>
        <v>0</v>
      </c>
      <c r="G77" s="13">
        <f ca="1"/>
        <v>0</v>
      </c>
      <c r="H77" s="13">
        <f ca="1"/>
        <v>0</v>
      </c>
      <c r="I77" s="13">
        <f ca="1"/>
        <v>0</v>
      </c>
      <c r="J77" s="13">
        <f ca="1"/>
        <v>0</v>
      </c>
      <c r="K77" s="13">
        <f ca="1"/>
        <v>0</v>
      </c>
      <c r="L77" s="13">
        <f ca="1"/>
        <v>0</v>
      </c>
      <c r="M77" s="13">
        <f ca="1"/>
        <v>0</v>
      </c>
      <c r="N77" s="13">
        <f ca="1"/>
        <v>0</v>
      </c>
      <c r="O77" s="13">
        <f ca="1"/>
        <v>0</v>
      </c>
      <c r="P77" s="13">
        <f ca="1"/>
        <v>0</v>
      </c>
      <c r="Q77" s="13">
        <f ca="1"/>
        <v>0</v>
      </c>
      <c r="R77" s="13">
        <f ca="1"/>
        <v>0</v>
      </c>
      <c r="S77" s="13">
        <f ca="1"/>
        <v>0</v>
      </c>
      <c r="T77" s="13">
        <f ca="1"/>
        <v>0</v>
      </c>
      <c r="U77" s="13">
        <f ca="1"/>
        <v>0</v>
      </c>
      <c r="V77" s="13">
        <f ca="1"/>
        <v>0</v>
      </c>
      <c r="W77" s="13">
        <f ca="1"/>
        <v>0</v>
      </c>
      <c r="X77" s="13">
        <f ca="1"/>
        <v>0</v>
      </c>
      <c r="Y77" s="13">
        <f ca="1"/>
        <v>0</v>
      </c>
      <c r="Z77" s="13">
        <f ca="1"/>
        <v>0</v>
      </c>
      <c r="AA77" s="13">
        <f ca="1"/>
        <v>0</v>
      </c>
      <c r="AB77" s="13">
        <f ca="1"/>
        <v>0</v>
      </c>
      <c r="AC77" s="13">
        <f ca="1"/>
        <v>0</v>
      </c>
      <c r="AD77" s="13">
        <f ca="1"/>
        <v>0</v>
      </c>
      <c r="AE77" s="13">
        <f ca="1"/>
        <v>0</v>
      </c>
      <c r="AF77" s="13">
        <f ca="1"/>
        <v>0</v>
      </c>
      <c r="AG77" s="13">
        <f ca="1"/>
        <v>0</v>
      </c>
      <c r="AH77" s="13">
        <f ca="1"/>
        <v>0</v>
      </c>
      <c r="AI77" s="13">
        <f ca="1"/>
        <v>0</v>
      </c>
      <c r="AJ77" s="13">
        <f ca="1"/>
        <v>0</v>
      </c>
      <c r="AK77" s="13">
        <f ca="1"/>
        <v>0</v>
      </c>
      <c r="AL77" s="56">
        <f ca="1"/>
        <v>0</v>
      </c>
      <c r="AM77" s="10"/>
    </row>
    <row r="78" spans="2:39" ht="15" hidden="1">
      <c r="B78" s="10"/>
      <c r="C78" s="11" t="str">
        <f>"EL 1: " &amp; INDEX(_doName,3,2)</f>
        <v>EL 1: EL 1</v>
      </c>
      <c r="D78" s="12"/>
      <c r="E78" s="13">
        <f t="array" aca="1" ref="E78:AL78" ca="1">tlccQupol1</f>
        <v>0</v>
      </c>
      <c r="F78" s="13">
        <f ca="1"/>
        <v>0</v>
      </c>
      <c r="G78" s="13">
        <f ca="1"/>
        <v>0</v>
      </c>
      <c r="H78" s="13">
        <f ca="1"/>
        <v>0</v>
      </c>
      <c r="I78" s="13">
        <f ca="1"/>
        <v>0</v>
      </c>
      <c r="J78" s="13">
        <f ca="1"/>
        <v>0</v>
      </c>
      <c r="K78" s="13">
        <f ca="1"/>
        <v>0</v>
      </c>
      <c r="L78" s="13">
        <f ca="1"/>
        <v>0</v>
      </c>
      <c r="M78" s="13">
        <f ca="1"/>
        <v>0</v>
      </c>
      <c r="N78" s="13">
        <f ca="1"/>
        <v>0</v>
      </c>
      <c r="O78" s="13">
        <f ca="1"/>
        <v>0</v>
      </c>
      <c r="P78" s="13">
        <f ca="1"/>
        <v>0</v>
      </c>
      <c r="Q78" s="13">
        <f ca="1"/>
        <v>0</v>
      </c>
      <c r="R78" s="13">
        <f ca="1"/>
        <v>0</v>
      </c>
      <c r="S78" s="13">
        <f ca="1"/>
        <v>0</v>
      </c>
      <c r="T78" s="13">
        <f ca="1"/>
        <v>0</v>
      </c>
      <c r="U78" s="13">
        <f ca="1"/>
        <v>0</v>
      </c>
      <c r="V78" s="13">
        <f ca="1"/>
        <v>0</v>
      </c>
      <c r="W78" s="13">
        <f ca="1"/>
        <v>0</v>
      </c>
      <c r="X78" s="13">
        <f ca="1"/>
        <v>0</v>
      </c>
      <c r="Y78" s="13">
        <f ca="1"/>
        <v>0</v>
      </c>
      <c r="Z78" s="13">
        <f ca="1"/>
        <v>0</v>
      </c>
      <c r="AA78" s="13">
        <f ca="1"/>
        <v>0</v>
      </c>
      <c r="AB78" s="13">
        <f ca="1"/>
        <v>0</v>
      </c>
      <c r="AC78" s="13">
        <f ca="1"/>
        <v>0</v>
      </c>
      <c r="AD78" s="13">
        <f ca="1"/>
        <v>0</v>
      </c>
      <c r="AE78" s="13">
        <f ca="1"/>
        <v>0</v>
      </c>
      <c r="AF78" s="13">
        <f ca="1"/>
        <v>0</v>
      </c>
      <c r="AG78" s="13">
        <f ca="1"/>
        <v>0</v>
      </c>
      <c r="AH78" s="13">
        <f ca="1"/>
        <v>0</v>
      </c>
      <c r="AI78" s="13">
        <f ca="1"/>
        <v>0</v>
      </c>
      <c r="AJ78" s="13">
        <f ca="1"/>
        <v>0</v>
      </c>
      <c r="AK78" s="13">
        <f ca="1"/>
        <v>0</v>
      </c>
      <c r="AL78" s="56">
        <f ca="1"/>
        <v>0</v>
      </c>
      <c r="AM78" s="10"/>
    </row>
    <row r="79" spans="2:39" ht="15" hidden="1">
      <c r="B79" s="10"/>
      <c r="C79" s="11" t="str">
        <f>"EL 2: " &amp; INDEX(_doName,3,3)</f>
        <v>EL 2: EL 2</v>
      </c>
      <c r="D79" s="12"/>
      <c r="E79" s="13">
        <f t="array" aca="1" ref="E79:AL79" ca="1">tlccQupol2</f>
        <v>0</v>
      </c>
      <c r="F79" s="13">
        <f ca="1"/>
        <v>0</v>
      </c>
      <c r="G79" s="13">
        <f ca="1"/>
        <v>0</v>
      </c>
      <c r="H79" s="13">
        <f ca="1"/>
        <v>0</v>
      </c>
      <c r="I79" s="13">
        <f ca="1"/>
        <v>0</v>
      </c>
      <c r="J79" s="13">
        <f ca="1"/>
        <v>0</v>
      </c>
      <c r="K79" s="13">
        <f ca="1"/>
        <v>0</v>
      </c>
      <c r="L79" s="13">
        <f ca="1"/>
        <v>0</v>
      </c>
      <c r="M79" s="13">
        <f ca="1"/>
        <v>0</v>
      </c>
      <c r="N79" s="13">
        <f ca="1"/>
        <v>0</v>
      </c>
      <c r="O79" s="13">
        <f ca="1"/>
        <v>0</v>
      </c>
      <c r="P79" s="13">
        <f ca="1"/>
        <v>0</v>
      </c>
      <c r="Q79" s="13">
        <f ca="1"/>
        <v>0</v>
      </c>
      <c r="R79" s="13">
        <f ca="1"/>
        <v>0</v>
      </c>
      <c r="S79" s="13">
        <f ca="1"/>
        <v>0</v>
      </c>
      <c r="T79" s="13">
        <f ca="1"/>
        <v>0</v>
      </c>
      <c r="U79" s="13">
        <f ca="1"/>
        <v>0</v>
      </c>
      <c r="V79" s="13">
        <f ca="1"/>
        <v>0</v>
      </c>
      <c r="W79" s="13">
        <f ca="1"/>
        <v>0</v>
      </c>
      <c r="X79" s="13">
        <f ca="1"/>
        <v>0</v>
      </c>
      <c r="Y79" s="13">
        <f ca="1"/>
        <v>0</v>
      </c>
      <c r="Z79" s="13">
        <f ca="1"/>
        <v>0</v>
      </c>
      <c r="AA79" s="13">
        <f ca="1"/>
        <v>0</v>
      </c>
      <c r="AB79" s="13">
        <f ca="1"/>
        <v>0</v>
      </c>
      <c r="AC79" s="13">
        <f ca="1"/>
        <v>0</v>
      </c>
      <c r="AD79" s="13">
        <f ca="1"/>
        <v>0</v>
      </c>
      <c r="AE79" s="13">
        <f ca="1"/>
        <v>0</v>
      </c>
      <c r="AF79" s="13">
        <f ca="1"/>
        <v>0</v>
      </c>
      <c r="AG79" s="13">
        <f ca="1"/>
        <v>0</v>
      </c>
      <c r="AH79" s="13">
        <f ca="1"/>
        <v>0</v>
      </c>
      <c r="AI79" s="13">
        <f ca="1"/>
        <v>0</v>
      </c>
      <c r="AJ79" s="13">
        <f ca="1"/>
        <v>0</v>
      </c>
      <c r="AK79" s="13">
        <f ca="1"/>
        <v>0</v>
      </c>
      <c r="AL79" s="56">
        <f ca="1"/>
        <v>0</v>
      </c>
      <c r="AM79" s="10"/>
    </row>
    <row r="80" spans="2:39" ht="15" hidden="1">
      <c r="B80" s="10"/>
      <c r="C80" s="11" t="str">
        <f>"EL 3: " &amp; INDEX(_doName,3,4)</f>
        <v>EL 3: EL 3</v>
      </c>
      <c r="D80" s="12"/>
      <c r="E80" s="13">
        <f t="array" aca="1" ref="E80:AL80" ca="1">tlccQupol3</f>
        <v>0</v>
      </c>
      <c r="F80" s="13">
        <f ca="1"/>
        <v>0</v>
      </c>
      <c r="G80" s="13">
        <f ca="1"/>
        <v>0</v>
      </c>
      <c r="H80" s="13">
        <f ca="1"/>
        <v>0</v>
      </c>
      <c r="I80" s="13">
        <f ca="1"/>
        <v>0</v>
      </c>
      <c r="J80" s="13">
        <f ca="1"/>
        <v>0</v>
      </c>
      <c r="K80" s="13">
        <f ca="1"/>
        <v>0</v>
      </c>
      <c r="L80" s="13">
        <f ca="1"/>
        <v>0</v>
      </c>
      <c r="M80" s="13">
        <f ca="1"/>
        <v>0</v>
      </c>
      <c r="N80" s="13">
        <f ca="1"/>
        <v>0</v>
      </c>
      <c r="O80" s="13">
        <f ca="1"/>
        <v>0</v>
      </c>
      <c r="P80" s="13">
        <f ca="1"/>
        <v>0</v>
      </c>
      <c r="Q80" s="13">
        <f ca="1"/>
        <v>0</v>
      </c>
      <c r="R80" s="13">
        <f ca="1"/>
        <v>0</v>
      </c>
      <c r="S80" s="13">
        <f ca="1"/>
        <v>0</v>
      </c>
      <c r="T80" s="13">
        <f ca="1"/>
        <v>0</v>
      </c>
      <c r="U80" s="13">
        <f ca="1"/>
        <v>0</v>
      </c>
      <c r="V80" s="13">
        <f ca="1"/>
        <v>0</v>
      </c>
      <c r="W80" s="13">
        <f ca="1"/>
        <v>0</v>
      </c>
      <c r="X80" s="13">
        <f ca="1"/>
        <v>0</v>
      </c>
      <c r="Y80" s="13">
        <f ca="1"/>
        <v>0</v>
      </c>
      <c r="Z80" s="13">
        <f ca="1"/>
        <v>0</v>
      </c>
      <c r="AA80" s="13">
        <f ca="1"/>
        <v>0</v>
      </c>
      <c r="AB80" s="13">
        <f ca="1"/>
        <v>0</v>
      </c>
      <c r="AC80" s="13">
        <f ca="1"/>
        <v>0</v>
      </c>
      <c r="AD80" s="13">
        <f ca="1"/>
        <v>0</v>
      </c>
      <c r="AE80" s="13">
        <f ca="1"/>
        <v>0</v>
      </c>
      <c r="AF80" s="13">
        <f ca="1"/>
        <v>0</v>
      </c>
      <c r="AG80" s="13">
        <f ca="1"/>
        <v>0</v>
      </c>
      <c r="AH80" s="13">
        <f ca="1"/>
        <v>0</v>
      </c>
      <c r="AI80" s="13">
        <f ca="1"/>
        <v>0</v>
      </c>
      <c r="AJ80" s="13">
        <f ca="1"/>
        <v>0</v>
      </c>
      <c r="AK80" s="13">
        <f ca="1"/>
        <v>0</v>
      </c>
      <c r="AL80" s="56">
        <f ca="1"/>
        <v>0</v>
      </c>
      <c r="AM80" s="10"/>
    </row>
    <row r="81" spans="2:39" ht="15" hidden="1">
      <c r="B81" s="10"/>
      <c r="C81" s="11" t="str">
        <f>"EL 4: " &amp; INDEX(_doName,3,5)</f>
        <v>EL 4: EL 4</v>
      </c>
      <c r="D81" s="12"/>
      <c r="E81" s="13">
        <f t="array" aca="1" ref="E81:AL81" ca="1">tlccQupol4</f>
        <v>0</v>
      </c>
      <c r="F81" s="13">
        <f ca="1"/>
        <v>0</v>
      </c>
      <c r="G81" s="13">
        <f ca="1"/>
        <v>0</v>
      </c>
      <c r="H81" s="13">
        <f ca="1"/>
        <v>0</v>
      </c>
      <c r="I81" s="13">
        <f ca="1"/>
        <v>0</v>
      </c>
      <c r="J81" s="13">
        <f ca="1"/>
        <v>0</v>
      </c>
      <c r="K81" s="13">
        <f ca="1"/>
        <v>0</v>
      </c>
      <c r="L81" s="13">
        <f ca="1"/>
        <v>0</v>
      </c>
      <c r="M81" s="13">
        <f ca="1"/>
        <v>0</v>
      </c>
      <c r="N81" s="13">
        <f ca="1"/>
        <v>0</v>
      </c>
      <c r="O81" s="13">
        <f ca="1"/>
        <v>0</v>
      </c>
      <c r="P81" s="13">
        <f ca="1"/>
        <v>0</v>
      </c>
      <c r="Q81" s="13">
        <f ca="1"/>
        <v>0</v>
      </c>
      <c r="R81" s="13">
        <f ca="1"/>
        <v>0</v>
      </c>
      <c r="S81" s="13">
        <f ca="1"/>
        <v>0</v>
      </c>
      <c r="T81" s="13">
        <f ca="1"/>
        <v>0</v>
      </c>
      <c r="U81" s="13">
        <f ca="1"/>
        <v>0</v>
      </c>
      <c r="V81" s="13">
        <f ca="1"/>
        <v>0</v>
      </c>
      <c r="W81" s="13">
        <f ca="1"/>
        <v>0</v>
      </c>
      <c r="X81" s="13">
        <f ca="1"/>
        <v>0</v>
      </c>
      <c r="Y81" s="13">
        <f ca="1"/>
        <v>0</v>
      </c>
      <c r="Z81" s="13">
        <f ca="1"/>
        <v>0</v>
      </c>
      <c r="AA81" s="13">
        <f ca="1"/>
        <v>0</v>
      </c>
      <c r="AB81" s="13">
        <f ca="1"/>
        <v>0</v>
      </c>
      <c r="AC81" s="13">
        <f ca="1"/>
        <v>0</v>
      </c>
      <c r="AD81" s="13">
        <f ca="1"/>
        <v>0</v>
      </c>
      <c r="AE81" s="13">
        <f ca="1"/>
        <v>0</v>
      </c>
      <c r="AF81" s="13">
        <f ca="1"/>
        <v>0</v>
      </c>
      <c r="AG81" s="13">
        <f ca="1"/>
        <v>0</v>
      </c>
      <c r="AH81" s="13">
        <f ca="1"/>
        <v>0</v>
      </c>
      <c r="AI81" s="13">
        <f ca="1"/>
        <v>0</v>
      </c>
      <c r="AJ81" s="13">
        <f ca="1"/>
        <v>0</v>
      </c>
      <c r="AK81" s="13">
        <f ca="1"/>
        <v>0</v>
      </c>
      <c r="AL81" s="56">
        <f ca="1"/>
        <v>0</v>
      </c>
      <c r="AM81" s="10"/>
    </row>
    <row r="82" spans="2:39" ht="15" hidden="1">
      <c r="B82" s="10"/>
      <c r="C82" s="11" t="str">
        <f>"EL 5: " &amp; INDEX(_doName,3,6)</f>
        <v>EL 5: EL 5</v>
      </c>
      <c r="D82" s="12"/>
      <c r="E82" s="13">
        <f t="array" aca="1" ref="E82:AL82" ca="1">tlccQupol5</f>
        <v>2154.9125241215802</v>
      </c>
      <c r="F82" s="13">
        <f ca="1"/>
        <v>2154.9125241215802</v>
      </c>
      <c r="G82" s="13">
        <f ca="1"/>
        <v>2154.9125241215802</v>
      </c>
      <c r="H82" s="13">
        <f ca="1"/>
        <v>2154.9125241215802</v>
      </c>
      <c r="I82" s="13">
        <f ca="1"/>
        <v>2154.9125241215802</v>
      </c>
      <c r="J82" s="13">
        <f ca="1"/>
        <v>2154.9125241215802</v>
      </c>
      <c r="K82" s="13">
        <f ca="1"/>
        <v>2154.9125241215802</v>
      </c>
      <c r="L82" s="13">
        <f ca="1"/>
        <v>2154.9125241215802</v>
      </c>
      <c r="M82" s="13">
        <f ca="1"/>
        <v>2154.9125241215802</v>
      </c>
      <c r="N82" s="13">
        <f ca="1"/>
        <v>2154.9125241215802</v>
      </c>
      <c r="O82" s="13">
        <f ca="1"/>
        <v>2154.9125241215802</v>
      </c>
      <c r="P82" s="13">
        <f ca="1"/>
        <v>2154.9125241215802</v>
      </c>
      <c r="Q82" s="13">
        <f ca="1"/>
        <v>2154.9125241215802</v>
      </c>
      <c r="R82" s="13">
        <f ca="1"/>
        <v>2154.9125241215802</v>
      </c>
      <c r="S82" s="13">
        <f ca="1"/>
        <v>2154.9125241215802</v>
      </c>
      <c r="T82" s="13">
        <f ca="1"/>
        <v>2154.9125241215802</v>
      </c>
      <c r="U82" s="13">
        <f ca="1"/>
        <v>2154.9125241215802</v>
      </c>
      <c r="V82" s="13">
        <f ca="1"/>
        <v>2154.9125241215802</v>
      </c>
      <c r="W82" s="13">
        <f ca="1"/>
        <v>2154.9125241215802</v>
      </c>
      <c r="X82" s="13">
        <f ca="1"/>
        <v>2154.9125241215802</v>
      </c>
      <c r="Y82" s="13">
        <f ca="1"/>
        <v>2154.9125241215802</v>
      </c>
      <c r="Z82" s="13">
        <f ca="1"/>
        <v>2154.9125241215802</v>
      </c>
      <c r="AA82" s="13">
        <f ca="1"/>
        <v>2154.9125241215802</v>
      </c>
      <c r="AB82" s="13">
        <f ca="1"/>
        <v>2154.9125241215802</v>
      </c>
      <c r="AC82" s="13">
        <f ca="1"/>
        <v>2154.9125241215802</v>
      </c>
      <c r="AD82" s="13">
        <f ca="1"/>
        <v>2154.9125241215802</v>
      </c>
      <c r="AE82" s="13">
        <f ca="1"/>
        <v>2154.9125241215802</v>
      </c>
      <c r="AF82" s="13">
        <f ca="1"/>
        <v>2154.9125241215802</v>
      </c>
      <c r="AG82" s="13">
        <f ca="1"/>
        <v>2154.9125241215802</v>
      </c>
      <c r="AH82" s="13">
        <f ca="1"/>
        <v>2154.9125241215802</v>
      </c>
      <c r="AI82" s="13">
        <f ca="1"/>
        <v>2154.9125241215802</v>
      </c>
      <c r="AJ82" s="13">
        <f ca="1"/>
        <v>2154.9125241215802</v>
      </c>
      <c r="AK82" s="13">
        <f ca="1"/>
        <v>2154.9125241215802</v>
      </c>
      <c r="AL82" s="56">
        <f ca="1"/>
        <v>2154.9125241215802</v>
      </c>
      <c r="AM82" s="10"/>
    </row>
    <row r="83" spans="2:39" ht="15" hidden="1">
      <c r="B83" s="10"/>
      <c r="C83" s="21" t="str">
        <f>"EL 6: " &amp; INDEX(_doName,3,7)</f>
        <v>EL 6: EL 6</v>
      </c>
      <c r="D83" s="18"/>
      <c r="E83" s="58">
        <f t="array" aca="1" ref="E83:AL83" ca="1">tlccQupol6</f>
        <v>3332.3279476880298</v>
      </c>
      <c r="F83" s="58">
        <f ca="1"/>
        <v>3332.3279476880298</v>
      </c>
      <c r="G83" s="58">
        <f ca="1"/>
        <v>3332.3279476880298</v>
      </c>
      <c r="H83" s="58">
        <f ca="1"/>
        <v>3332.3279476880298</v>
      </c>
      <c r="I83" s="58">
        <f ca="1"/>
        <v>3332.3279476880298</v>
      </c>
      <c r="J83" s="58">
        <f ca="1"/>
        <v>3332.3279476880298</v>
      </c>
      <c r="K83" s="58">
        <f ca="1"/>
        <v>3332.3279476880298</v>
      </c>
      <c r="L83" s="58">
        <f ca="1"/>
        <v>3332.3279476880298</v>
      </c>
      <c r="M83" s="58">
        <f ca="1"/>
        <v>3332.3279476880298</v>
      </c>
      <c r="N83" s="58">
        <f ca="1"/>
        <v>3332.3279476880298</v>
      </c>
      <c r="O83" s="58">
        <f ca="1"/>
        <v>3332.3279476880298</v>
      </c>
      <c r="P83" s="58">
        <f ca="1"/>
        <v>3332.3279476880298</v>
      </c>
      <c r="Q83" s="58">
        <f ca="1"/>
        <v>3332.3279476880298</v>
      </c>
      <c r="R83" s="58">
        <f ca="1"/>
        <v>3332.3279476880298</v>
      </c>
      <c r="S83" s="58">
        <f ca="1"/>
        <v>3332.3279476880298</v>
      </c>
      <c r="T83" s="58">
        <f ca="1"/>
        <v>3332.3279476880298</v>
      </c>
      <c r="U83" s="58">
        <f ca="1"/>
        <v>3332.3279476880298</v>
      </c>
      <c r="V83" s="58">
        <f ca="1"/>
        <v>3332.3279476880298</v>
      </c>
      <c r="W83" s="58">
        <f ca="1"/>
        <v>3332.3279476880298</v>
      </c>
      <c r="X83" s="58">
        <f ca="1"/>
        <v>3332.3279476880298</v>
      </c>
      <c r="Y83" s="58">
        <f ca="1"/>
        <v>3332.3279476880298</v>
      </c>
      <c r="Z83" s="58">
        <f ca="1"/>
        <v>3332.3279476880298</v>
      </c>
      <c r="AA83" s="58">
        <f ca="1"/>
        <v>3332.3279476880298</v>
      </c>
      <c r="AB83" s="58">
        <f ca="1"/>
        <v>3332.3279476880298</v>
      </c>
      <c r="AC83" s="58">
        <f ca="1"/>
        <v>3332.3279476880298</v>
      </c>
      <c r="AD83" s="58">
        <f ca="1"/>
        <v>3332.3279476880298</v>
      </c>
      <c r="AE83" s="58">
        <f ca="1"/>
        <v>3332.3279476880298</v>
      </c>
      <c r="AF83" s="58">
        <f ca="1"/>
        <v>3332.3279476880298</v>
      </c>
      <c r="AG83" s="58">
        <f ca="1"/>
        <v>3332.3279476880298</v>
      </c>
      <c r="AH83" s="58">
        <f ca="1"/>
        <v>3332.3279476880298</v>
      </c>
      <c r="AI83" s="58">
        <f ca="1"/>
        <v>3332.3279476880298</v>
      </c>
      <c r="AJ83" s="58">
        <f ca="1"/>
        <v>3332.3279476880298</v>
      </c>
      <c r="AK83" s="58">
        <f ca="1"/>
        <v>3332.3279476880298</v>
      </c>
      <c r="AL83" s="59">
        <f ca="1"/>
        <v>3332.3279476880298</v>
      </c>
      <c r="AM83" s="10"/>
    </row>
    <row r="84" spans="2:39" ht="15" hidden="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2:39" ht="15" hidden="1">
      <c r="B85" s="10"/>
      <c r="C85" s="22" t="s">
        <v>85</v>
      </c>
      <c r="D85" s="23"/>
      <c r="E85" s="24">
        <f t="array" ref="E85:AL85">_yS</f>
        <v>2019</v>
      </c>
      <c r="F85" s="24">
        <v>2020</v>
      </c>
      <c r="G85" s="24">
        <v>2021</v>
      </c>
      <c r="H85" s="24">
        <v>2022</v>
      </c>
      <c r="I85" s="24">
        <v>2023</v>
      </c>
      <c r="J85" s="24">
        <v>2024</v>
      </c>
      <c r="K85" s="24">
        <v>2025</v>
      </c>
      <c r="L85" s="24">
        <v>2026</v>
      </c>
      <c r="M85" s="24">
        <v>2027</v>
      </c>
      <c r="N85" s="24">
        <v>2028</v>
      </c>
      <c r="O85" s="24">
        <v>2029</v>
      </c>
      <c r="P85" s="24">
        <v>2030</v>
      </c>
      <c r="Q85" s="24">
        <v>2031</v>
      </c>
      <c r="R85" s="24">
        <v>2032</v>
      </c>
      <c r="S85" s="24">
        <v>2033</v>
      </c>
      <c r="T85" s="24">
        <v>2034</v>
      </c>
      <c r="U85" s="24">
        <v>2035</v>
      </c>
      <c r="V85" s="24">
        <v>2036</v>
      </c>
      <c r="W85" s="24">
        <v>2037</v>
      </c>
      <c r="X85" s="24">
        <v>2038</v>
      </c>
      <c r="Y85" s="24">
        <v>2039</v>
      </c>
      <c r="Z85" s="24">
        <v>2040</v>
      </c>
      <c r="AA85" s="24">
        <v>2041</v>
      </c>
      <c r="AB85" s="24">
        <v>2042</v>
      </c>
      <c r="AC85" s="24">
        <v>2043</v>
      </c>
      <c r="AD85" s="24">
        <v>2044</v>
      </c>
      <c r="AE85" s="24">
        <v>2045</v>
      </c>
      <c r="AF85" s="24">
        <v>2046</v>
      </c>
      <c r="AG85" s="24">
        <v>2047</v>
      </c>
      <c r="AH85" s="24">
        <v>2048</v>
      </c>
      <c r="AI85" s="24">
        <v>2049</v>
      </c>
      <c r="AJ85" s="24">
        <v>2050</v>
      </c>
      <c r="AK85" s="24">
        <v>2051</v>
      </c>
      <c r="AL85" s="25">
        <v>2052</v>
      </c>
      <c r="AM85" s="10"/>
    </row>
    <row r="86" spans="2:39" ht="15" hidden="1">
      <c r="B86" s="10"/>
      <c r="C86" s="11" t="str">
        <f>"EL 0: " &amp; INDEX(_doName,3,1)</f>
        <v>EL 0: EL 2</v>
      </c>
      <c r="D86" s="12"/>
      <c r="E86" s="13">
        <f t="array" aca="1" ref="E86:AL86" ca="1">tlccEupol0</f>
        <v>0</v>
      </c>
      <c r="F86" s="13">
        <f ca="1"/>
        <v>0</v>
      </c>
      <c r="G86" s="13">
        <f ca="1"/>
        <v>0</v>
      </c>
      <c r="H86" s="13">
        <f ca="1"/>
        <v>0</v>
      </c>
      <c r="I86" s="13">
        <f ca="1"/>
        <v>0</v>
      </c>
      <c r="J86" s="13">
        <f ca="1"/>
        <v>0</v>
      </c>
      <c r="K86" s="13">
        <f ca="1"/>
        <v>0</v>
      </c>
      <c r="L86" s="13">
        <f ca="1"/>
        <v>0</v>
      </c>
      <c r="M86" s="13">
        <f ca="1"/>
        <v>0</v>
      </c>
      <c r="N86" s="13">
        <f ca="1"/>
        <v>0</v>
      </c>
      <c r="O86" s="13">
        <f ca="1"/>
        <v>0</v>
      </c>
      <c r="P86" s="13">
        <f ca="1"/>
        <v>0</v>
      </c>
      <c r="Q86" s="13">
        <f ca="1"/>
        <v>0</v>
      </c>
      <c r="R86" s="13">
        <f ca="1"/>
        <v>0</v>
      </c>
      <c r="S86" s="13">
        <f ca="1"/>
        <v>0</v>
      </c>
      <c r="T86" s="13">
        <f ca="1"/>
        <v>0</v>
      </c>
      <c r="U86" s="13">
        <f ca="1"/>
        <v>0</v>
      </c>
      <c r="V86" s="13">
        <f ca="1"/>
        <v>0</v>
      </c>
      <c r="W86" s="13">
        <f ca="1"/>
        <v>0</v>
      </c>
      <c r="X86" s="13">
        <f ca="1"/>
        <v>0</v>
      </c>
      <c r="Y86" s="13">
        <f ca="1"/>
        <v>0</v>
      </c>
      <c r="Z86" s="13">
        <f ca="1"/>
        <v>0</v>
      </c>
      <c r="AA86" s="13">
        <f ca="1"/>
        <v>0</v>
      </c>
      <c r="AB86" s="13">
        <f ca="1"/>
        <v>0</v>
      </c>
      <c r="AC86" s="13">
        <f ca="1"/>
        <v>0</v>
      </c>
      <c r="AD86" s="13">
        <f ca="1"/>
        <v>0</v>
      </c>
      <c r="AE86" s="13">
        <f ca="1"/>
        <v>0</v>
      </c>
      <c r="AF86" s="13">
        <f ca="1"/>
        <v>0</v>
      </c>
      <c r="AG86" s="13">
        <f ca="1"/>
        <v>0</v>
      </c>
      <c r="AH86" s="13">
        <f ca="1"/>
        <v>0</v>
      </c>
      <c r="AI86" s="13">
        <f ca="1"/>
        <v>0</v>
      </c>
      <c r="AJ86" s="13">
        <f ca="1"/>
        <v>0</v>
      </c>
      <c r="AK86" s="13">
        <f ca="1"/>
        <v>0</v>
      </c>
      <c r="AL86" s="56">
        <f ca="1"/>
        <v>0</v>
      </c>
      <c r="AM86" s="10"/>
    </row>
    <row r="87" spans="2:39" ht="15" hidden="1">
      <c r="B87" s="10"/>
      <c r="C87" s="11" t="str">
        <f>"EL 1: " &amp; INDEX(_doName,3,2)</f>
        <v>EL 1: EL 1</v>
      </c>
      <c r="D87" s="12"/>
      <c r="E87" s="13">
        <f t="array" aca="1" ref="E87:AL87" ca="1">tlccEupol1</f>
        <v>0</v>
      </c>
      <c r="F87" s="13">
        <f ca="1"/>
        <v>0</v>
      </c>
      <c r="G87" s="13">
        <f ca="1"/>
        <v>0</v>
      </c>
      <c r="H87" s="13">
        <f ca="1"/>
        <v>0</v>
      </c>
      <c r="I87" s="13">
        <f ca="1"/>
        <v>0</v>
      </c>
      <c r="J87" s="13">
        <f ca="1"/>
        <v>0</v>
      </c>
      <c r="K87" s="13">
        <f ca="1"/>
        <v>0</v>
      </c>
      <c r="L87" s="13">
        <f ca="1"/>
        <v>0</v>
      </c>
      <c r="M87" s="13">
        <f ca="1"/>
        <v>0</v>
      </c>
      <c r="N87" s="13">
        <f ca="1"/>
        <v>0</v>
      </c>
      <c r="O87" s="13">
        <f ca="1"/>
        <v>0</v>
      </c>
      <c r="P87" s="13">
        <f ca="1"/>
        <v>0</v>
      </c>
      <c r="Q87" s="13">
        <f ca="1"/>
        <v>0</v>
      </c>
      <c r="R87" s="13">
        <f ca="1"/>
        <v>0</v>
      </c>
      <c r="S87" s="13">
        <f ca="1"/>
        <v>0</v>
      </c>
      <c r="T87" s="13">
        <f ca="1"/>
        <v>0</v>
      </c>
      <c r="U87" s="13">
        <f ca="1"/>
        <v>0</v>
      </c>
      <c r="V87" s="13">
        <f ca="1"/>
        <v>0</v>
      </c>
      <c r="W87" s="13">
        <f ca="1"/>
        <v>0</v>
      </c>
      <c r="X87" s="13">
        <f ca="1"/>
        <v>0</v>
      </c>
      <c r="Y87" s="13">
        <f ca="1"/>
        <v>0</v>
      </c>
      <c r="Z87" s="13">
        <f ca="1"/>
        <v>0</v>
      </c>
      <c r="AA87" s="13">
        <f ca="1"/>
        <v>0</v>
      </c>
      <c r="AB87" s="13">
        <f ca="1"/>
        <v>0</v>
      </c>
      <c r="AC87" s="13">
        <f ca="1"/>
        <v>0</v>
      </c>
      <c r="AD87" s="13">
        <f ca="1"/>
        <v>0</v>
      </c>
      <c r="AE87" s="13">
        <f ca="1"/>
        <v>0</v>
      </c>
      <c r="AF87" s="13">
        <f ca="1"/>
        <v>0</v>
      </c>
      <c r="AG87" s="13">
        <f ca="1"/>
        <v>0</v>
      </c>
      <c r="AH87" s="13">
        <f ca="1"/>
        <v>0</v>
      </c>
      <c r="AI87" s="13">
        <f ca="1"/>
        <v>0</v>
      </c>
      <c r="AJ87" s="13">
        <f ca="1"/>
        <v>0</v>
      </c>
      <c r="AK87" s="13">
        <f ca="1"/>
        <v>0</v>
      </c>
      <c r="AL87" s="56">
        <f ca="1"/>
        <v>0</v>
      </c>
      <c r="AM87" s="10"/>
    </row>
    <row r="88" spans="2:39" ht="15" hidden="1">
      <c r="B88" s="10"/>
      <c r="C88" s="11" t="str">
        <f>"EL 2: " &amp; INDEX(_doName,3,3)</f>
        <v>EL 2: EL 2</v>
      </c>
      <c r="D88" s="12"/>
      <c r="E88" s="13">
        <f t="array" aca="1" ref="E88:AL88" ca="1">tlccEupol2</f>
        <v>0</v>
      </c>
      <c r="F88" s="13">
        <f ca="1"/>
        <v>0</v>
      </c>
      <c r="G88" s="13">
        <f ca="1"/>
        <v>0</v>
      </c>
      <c r="H88" s="13">
        <f ca="1"/>
        <v>0</v>
      </c>
      <c r="I88" s="13">
        <f ca="1"/>
        <v>0</v>
      </c>
      <c r="J88" s="13">
        <f ca="1"/>
        <v>0</v>
      </c>
      <c r="K88" s="13">
        <f ca="1"/>
        <v>0</v>
      </c>
      <c r="L88" s="13">
        <f ca="1"/>
        <v>0</v>
      </c>
      <c r="M88" s="13">
        <f ca="1"/>
        <v>0</v>
      </c>
      <c r="N88" s="13">
        <f ca="1"/>
        <v>0</v>
      </c>
      <c r="O88" s="13">
        <f ca="1"/>
        <v>0</v>
      </c>
      <c r="P88" s="13">
        <f ca="1"/>
        <v>0</v>
      </c>
      <c r="Q88" s="13">
        <f ca="1"/>
        <v>0</v>
      </c>
      <c r="R88" s="13">
        <f ca="1"/>
        <v>0</v>
      </c>
      <c r="S88" s="13">
        <f ca="1"/>
        <v>0</v>
      </c>
      <c r="T88" s="13">
        <f ca="1"/>
        <v>0</v>
      </c>
      <c r="U88" s="13">
        <f ca="1"/>
        <v>0</v>
      </c>
      <c r="V88" s="13">
        <f ca="1"/>
        <v>0</v>
      </c>
      <c r="W88" s="13">
        <f ca="1"/>
        <v>0</v>
      </c>
      <c r="X88" s="13">
        <f ca="1"/>
        <v>0</v>
      </c>
      <c r="Y88" s="13">
        <f ca="1"/>
        <v>0</v>
      </c>
      <c r="Z88" s="13">
        <f ca="1"/>
        <v>0</v>
      </c>
      <c r="AA88" s="13">
        <f ca="1"/>
        <v>0</v>
      </c>
      <c r="AB88" s="13">
        <f ca="1"/>
        <v>0</v>
      </c>
      <c r="AC88" s="13">
        <f ca="1"/>
        <v>0</v>
      </c>
      <c r="AD88" s="13">
        <f ca="1"/>
        <v>0</v>
      </c>
      <c r="AE88" s="13">
        <f ca="1"/>
        <v>0</v>
      </c>
      <c r="AF88" s="13">
        <f ca="1"/>
        <v>0</v>
      </c>
      <c r="AG88" s="13">
        <f ca="1"/>
        <v>0</v>
      </c>
      <c r="AH88" s="13">
        <f ca="1"/>
        <v>0</v>
      </c>
      <c r="AI88" s="13">
        <f ca="1"/>
        <v>0</v>
      </c>
      <c r="AJ88" s="13">
        <f ca="1"/>
        <v>0</v>
      </c>
      <c r="AK88" s="13">
        <f ca="1"/>
        <v>0</v>
      </c>
      <c r="AL88" s="56">
        <f ca="1"/>
        <v>0</v>
      </c>
      <c r="AM88" s="10"/>
    </row>
    <row r="89" spans="2:39" ht="15" hidden="1">
      <c r="B89" s="10"/>
      <c r="C89" s="11" t="str">
        <f>"EL 3: " &amp; INDEX(_doName,3,4)</f>
        <v>EL 3: EL 3</v>
      </c>
      <c r="D89" s="12"/>
      <c r="E89" s="13">
        <f t="array" aca="1" ref="E89:AL89" ca="1">tlccEupol3</f>
        <v>0</v>
      </c>
      <c r="F89" s="13">
        <f ca="1"/>
        <v>0</v>
      </c>
      <c r="G89" s="13">
        <f ca="1"/>
        <v>0</v>
      </c>
      <c r="H89" s="13">
        <f ca="1"/>
        <v>0</v>
      </c>
      <c r="I89" s="13">
        <f ca="1"/>
        <v>0</v>
      </c>
      <c r="J89" s="13">
        <f ca="1"/>
        <v>0</v>
      </c>
      <c r="K89" s="13">
        <f ca="1"/>
        <v>0</v>
      </c>
      <c r="L89" s="13">
        <f ca="1"/>
        <v>0</v>
      </c>
      <c r="M89" s="13">
        <f ca="1"/>
        <v>0</v>
      </c>
      <c r="N89" s="13">
        <f ca="1"/>
        <v>0</v>
      </c>
      <c r="O89" s="13">
        <f ca="1"/>
        <v>0</v>
      </c>
      <c r="P89" s="13">
        <f ca="1"/>
        <v>0</v>
      </c>
      <c r="Q89" s="13">
        <f ca="1"/>
        <v>0</v>
      </c>
      <c r="R89" s="13">
        <f ca="1"/>
        <v>0</v>
      </c>
      <c r="S89" s="13">
        <f ca="1"/>
        <v>0</v>
      </c>
      <c r="T89" s="13">
        <f ca="1"/>
        <v>0</v>
      </c>
      <c r="U89" s="13">
        <f ca="1"/>
        <v>0</v>
      </c>
      <c r="V89" s="13">
        <f ca="1"/>
        <v>0</v>
      </c>
      <c r="W89" s="13">
        <f ca="1"/>
        <v>0</v>
      </c>
      <c r="X89" s="13">
        <f ca="1"/>
        <v>0</v>
      </c>
      <c r="Y89" s="13">
        <f ca="1"/>
        <v>0</v>
      </c>
      <c r="Z89" s="13">
        <f ca="1"/>
        <v>0</v>
      </c>
      <c r="AA89" s="13">
        <f ca="1"/>
        <v>0</v>
      </c>
      <c r="AB89" s="13">
        <f ca="1"/>
        <v>0</v>
      </c>
      <c r="AC89" s="13">
        <f ca="1"/>
        <v>0</v>
      </c>
      <c r="AD89" s="13">
        <f ca="1"/>
        <v>0</v>
      </c>
      <c r="AE89" s="13">
        <f ca="1"/>
        <v>0</v>
      </c>
      <c r="AF89" s="13">
        <f ca="1"/>
        <v>0</v>
      </c>
      <c r="AG89" s="13">
        <f ca="1"/>
        <v>0</v>
      </c>
      <c r="AH89" s="13">
        <f ca="1"/>
        <v>0</v>
      </c>
      <c r="AI89" s="13">
        <f ca="1"/>
        <v>0</v>
      </c>
      <c r="AJ89" s="13">
        <f ca="1"/>
        <v>0</v>
      </c>
      <c r="AK89" s="13">
        <f ca="1"/>
        <v>0</v>
      </c>
      <c r="AL89" s="56">
        <f ca="1"/>
        <v>0</v>
      </c>
      <c r="AM89" s="10"/>
    </row>
    <row r="90" spans="2:39" ht="15" hidden="1">
      <c r="B90" s="10"/>
      <c r="C90" s="11" t="str">
        <f>"EL 4: " &amp; INDEX(_doName,3,5)</f>
        <v>EL 4: EL 4</v>
      </c>
      <c r="D90" s="12"/>
      <c r="E90" s="13">
        <f t="array" aca="1" ref="E90:AL90" ca="1">tlccEupol4</f>
        <v>0</v>
      </c>
      <c r="F90" s="13">
        <f ca="1"/>
        <v>0</v>
      </c>
      <c r="G90" s="13">
        <f ca="1"/>
        <v>0</v>
      </c>
      <c r="H90" s="13">
        <f ca="1"/>
        <v>0</v>
      </c>
      <c r="I90" s="13">
        <f ca="1"/>
        <v>0</v>
      </c>
      <c r="J90" s="13">
        <f ca="1"/>
        <v>0</v>
      </c>
      <c r="K90" s="13">
        <f ca="1"/>
        <v>0</v>
      </c>
      <c r="L90" s="13">
        <f ca="1"/>
        <v>0</v>
      </c>
      <c r="M90" s="13">
        <f ca="1"/>
        <v>0</v>
      </c>
      <c r="N90" s="13">
        <f ca="1"/>
        <v>0</v>
      </c>
      <c r="O90" s="13">
        <f ca="1"/>
        <v>0</v>
      </c>
      <c r="P90" s="13">
        <f ca="1"/>
        <v>0</v>
      </c>
      <c r="Q90" s="13">
        <f ca="1"/>
        <v>0</v>
      </c>
      <c r="R90" s="13">
        <f ca="1"/>
        <v>0</v>
      </c>
      <c r="S90" s="13">
        <f ca="1"/>
        <v>0</v>
      </c>
      <c r="T90" s="13">
        <f ca="1"/>
        <v>0</v>
      </c>
      <c r="U90" s="13">
        <f ca="1"/>
        <v>0</v>
      </c>
      <c r="V90" s="13">
        <f ca="1"/>
        <v>0</v>
      </c>
      <c r="W90" s="13">
        <f ca="1"/>
        <v>0</v>
      </c>
      <c r="X90" s="13">
        <f ca="1"/>
        <v>0</v>
      </c>
      <c r="Y90" s="13">
        <f ca="1"/>
        <v>0</v>
      </c>
      <c r="Z90" s="13">
        <f ca="1"/>
        <v>0</v>
      </c>
      <c r="AA90" s="13">
        <f ca="1"/>
        <v>0</v>
      </c>
      <c r="AB90" s="13">
        <f ca="1"/>
        <v>0</v>
      </c>
      <c r="AC90" s="13">
        <f ca="1"/>
        <v>0</v>
      </c>
      <c r="AD90" s="13">
        <f ca="1"/>
        <v>0</v>
      </c>
      <c r="AE90" s="13">
        <f ca="1"/>
        <v>0</v>
      </c>
      <c r="AF90" s="13">
        <f ca="1"/>
        <v>0</v>
      </c>
      <c r="AG90" s="13">
        <f ca="1"/>
        <v>0</v>
      </c>
      <c r="AH90" s="13">
        <f ca="1"/>
        <v>0</v>
      </c>
      <c r="AI90" s="13">
        <f ca="1"/>
        <v>0</v>
      </c>
      <c r="AJ90" s="13">
        <f ca="1"/>
        <v>0</v>
      </c>
      <c r="AK90" s="13">
        <f ca="1"/>
        <v>0</v>
      </c>
      <c r="AL90" s="56">
        <f ca="1"/>
        <v>0</v>
      </c>
      <c r="AM90" s="10"/>
    </row>
    <row r="91" spans="2:39" ht="15" hidden="1">
      <c r="B91" s="10"/>
      <c r="C91" s="11" t="str">
        <f>"EL 5: " &amp; INDEX(_doName,3,6)</f>
        <v>EL 5: EL 5</v>
      </c>
      <c r="D91" s="12"/>
      <c r="E91" s="13">
        <f t="array" aca="1" ref="E91:AL91" ca="1">tlccEupol5</f>
        <v>19761.643178723505</v>
      </c>
      <c r="F91" s="13">
        <f ca="1"/>
        <v>19928.508583527637</v>
      </c>
      <c r="G91" s="13">
        <f ca="1"/>
        <v>20089.550344511135</v>
      </c>
      <c r="H91" s="13">
        <f ca="1"/>
        <v>20232.472065771446</v>
      </c>
      <c r="I91" s="13">
        <f ca="1"/>
        <v>20359.876777983493</v>
      </c>
      <c r="J91" s="13">
        <f ca="1"/>
        <v>20488.100834252306</v>
      </c>
      <c r="K91" s="13">
        <f ca="1"/>
        <v>20617.149628369032</v>
      </c>
      <c r="L91" s="13">
        <f ca="1"/>
        <v>20747.02859052243</v>
      </c>
      <c r="M91" s="13">
        <f ca="1"/>
        <v>20877.743187550663</v>
      </c>
      <c r="N91" s="13">
        <f ca="1"/>
        <v>21009.298923194914</v>
      </c>
      <c r="O91" s="13">
        <f ca="1"/>
        <v>21141.701338354738</v>
      </c>
      <c r="P91" s="13">
        <f ca="1"/>
        <v>21274.956011345406</v>
      </c>
      <c r="Q91" s="13">
        <f ca="1"/>
        <v>21409.068558156858</v>
      </c>
      <c r="R91" s="13">
        <f ca="1"/>
        <v>21544.044632714515</v>
      </c>
      <c r="S91" s="13">
        <f ca="1"/>
        <v>21679.889927142154</v>
      </c>
      <c r="T91" s="13">
        <f ca="1"/>
        <v>21816.610172026405</v>
      </c>
      <c r="U91" s="13">
        <f ca="1"/>
        <v>21954.211136683218</v>
      </c>
      <c r="V91" s="13">
        <f ca="1"/>
        <v>22092.698629426319</v>
      </c>
      <c r="W91" s="13">
        <f ca="1"/>
        <v>22232.078497837276</v>
      </c>
      <c r="X91" s="13">
        <f ca="1"/>
        <v>22372.356629037931</v>
      </c>
      <c r="Y91" s="13">
        <f ca="1"/>
        <v>22513.538949964313</v>
      </c>
      <c r="Z91" s="13">
        <f ca="1"/>
        <v>22655.63142764278</v>
      </c>
      <c r="AA91" s="13">
        <f ca="1"/>
        <v>22798.640069468027</v>
      </c>
      <c r="AB91" s="13">
        <f ca="1"/>
        <v>22942.570923483134</v>
      </c>
      <c r="AC91" s="13">
        <f ca="1"/>
        <v>23087.430078661419</v>
      </c>
      <c r="AD91" s="13">
        <f ca="1"/>
        <v>23233.223665190559</v>
      </c>
      <c r="AE91" s="13">
        <f ca="1"/>
        <v>23379.957854758537</v>
      </c>
      <c r="AF91" s="13">
        <f ca="1"/>
        <v>23527.638860841675</v>
      </c>
      <c r="AG91" s="13">
        <f ca="1"/>
        <v>23676.27293899472</v>
      </c>
      <c r="AH91" s="13">
        <f ca="1"/>
        <v>23825.866387143022</v>
      </c>
      <c r="AI91" s="13">
        <f ca="1"/>
        <v>23976.425545876704</v>
      </c>
      <c r="AJ91" s="13">
        <f ca="1"/>
        <v>24127.956798747011</v>
      </c>
      <c r="AK91" s="13">
        <f ca="1"/>
        <v>24280.466572564761</v>
      </c>
      <c r="AL91" s="56">
        <f ca="1"/>
        <v>24433.961337700799</v>
      </c>
      <c r="AM91" s="10"/>
    </row>
    <row r="92" spans="2:39" ht="15" hidden="1">
      <c r="B92" s="10"/>
      <c r="C92" s="21" t="str">
        <f>"EL 6: " &amp; INDEX(_doName,3,7)</f>
        <v>EL 6: EL 6</v>
      </c>
      <c r="D92" s="18"/>
      <c r="E92" s="58">
        <f t="array" aca="1" ref="E92:AL92" ca="1">tlccEupol6</f>
        <v>35193.762839901494</v>
      </c>
      <c r="F92" s="58">
        <f ca="1"/>
        <v>35490.935571427384</v>
      </c>
      <c r="G92" s="58">
        <f ca="1"/>
        <v>35777.736901261931</v>
      </c>
      <c r="H92" s="58">
        <f ca="1"/>
        <v>36032.268020825933</v>
      </c>
      <c r="I92" s="58">
        <f ca="1"/>
        <v>36259.164700708548</v>
      </c>
      <c r="J92" s="58">
        <f ca="1"/>
        <v>36487.520560890945</v>
      </c>
      <c r="K92" s="58">
        <f ca="1"/>
        <v>36717.345207244725</v>
      </c>
      <c r="L92" s="58">
        <f ca="1"/>
        <v>36948.648310462369</v>
      </c>
      <c r="M92" s="58">
        <f ca="1"/>
        <v>37181.439606505905</v>
      </c>
      <c r="N92" s="58">
        <f ca="1"/>
        <v>37415.728897058267</v>
      </c>
      <c r="O92" s="58">
        <f ca="1"/>
        <v>37651.526049978369</v>
      </c>
      <c r="P92" s="58">
        <f ca="1"/>
        <v>37888.840999759057</v>
      </c>
      <c r="Q92" s="58">
        <f ca="1"/>
        <v>38127.683747988507</v>
      </c>
      <c r="R92" s="58">
        <f ca="1"/>
        <v>38368.064363814956</v>
      </c>
      <c r="S92" s="58">
        <f ca="1"/>
        <v>38609.992984414195</v>
      </c>
      <c r="T92" s="58">
        <f ca="1"/>
        <v>38853.479815461222</v>
      </c>
      <c r="U92" s="58">
        <f ca="1"/>
        <v>39098.535131604527</v>
      </c>
      <c r="V92" s="58">
        <f ca="1"/>
        <v>39345.169276944274</v>
      </c>
      <c r="W92" s="58">
        <f ca="1"/>
        <v>39593.392665513173</v>
      </c>
      <c r="X92" s="58">
        <f ca="1"/>
        <v>39843.215781761704</v>
      </c>
      <c r="Y92" s="58">
        <f ca="1"/>
        <v>40094.649181046007</v>
      </c>
      <c r="Z92" s="58">
        <f ca="1"/>
        <v>40347.703490119544</v>
      </c>
      <c r="AA92" s="58">
        <f ca="1"/>
        <v>40602.389407628332</v>
      </c>
      <c r="AB92" s="58">
        <f ca="1"/>
        <v>40858.717704609509</v>
      </c>
      <c r="AC92" s="58">
        <f ca="1"/>
        <v>41116.699224993499</v>
      </c>
      <c r="AD92" s="58">
        <f ca="1"/>
        <v>41376.344886109837</v>
      </c>
      <c r="AE92" s="58">
        <f ca="1"/>
        <v>41637.665679196565</v>
      </c>
      <c r="AF92" s="58">
        <f ca="1"/>
        <v>41900.672669913016</v>
      </c>
      <c r="AG92" s="58">
        <f ca="1"/>
        <v>42165.376998856584</v>
      </c>
      <c r="AH92" s="58">
        <f ca="1"/>
        <v>42431.789882082958</v>
      </c>
      <c r="AI92" s="58">
        <f ca="1"/>
        <v>42699.922611630078</v>
      </c>
      <c r="AJ92" s="58">
        <f ca="1"/>
        <v>42969.78655604602</v>
      </c>
      <c r="AK92" s="58">
        <f ca="1"/>
        <v>43241.393160920241</v>
      </c>
      <c r="AL92" s="59">
        <f ca="1"/>
        <v>43514.753949418882</v>
      </c>
      <c r="AM92" s="10"/>
    </row>
    <row r="93" spans="2:39" ht="15" hidden="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row>
    <row r="94" spans="2:39" ht="15" hidden="1">
      <c r="B94" s="10"/>
      <c r="C94" s="22" t="s">
        <v>84</v>
      </c>
      <c r="D94" s="23"/>
      <c r="E94" s="24">
        <f t="array" ref="E94:AL94">_yS</f>
        <v>2019</v>
      </c>
      <c r="F94" s="24">
        <v>2020</v>
      </c>
      <c r="G94" s="24">
        <v>2021</v>
      </c>
      <c r="H94" s="24">
        <v>2022</v>
      </c>
      <c r="I94" s="24">
        <v>2023</v>
      </c>
      <c r="J94" s="24">
        <v>2024</v>
      </c>
      <c r="K94" s="24">
        <v>2025</v>
      </c>
      <c r="L94" s="24">
        <v>2026</v>
      </c>
      <c r="M94" s="24">
        <v>2027</v>
      </c>
      <c r="N94" s="24">
        <v>2028</v>
      </c>
      <c r="O94" s="24">
        <v>2029</v>
      </c>
      <c r="P94" s="24">
        <v>2030</v>
      </c>
      <c r="Q94" s="24">
        <v>2031</v>
      </c>
      <c r="R94" s="24">
        <v>2032</v>
      </c>
      <c r="S94" s="24">
        <v>2033</v>
      </c>
      <c r="T94" s="24">
        <v>2034</v>
      </c>
      <c r="U94" s="24">
        <v>2035</v>
      </c>
      <c r="V94" s="24">
        <v>2036</v>
      </c>
      <c r="W94" s="24">
        <v>2037</v>
      </c>
      <c r="X94" s="24">
        <v>2038</v>
      </c>
      <c r="Y94" s="24">
        <v>2039</v>
      </c>
      <c r="Z94" s="24">
        <v>2040</v>
      </c>
      <c r="AA94" s="24">
        <v>2041</v>
      </c>
      <c r="AB94" s="24">
        <v>2042</v>
      </c>
      <c r="AC94" s="24">
        <v>2043</v>
      </c>
      <c r="AD94" s="24">
        <v>2044</v>
      </c>
      <c r="AE94" s="24">
        <v>2045</v>
      </c>
      <c r="AF94" s="24">
        <v>2046</v>
      </c>
      <c r="AG94" s="24">
        <v>2047</v>
      </c>
      <c r="AH94" s="24">
        <v>2048</v>
      </c>
      <c r="AI94" s="24">
        <v>2049</v>
      </c>
      <c r="AJ94" s="24">
        <v>2050</v>
      </c>
      <c r="AK94" s="24">
        <v>2051</v>
      </c>
      <c r="AL94" s="25">
        <v>2052</v>
      </c>
      <c r="AM94" s="10"/>
    </row>
    <row r="95" spans="2:39" ht="15" hidden="1">
      <c r="B95" s="10"/>
      <c r="C95" s="11" t="str">
        <f>"EL 0: " &amp; INDEX(_doName,3,1)</f>
        <v>EL 0: EL 2</v>
      </c>
      <c r="D95" s="12"/>
      <c r="E95" s="13">
        <f t="array" aca="1" ref="E95:AL95" ca="1">tlccFupolElec0</f>
        <v>0</v>
      </c>
      <c r="F95" s="13">
        <f ca="1"/>
        <v>0</v>
      </c>
      <c r="G95" s="13">
        <f ca="1"/>
        <v>0</v>
      </c>
      <c r="H95" s="13">
        <f ca="1"/>
        <v>0</v>
      </c>
      <c r="I95" s="13">
        <f ca="1"/>
        <v>0</v>
      </c>
      <c r="J95" s="13">
        <f ca="1"/>
        <v>0</v>
      </c>
      <c r="K95" s="13">
        <f ca="1"/>
        <v>0</v>
      </c>
      <c r="L95" s="13">
        <f ca="1"/>
        <v>0</v>
      </c>
      <c r="M95" s="13">
        <f ca="1"/>
        <v>0</v>
      </c>
      <c r="N95" s="13">
        <f ca="1"/>
        <v>0</v>
      </c>
      <c r="O95" s="13">
        <f ca="1"/>
        <v>0</v>
      </c>
      <c r="P95" s="13">
        <f ca="1"/>
        <v>0</v>
      </c>
      <c r="Q95" s="13">
        <f ca="1"/>
        <v>0</v>
      </c>
      <c r="R95" s="13">
        <f ca="1"/>
        <v>0</v>
      </c>
      <c r="S95" s="13">
        <f ca="1"/>
        <v>0</v>
      </c>
      <c r="T95" s="13">
        <f ca="1"/>
        <v>0</v>
      </c>
      <c r="U95" s="13">
        <f ca="1"/>
        <v>0</v>
      </c>
      <c r="V95" s="13">
        <f ca="1"/>
        <v>0</v>
      </c>
      <c r="W95" s="13">
        <f ca="1"/>
        <v>0</v>
      </c>
      <c r="X95" s="13">
        <f ca="1"/>
        <v>0</v>
      </c>
      <c r="Y95" s="13">
        <f ca="1"/>
        <v>0</v>
      </c>
      <c r="Z95" s="13">
        <f ca="1"/>
        <v>0</v>
      </c>
      <c r="AA95" s="13">
        <f ca="1"/>
        <v>0</v>
      </c>
      <c r="AB95" s="13">
        <f ca="1"/>
        <v>0</v>
      </c>
      <c r="AC95" s="13">
        <f ca="1"/>
        <v>0</v>
      </c>
      <c r="AD95" s="13">
        <f ca="1"/>
        <v>0</v>
      </c>
      <c r="AE95" s="13">
        <f ca="1"/>
        <v>0</v>
      </c>
      <c r="AF95" s="13">
        <f ca="1"/>
        <v>0</v>
      </c>
      <c r="AG95" s="13">
        <f ca="1"/>
        <v>0</v>
      </c>
      <c r="AH95" s="13">
        <f ca="1"/>
        <v>0</v>
      </c>
      <c r="AI95" s="13">
        <f ca="1"/>
        <v>0</v>
      </c>
      <c r="AJ95" s="13">
        <f ca="1"/>
        <v>0</v>
      </c>
      <c r="AK95" s="13">
        <f ca="1"/>
        <v>0</v>
      </c>
      <c r="AL95" s="56">
        <f ca="1"/>
        <v>0</v>
      </c>
      <c r="AM95" s="10"/>
    </row>
    <row r="96" spans="2:39" ht="15" hidden="1">
      <c r="B96" s="10"/>
      <c r="C96" s="11" t="str">
        <f>"EL 1: " &amp; INDEX(_doName,3,2)</f>
        <v>EL 1: EL 1</v>
      </c>
      <c r="D96" s="12"/>
      <c r="E96" s="13">
        <f t="array" aca="1" ref="E96:AL96" ca="1">tlccFupolElec1</f>
        <v>0</v>
      </c>
      <c r="F96" s="13">
        <f ca="1"/>
        <v>0</v>
      </c>
      <c r="G96" s="13">
        <f ca="1"/>
        <v>0</v>
      </c>
      <c r="H96" s="13">
        <f ca="1"/>
        <v>0</v>
      </c>
      <c r="I96" s="13">
        <f ca="1"/>
        <v>0</v>
      </c>
      <c r="J96" s="13">
        <f ca="1"/>
        <v>0</v>
      </c>
      <c r="K96" s="13">
        <f ca="1"/>
        <v>0</v>
      </c>
      <c r="L96" s="13">
        <f ca="1"/>
        <v>0</v>
      </c>
      <c r="M96" s="13">
        <f ca="1"/>
        <v>0</v>
      </c>
      <c r="N96" s="13">
        <f ca="1"/>
        <v>0</v>
      </c>
      <c r="O96" s="13">
        <f ca="1"/>
        <v>0</v>
      </c>
      <c r="P96" s="13">
        <f ca="1"/>
        <v>0</v>
      </c>
      <c r="Q96" s="13">
        <f ca="1"/>
        <v>0</v>
      </c>
      <c r="R96" s="13">
        <f ca="1"/>
        <v>0</v>
      </c>
      <c r="S96" s="13">
        <f ca="1"/>
        <v>0</v>
      </c>
      <c r="T96" s="13">
        <f ca="1"/>
        <v>0</v>
      </c>
      <c r="U96" s="13">
        <f ca="1"/>
        <v>0</v>
      </c>
      <c r="V96" s="13">
        <f ca="1"/>
        <v>0</v>
      </c>
      <c r="W96" s="13">
        <f ca="1"/>
        <v>0</v>
      </c>
      <c r="X96" s="13">
        <f ca="1"/>
        <v>0</v>
      </c>
      <c r="Y96" s="13">
        <f ca="1"/>
        <v>0</v>
      </c>
      <c r="Z96" s="13">
        <f ca="1"/>
        <v>0</v>
      </c>
      <c r="AA96" s="13">
        <f ca="1"/>
        <v>0</v>
      </c>
      <c r="AB96" s="13">
        <f ca="1"/>
        <v>0</v>
      </c>
      <c r="AC96" s="13">
        <f ca="1"/>
        <v>0</v>
      </c>
      <c r="AD96" s="13">
        <f ca="1"/>
        <v>0</v>
      </c>
      <c r="AE96" s="13">
        <f ca="1"/>
        <v>0</v>
      </c>
      <c r="AF96" s="13">
        <f ca="1"/>
        <v>0</v>
      </c>
      <c r="AG96" s="13">
        <f ca="1"/>
        <v>0</v>
      </c>
      <c r="AH96" s="13">
        <f ca="1"/>
        <v>0</v>
      </c>
      <c r="AI96" s="13">
        <f ca="1"/>
        <v>0</v>
      </c>
      <c r="AJ96" s="13">
        <f ca="1"/>
        <v>0</v>
      </c>
      <c r="AK96" s="13">
        <f ca="1"/>
        <v>0</v>
      </c>
      <c r="AL96" s="56">
        <f ca="1"/>
        <v>0</v>
      </c>
      <c r="AM96" s="10"/>
    </row>
    <row r="97" spans="2:39" ht="15" hidden="1">
      <c r="B97" s="10"/>
      <c r="C97" s="11" t="str">
        <f>"EL 2: " &amp; INDEX(_doName,3,3)</f>
        <v>EL 2: EL 2</v>
      </c>
      <c r="D97" s="12"/>
      <c r="E97" s="13">
        <f t="array" aca="1" ref="E97:AL97" ca="1">tlccFupolElec2</f>
        <v>0</v>
      </c>
      <c r="F97" s="13">
        <f ca="1"/>
        <v>0</v>
      </c>
      <c r="G97" s="13">
        <f ca="1"/>
        <v>0</v>
      </c>
      <c r="H97" s="13">
        <f ca="1"/>
        <v>0</v>
      </c>
      <c r="I97" s="13">
        <f ca="1"/>
        <v>0</v>
      </c>
      <c r="J97" s="13">
        <f ca="1"/>
        <v>0</v>
      </c>
      <c r="K97" s="13">
        <f ca="1"/>
        <v>0</v>
      </c>
      <c r="L97" s="13">
        <f ca="1"/>
        <v>0</v>
      </c>
      <c r="M97" s="13">
        <f ca="1"/>
        <v>0</v>
      </c>
      <c r="N97" s="13">
        <f ca="1"/>
        <v>0</v>
      </c>
      <c r="O97" s="13">
        <f ca="1"/>
        <v>0</v>
      </c>
      <c r="P97" s="13">
        <f ca="1"/>
        <v>0</v>
      </c>
      <c r="Q97" s="13">
        <f ca="1"/>
        <v>0</v>
      </c>
      <c r="R97" s="13">
        <f ca="1"/>
        <v>0</v>
      </c>
      <c r="S97" s="13">
        <f ca="1"/>
        <v>0</v>
      </c>
      <c r="T97" s="13">
        <f ca="1"/>
        <v>0</v>
      </c>
      <c r="U97" s="13">
        <f ca="1"/>
        <v>0</v>
      </c>
      <c r="V97" s="13">
        <f ca="1"/>
        <v>0</v>
      </c>
      <c r="W97" s="13">
        <f ca="1"/>
        <v>0</v>
      </c>
      <c r="X97" s="13">
        <f ca="1"/>
        <v>0</v>
      </c>
      <c r="Y97" s="13">
        <f ca="1"/>
        <v>0</v>
      </c>
      <c r="Z97" s="13">
        <f ca="1"/>
        <v>0</v>
      </c>
      <c r="AA97" s="13">
        <f ca="1"/>
        <v>0</v>
      </c>
      <c r="AB97" s="13">
        <f ca="1"/>
        <v>0</v>
      </c>
      <c r="AC97" s="13">
        <f ca="1"/>
        <v>0</v>
      </c>
      <c r="AD97" s="13">
        <f ca="1"/>
        <v>0</v>
      </c>
      <c r="AE97" s="13">
        <f ca="1"/>
        <v>0</v>
      </c>
      <c r="AF97" s="13">
        <f ca="1"/>
        <v>0</v>
      </c>
      <c r="AG97" s="13">
        <f ca="1"/>
        <v>0</v>
      </c>
      <c r="AH97" s="13">
        <f ca="1"/>
        <v>0</v>
      </c>
      <c r="AI97" s="13">
        <f ca="1"/>
        <v>0</v>
      </c>
      <c r="AJ97" s="13">
        <f ca="1"/>
        <v>0</v>
      </c>
      <c r="AK97" s="13">
        <f ca="1"/>
        <v>0</v>
      </c>
      <c r="AL97" s="56">
        <f ca="1"/>
        <v>0</v>
      </c>
      <c r="AM97" s="10"/>
    </row>
    <row r="98" spans="2:39" ht="15" hidden="1">
      <c r="B98" s="10"/>
      <c r="C98" s="11" t="str">
        <f>"EL 3: " &amp; INDEX(_doName,3,4)</f>
        <v>EL 3: EL 3</v>
      </c>
      <c r="D98" s="12"/>
      <c r="E98" s="13">
        <f t="array" aca="1" ref="E98:AL98" ca="1">tlccFupolElec3</f>
        <v>0</v>
      </c>
      <c r="F98" s="13">
        <f ca="1"/>
        <v>0</v>
      </c>
      <c r="G98" s="13">
        <f ca="1"/>
        <v>0</v>
      </c>
      <c r="H98" s="13">
        <f ca="1"/>
        <v>0</v>
      </c>
      <c r="I98" s="13">
        <f ca="1"/>
        <v>0</v>
      </c>
      <c r="J98" s="13">
        <f ca="1"/>
        <v>0</v>
      </c>
      <c r="K98" s="13">
        <f ca="1"/>
        <v>0</v>
      </c>
      <c r="L98" s="13">
        <f ca="1"/>
        <v>0</v>
      </c>
      <c r="M98" s="13">
        <f ca="1"/>
        <v>0</v>
      </c>
      <c r="N98" s="13">
        <f ca="1"/>
        <v>0</v>
      </c>
      <c r="O98" s="13">
        <f ca="1"/>
        <v>0</v>
      </c>
      <c r="P98" s="13">
        <f ca="1"/>
        <v>0</v>
      </c>
      <c r="Q98" s="13">
        <f ca="1"/>
        <v>0</v>
      </c>
      <c r="R98" s="13">
        <f ca="1"/>
        <v>0</v>
      </c>
      <c r="S98" s="13">
        <f ca="1"/>
        <v>0</v>
      </c>
      <c r="T98" s="13">
        <f ca="1"/>
        <v>0</v>
      </c>
      <c r="U98" s="13">
        <f ca="1"/>
        <v>0</v>
      </c>
      <c r="V98" s="13">
        <f ca="1"/>
        <v>0</v>
      </c>
      <c r="W98" s="13">
        <f ca="1"/>
        <v>0</v>
      </c>
      <c r="X98" s="13">
        <f ca="1"/>
        <v>0</v>
      </c>
      <c r="Y98" s="13">
        <f ca="1"/>
        <v>0</v>
      </c>
      <c r="Z98" s="13">
        <f ca="1"/>
        <v>0</v>
      </c>
      <c r="AA98" s="13">
        <f ca="1"/>
        <v>0</v>
      </c>
      <c r="AB98" s="13">
        <f ca="1"/>
        <v>0</v>
      </c>
      <c r="AC98" s="13">
        <f ca="1"/>
        <v>0</v>
      </c>
      <c r="AD98" s="13">
        <f ca="1"/>
        <v>0</v>
      </c>
      <c r="AE98" s="13">
        <f ca="1"/>
        <v>0</v>
      </c>
      <c r="AF98" s="13">
        <f ca="1"/>
        <v>0</v>
      </c>
      <c r="AG98" s="13">
        <f ca="1"/>
        <v>0</v>
      </c>
      <c r="AH98" s="13">
        <f ca="1"/>
        <v>0</v>
      </c>
      <c r="AI98" s="13">
        <f ca="1"/>
        <v>0</v>
      </c>
      <c r="AJ98" s="13">
        <f ca="1"/>
        <v>0</v>
      </c>
      <c r="AK98" s="13">
        <f ca="1"/>
        <v>0</v>
      </c>
      <c r="AL98" s="56">
        <f ca="1"/>
        <v>0</v>
      </c>
      <c r="AM98" s="10"/>
    </row>
    <row r="99" spans="2:39" ht="15" hidden="1">
      <c r="B99" s="10"/>
      <c r="C99" s="11" t="str">
        <f>"EL 4: " &amp; INDEX(_doName,3,5)</f>
        <v>EL 4: EL 4</v>
      </c>
      <c r="D99" s="12"/>
      <c r="E99" s="13">
        <f t="array" aca="1" ref="E99:AL99" ca="1">tlccFupolElec4</f>
        <v>0</v>
      </c>
      <c r="F99" s="13">
        <f ca="1"/>
        <v>0</v>
      </c>
      <c r="G99" s="13">
        <f ca="1"/>
        <v>0</v>
      </c>
      <c r="H99" s="13">
        <f ca="1"/>
        <v>0</v>
      </c>
      <c r="I99" s="13">
        <f ca="1"/>
        <v>0</v>
      </c>
      <c r="J99" s="13">
        <f ca="1"/>
        <v>0</v>
      </c>
      <c r="K99" s="13">
        <f ca="1"/>
        <v>0</v>
      </c>
      <c r="L99" s="13">
        <f ca="1"/>
        <v>0</v>
      </c>
      <c r="M99" s="13">
        <f ca="1"/>
        <v>0</v>
      </c>
      <c r="N99" s="13">
        <f ca="1"/>
        <v>0</v>
      </c>
      <c r="O99" s="13">
        <f ca="1"/>
        <v>0</v>
      </c>
      <c r="P99" s="13">
        <f ca="1"/>
        <v>0</v>
      </c>
      <c r="Q99" s="13">
        <f ca="1"/>
        <v>0</v>
      </c>
      <c r="R99" s="13">
        <f ca="1"/>
        <v>0</v>
      </c>
      <c r="S99" s="13">
        <f ca="1"/>
        <v>0</v>
      </c>
      <c r="T99" s="13">
        <f ca="1"/>
        <v>0</v>
      </c>
      <c r="U99" s="13">
        <f ca="1"/>
        <v>0</v>
      </c>
      <c r="V99" s="13">
        <f ca="1"/>
        <v>0</v>
      </c>
      <c r="W99" s="13">
        <f ca="1"/>
        <v>0</v>
      </c>
      <c r="X99" s="13">
        <f ca="1"/>
        <v>0</v>
      </c>
      <c r="Y99" s="13">
        <f ca="1"/>
        <v>0</v>
      </c>
      <c r="Z99" s="13">
        <f ca="1"/>
        <v>0</v>
      </c>
      <c r="AA99" s="13">
        <f ca="1"/>
        <v>0</v>
      </c>
      <c r="AB99" s="13">
        <f ca="1"/>
        <v>0</v>
      </c>
      <c r="AC99" s="13">
        <f ca="1"/>
        <v>0</v>
      </c>
      <c r="AD99" s="13">
        <f ca="1"/>
        <v>0</v>
      </c>
      <c r="AE99" s="13">
        <f ca="1"/>
        <v>0</v>
      </c>
      <c r="AF99" s="13">
        <f ca="1"/>
        <v>0</v>
      </c>
      <c r="AG99" s="13">
        <f ca="1"/>
        <v>0</v>
      </c>
      <c r="AH99" s="13">
        <f ca="1"/>
        <v>0</v>
      </c>
      <c r="AI99" s="13">
        <f ca="1"/>
        <v>0</v>
      </c>
      <c r="AJ99" s="13">
        <f ca="1"/>
        <v>0</v>
      </c>
      <c r="AK99" s="13">
        <f ca="1"/>
        <v>0</v>
      </c>
      <c r="AL99" s="56">
        <f ca="1"/>
        <v>0</v>
      </c>
      <c r="AM99" s="10"/>
    </row>
    <row r="100" spans="2:39" ht="15" hidden="1">
      <c r="B100" s="10"/>
      <c r="C100" s="11" t="str">
        <f>"EL 5: " &amp; INDEX(_doName,3,6)</f>
        <v>EL 5: EL 5</v>
      </c>
      <c r="D100" s="12"/>
      <c r="E100" s="13">
        <f t="array" aca="1" ref="E100:AL100" ca="1">tlccFupolElec5</f>
        <v>3403.4217900085187</v>
      </c>
      <c r="F100" s="13">
        <f ca="1"/>
        <v>3371.8529295184799</v>
      </c>
      <c r="G100" s="13">
        <f ca="1"/>
        <v>3343.8257053394113</v>
      </c>
      <c r="H100" s="13">
        <f ca="1"/>
        <v>3316.9781259329502</v>
      </c>
      <c r="I100" s="13">
        <f ca="1"/>
        <v>3293.3212260434839</v>
      </c>
      <c r="J100" s="13">
        <f ca="1"/>
        <v>3274.7820478923209</v>
      </c>
      <c r="K100" s="13">
        <f ca="1"/>
        <v>3259.2107113567317</v>
      </c>
      <c r="L100" s="13">
        <f ca="1"/>
        <v>3243.452885880783</v>
      </c>
      <c r="M100" s="13">
        <f ca="1"/>
        <v>3230.6920552493361</v>
      </c>
      <c r="N100" s="13">
        <f ca="1"/>
        <v>3221.7065005214267</v>
      </c>
      <c r="O100" s="13">
        <f ca="1"/>
        <v>3215.0169856119905</v>
      </c>
      <c r="P100" s="13">
        <f ca="1"/>
        <v>3209.3107093710046</v>
      </c>
      <c r="Q100" s="13">
        <f ca="1"/>
        <v>3205.0269685630287</v>
      </c>
      <c r="R100" s="13">
        <f ca="1"/>
        <v>3201.7015611288234</v>
      </c>
      <c r="S100" s="13">
        <f ca="1"/>
        <v>3201.029332614924</v>
      </c>
      <c r="T100" s="13">
        <f ca="1"/>
        <v>3201.5704199032007</v>
      </c>
      <c r="U100" s="13">
        <f ca="1"/>
        <v>3202.5177453879587</v>
      </c>
      <c r="V100" s="13">
        <f ca="1"/>
        <v>3203.9783294597087</v>
      </c>
      <c r="W100" s="13">
        <f ca="1"/>
        <v>3205.3818763288405</v>
      </c>
      <c r="X100" s="13">
        <f ca="1"/>
        <v>3206.5464070329299</v>
      </c>
      <c r="Y100" s="13">
        <f ca="1"/>
        <v>3207.3271450457191</v>
      </c>
      <c r="Z100" s="13">
        <f ca="1"/>
        <v>3207.8652427484644</v>
      </c>
      <c r="AA100" s="13">
        <f ca="1"/>
        <v>3207.8652427484644</v>
      </c>
      <c r="AB100" s="13">
        <f ca="1"/>
        <v>3207.8652427484644</v>
      </c>
      <c r="AC100" s="13">
        <f ca="1"/>
        <v>3207.8652427484644</v>
      </c>
      <c r="AD100" s="13">
        <f ca="1"/>
        <v>3207.8652427484644</v>
      </c>
      <c r="AE100" s="13">
        <f ca="1"/>
        <v>3207.8652427484644</v>
      </c>
      <c r="AF100" s="13">
        <f ca="1"/>
        <v>3207.8652427484644</v>
      </c>
      <c r="AG100" s="13">
        <f ca="1"/>
        <v>3207.8652427484644</v>
      </c>
      <c r="AH100" s="13">
        <f ca="1"/>
        <v>3207.8652427484644</v>
      </c>
      <c r="AI100" s="13">
        <f ca="1"/>
        <v>3207.8652427484644</v>
      </c>
      <c r="AJ100" s="13">
        <f ca="1"/>
        <v>3207.8652427484644</v>
      </c>
      <c r="AK100" s="13">
        <f ca="1"/>
        <v>3207.8652427484644</v>
      </c>
      <c r="AL100" s="56">
        <f ca="1"/>
        <v>3207.8652427484644</v>
      </c>
      <c r="AM100" s="10"/>
    </row>
    <row r="101" spans="2:39" ht="15" hidden="1">
      <c r="B101" s="10"/>
      <c r="C101" s="21" t="str">
        <f>"EL 6: " &amp; INDEX(_doName,3,7)</f>
        <v>EL 6: EL 6</v>
      </c>
      <c r="D101" s="18"/>
      <c r="E101" s="58">
        <f t="array" aca="1" ref="E101:AL101" ca="1">tlccFupolElec6</f>
        <v>6061.1973527927021</v>
      </c>
      <c r="F101" s="58">
        <f ca="1"/>
        <v>6004.9759657772483</v>
      </c>
      <c r="G101" s="58">
        <f ca="1"/>
        <v>5955.0619241209906</v>
      </c>
      <c r="H101" s="58">
        <f ca="1"/>
        <v>5907.2487269130906</v>
      </c>
      <c r="I101" s="58">
        <f ca="1"/>
        <v>5865.1178516256768</v>
      </c>
      <c r="J101" s="58">
        <f ca="1"/>
        <v>5832.101192373314</v>
      </c>
      <c r="K101" s="58">
        <f ca="1"/>
        <v>5804.3700001755014</v>
      </c>
      <c r="L101" s="58">
        <f ca="1"/>
        <v>5776.3066874409515</v>
      </c>
      <c r="M101" s="58">
        <f ca="1"/>
        <v>5753.5807611188511</v>
      </c>
      <c r="N101" s="58">
        <f ca="1"/>
        <v>5737.5782718916653</v>
      </c>
      <c r="O101" s="58">
        <f ca="1"/>
        <v>5725.6648293146754</v>
      </c>
      <c r="P101" s="58">
        <f ca="1"/>
        <v>5715.502449045588</v>
      </c>
      <c r="Q101" s="58">
        <f ca="1"/>
        <v>5707.8734803054876</v>
      </c>
      <c r="R101" s="58">
        <f ca="1"/>
        <v>5701.9512197157674</v>
      </c>
      <c r="S101" s="58">
        <f ca="1"/>
        <v>5700.7540393660138</v>
      </c>
      <c r="T101" s="58">
        <f ca="1"/>
        <v>5701.7176686314087</v>
      </c>
      <c r="U101" s="58">
        <f ca="1"/>
        <v>5703.4047726915942</v>
      </c>
      <c r="V101" s="58">
        <f ca="1"/>
        <v>5706.0059455274768</v>
      </c>
      <c r="W101" s="58">
        <f ca="1"/>
        <v>5708.5055400804295</v>
      </c>
      <c r="X101" s="58">
        <f ca="1"/>
        <v>5710.5794676910455</v>
      </c>
      <c r="Y101" s="58">
        <f ca="1"/>
        <v>5711.9698939938426</v>
      </c>
      <c r="Z101" s="58">
        <f ca="1"/>
        <v>5712.9281990681657</v>
      </c>
      <c r="AA101" s="58">
        <f ca="1"/>
        <v>5712.9281990681657</v>
      </c>
      <c r="AB101" s="58">
        <f ca="1"/>
        <v>5712.9281990681657</v>
      </c>
      <c r="AC101" s="58">
        <f ca="1"/>
        <v>5712.9281990681657</v>
      </c>
      <c r="AD101" s="58">
        <f ca="1"/>
        <v>5712.9281990681657</v>
      </c>
      <c r="AE101" s="58">
        <f ca="1"/>
        <v>5712.9281990681657</v>
      </c>
      <c r="AF101" s="58">
        <f ca="1"/>
        <v>5712.9281990681657</v>
      </c>
      <c r="AG101" s="58">
        <f ca="1"/>
        <v>5712.9281990681657</v>
      </c>
      <c r="AH101" s="58">
        <f ca="1"/>
        <v>5712.9281990681657</v>
      </c>
      <c r="AI101" s="58">
        <f ca="1"/>
        <v>5712.9281990681657</v>
      </c>
      <c r="AJ101" s="58">
        <f ca="1"/>
        <v>5712.9281990681657</v>
      </c>
      <c r="AK101" s="58">
        <f ca="1"/>
        <v>5712.9281990681657</v>
      </c>
      <c r="AL101" s="59">
        <f ca="1"/>
        <v>5712.9281990681657</v>
      </c>
      <c r="AM101" s="10"/>
    </row>
    <row r="102" spans="2:39" ht="15" hidden="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row>
    <row r="103" spans="2:39">
      <c r="B103" s="10"/>
      <c r="C103" s="22" t="s">
        <v>82</v>
      </c>
      <c r="D103" s="23"/>
      <c r="E103" s="24">
        <f t="array" ref="E103:AL103">_yS</f>
        <v>2019</v>
      </c>
      <c r="F103" s="24">
        <v>2020</v>
      </c>
      <c r="G103" s="24">
        <v>2021</v>
      </c>
      <c r="H103" s="24">
        <v>2022</v>
      </c>
      <c r="I103" s="24">
        <v>2023</v>
      </c>
      <c r="J103" s="24">
        <v>2024</v>
      </c>
      <c r="K103" s="24">
        <v>2025</v>
      </c>
      <c r="L103" s="24">
        <v>2026</v>
      </c>
      <c r="M103" s="24">
        <v>2027</v>
      </c>
      <c r="N103" s="24">
        <v>2028</v>
      </c>
      <c r="O103" s="24">
        <v>2029</v>
      </c>
      <c r="P103" s="24">
        <v>2030</v>
      </c>
      <c r="Q103" s="24">
        <v>2031</v>
      </c>
      <c r="R103" s="24">
        <v>2032</v>
      </c>
      <c r="S103" s="24">
        <v>2033</v>
      </c>
      <c r="T103" s="24">
        <v>2034</v>
      </c>
      <c r="U103" s="24">
        <v>2035</v>
      </c>
      <c r="V103" s="24">
        <v>2036</v>
      </c>
      <c r="W103" s="24">
        <v>2037</v>
      </c>
      <c r="X103" s="24">
        <v>2038</v>
      </c>
      <c r="Y103" s="24">
        <v>2039</v>
      </c>
      <c r="Z103" s="24">
        <v>2040</v>
      </c>
      <c r="AA103" s="24">
        <v>2041</v>
      </c>
      <c r="AB103" s="24">
        <v>2042</v>
      </c>
      <c r="AC103" s="24">
        <v>2043</v>
      </c>
      <c r="AD103" s="24">
        <v>2044</v>
      </c>
      <c r="AE103" s="24">
        <v>2045</v>
      </c>
      <c r="AF103" s="24">
        <v>2046</v>
      </c>
      <c r="AG103" s="24">
        <v>2047</v>
      </c>
      <c r="AH103" s="24">
        <v>2048</v>
      </c>
      <c r="AI103" s="24">
        <v>2049</v>
      </c>
      <c r="AJ103" s="24">
        <v>2050</v>
      </c>
      <c r="AK103" s="24">
        <v>2051</v>
      </c>
      <c r="AL103" s="25">
        <v>2052</v>
      </c>
      <c r="AM103" s="10"/>
    </row>
    <row r="104" spans="2:39">
      <c r="B104" s="10"/>
      <c r="C104" s="27" t="str">
        <f>"BC (CSL 0): " &amp; INDEX(_doName,3,1)</f>
        <v>BC (CSL 0): EL 2</v>
      </c>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5"/>
      <c r="AM104" s="10"/>
    </row>
    <row r="105" spans="2:39">
      <c r="B105" s="10"/>
      <c r="C105" s="57" t="str">
        <f>"EL 0: " &amp; INDEX(_doName,3,1)</f>
        <v>EL 0: EL 2</v>
      </c>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3"/>
      <c r="AM105" s="10"/>
    </row>
    <row r="106" spans="2:39">
      <c r="B106" s="10"/>
      <c r="C106" s="16" t="s">
        <v>69</v>
      </c>
      <c r="D106" s="12" t="str">
        <f>_yearDol &amp; "$"</f>
        <v>2015$</v>
      </c>
      <c r="E106" s="13">
        <f t="array" ref="E106:AL106">INDEX(mspCnH,1,1)*tPIdxAll + INDEX(instCnH,1,1) + IF(bESav,SUMPRODUCT(dFactor,tpSurvCnH,INDEX(mrCnH,1,1)*allOnes),0)</f>
        <v>923.86830322221704</v>
      </c>
      <c r="F106" s="13">
        <v>923.86830322221704</v>
      </c>
      <c r="G106" s="13">
        <v>923.86830322221704</v>
      </c>
      <c r="H106" s="13">
        <v>923.86830322221704</v>
      </c>
      <c r="I106" s="13">
        <v>923.86830322221704</v>
      </c>
      <c r="J106" s="13">
        <v>923.86830322221704</v>
      </c>
      <c r="K106" s="13">
        <v>923.86830322221704</v>
      </c>
      <c r="L106" s="13">
        <v>923.86830322221704</v>
      </c>
      <c r="M106" s="13">
        <v>923.86830322221704</v>
      </c>
      <c r="N106" s="13">
        <v>923.86830322221704</v>
      </c>
      <c r="O106" s="13">
        <v>923.86830322221704</v>
      </c>
      <c r="P106" s="13">
        <v>923.86830322221704</v>
      </c>
      <c r="Q106" s="13">
        <v>923.86830322221704</v>
      </c>
      <c r="R106" s="13">
        <v>923.86830322221704</v>
      </c>
      <c r="S106" s="13">
        <v>923.86830322221704</v>
      </c>
      <c r="T106" s="13">
        <v>923.86830322221704</v>
      </c>
      <c r="U106" s="13">
        <v>923.86830322221704</v>
      </c>
      <c r="V106" s="13">
        <v>923.86830322221704</v>
      </c>
      <c r="W106" s="13">
        <v>923.86830322221704</v>
      </c>
      <c r="X106" s="13">
        <v>923.86830322221704</v>
      </c>
      <c r="Y106" s="13">
        <v>923.86830322221704</v>
      </c>
      <c r="Z106" s="13">
        <v>923.86830322221704</v>
      </c>
      <c r="AA106" s="13">
        <v>923.86830322221704</v>
      </c>
      <c r="AB106" s="13">
        <v>923.86830322221704</v>
      </c>
      <c r="AC106" s="13">
        <v>923.86830322221704</v>
      </c>
      <c r="AD106" s="13">
        <v>923.86830322221704</v>
      </c>
      <c r="AE106" s="13">
        <v>923.86830322221704</v>
      </c>
      <c r="AF106" s="13">
        <v>923.86830322221704</v>
      </c>
      <c r="AG106" s="13">
        <v>923.86830322221704</v>
      </c>
      <c r="AH106" s="13">
        <v>923.86830322221704</v>
      </c>
      <c r="AI106" s="13">
        <v>923.86830322221704</v>
      </c>
      <c r="AJ106" s="13">
        <v>923.86830322221704</v>
      </c>
      <c r="AK106" s="13">
        <v>923.86830322221704</v>
      </c>
      <c r="AL106" s="56">
        <v>923.86830322221704</v>
      </c>
      <c r="AM106" s="10"/>
    </row>
    <row r="107" spans="2:39">
      <c r="B107" s="10"/>
      <c r="C107" s="16" t="str">
        <f>zEO&amp;" Costs"</f>
        <v>Operating Costs</v>
      </c>
      <c r="D107" s="12" t="str">
        <f>_yearDol &amp; "$"</f>
        <v>2015$</v>
      </c>
      <c r="E107" s="13">
        <f t="array" aca="1" ref="E107:AL107" ca="1">(tlccEFuElecbc0) + IF(bOSav,SUMPRODUCT(dFactor,tpSurvCnH,INDEX(mrCnH,1,1)*allOnes),0)</f>
        <v>8662.6444665197378</v>
      </c>
      <c r="F107" s="13">
        <f ca="1"/>
        <v>8735.7909990477947</v>
      </c>
      <c r="G107" s="13">
        <f ca="1"/>
        <v>8806.3846995333988</v>
      </c>
      <c r="H107" s="13">
        <f ca="1"/>
        <v>8869.0353630750833</v>
      </c>
      <c r="I107" s="13">
        <f ca="1"/>
        <v>8924.8840450531407</v>
      </c>
      <c r="J107" s="13">
        <f ca="1"/>
        <v>8981.0918918129519</v>
      </c>
      <c r="K107" s="13">
        <f ca="1"/>
        <v>9037.6612677578523</v>
      </c>
      <c r="L107" s="13">
        <f ca="1"/>
        <v>9094.5945532463174</v>
      </c>
      <c r="M107" s="13">
        <f ca="1"/>
        <v>9151.8941447023117</v>
      </c>
      <c r="N107" s="13">
        <f ca="1"/>
        <v>9209.5624547264724</v>
      </c>
      <c r="O107" s="13">
        <f ca="1"/>
        <v>9267.6019122080797</v>
      </c>
      <c r="P107" s="13">
        <f ca="1"/>
        <v>9326.0149624378082</v>
      </c>
      <c r="Q107" s="13">
        <f ca="1"/>
        <v>9384.8040672212483</v>
      </c>
      <c r="R107" s="13">
        <f ca="1"/>
        <v>9443.971704993306</v>
      </c>
      <c r="S107" s="13">
        <f ca="1"/>
        <v>9503.5203709333582</v>
      </c>
      <c r="T107" s="13">
        <f ca="1"/>
        <v>9563.4525770812215</v>
      </c>
      <c r="U107" s="13">
        <f ca="1"/>
        <v>9623.7708524539721</v>
      </c>
      <c r="V107" s="13">
        <f ca="1"/>
        <v>9684.4777431635794</v>
      </c>
      <c r="W107" s="13">
        <f ca="1"/>
        <v>9745.5758125353914</v>
      </c>
      <c r="X107" s="13">
        <f ca="1"/>
        <v>9807.0676412274206</v>
      </c>
      <c r="Y107" s="13">
        <f ca="1"/>
        <v>9868.9558273505281</v>
      </c>
      <c r="Z107" s="13">
        <f ca="1"/>
        <v>9931.2429865894283</v>
      </c>
      <c r="AA107" s="13">
        <f ca="1"/>
        <v>9993.9317523245445</v>
      </c>
      <c r="AB107" s="13">
        <f ca="1"/>
        <v>10057.024775754793</v>
      </c>
      <c r="AC107" s="13">
        <f ca="1"/>
        <v>10120.524726021127</v>
      </c>
      <c r="AD107" s="13">
        <f ca="1"/>
        <v>10184.434290331063</v>
      </c>
      <c r="AE107" s="13">
        <f ca="1"/>
        <v>10248.75617408407</v>
      </c>
      <c r="AF107" s="13">
        <f ca="1"/>
        <v>10313.493100997799</v>
      </c>
      <c r="AG107" s="13">
        <f ca="1"/>
        <v>10378.647813235246</v>
      </c>
      <c r="AH107" s="13">
        <f ca="1"/>
        <v>10444.223071532828</v>
      </c>
      <c r="AI107" s="13">
        <f ca="1"/>
        <v>10510.221655329358</v>
      </c>
      <c r="AJ107" s="13">
        <f ca="1"/>
        <v>10576.646362895935</v>
      </c>
      <c r="AK107" s="13">
        <f ca="1"/>
        <v>10643.500011466764</v>
      </c>
      <c r="AL107" s="56">
        <f ca="1"/>
        <v>10710.785437370878</v>
      </c>
      <c r="AM107" s="10"/>
    </row>
    <row r="108" spans="2:39">
      <c r="B108" s="10"/>
      <c r="C108" s="28" t="str">
        <f>INDEX(_fuel,1)</f>
        <v>Electricity</v>
      </c>
      <c r="D108" s="12" t="str">
        <f>_yearDol &amp; "$"</f>
        <v>2015$</v>
      </c>
      <c r="E108" s="13">
        <f ca="1">SUMPRODUCT(dFactor,tpSurvCnH,INDEX(elecCnH,1,1)*allOnes,OFFSET(tPrcElec,0,0,1,_maxLT))</f>
        <v>8662.6444665197378</v>
      </c>
      <c r="F108" s="13">
        <f ca="1">SUMPRODUCT(dFactor,tpSurvCnH,INDEX(elecCnH,1,1)*allOnes,OFFSET(tPrcElec,0,1,1,_maxLT))</f>
        <v>8735.7909990477947</v>
      </c>
      <c r="G108" s="13">
        <f ca="1">SUMPRODUCT(dFactor,tpSurvCnH,INDEX(elecCnH,1,1)*allOnes,OFFSET(tPrcElec,0,2,1,_maxLT))</f>
        <v>8806.3846995333988</v>
      </c>
      <c r="H108" s="13">
        <f ca="1">SUMPRODUCT(dFactor,tpSurvCnH,INDEX(elecCnH,1,1)*allOnes,OFFSET(tPrcElec,0,3,1,_maxLT))</f>
        <v>8869.0353630750833</v>
      </c>
      <c r="I108" s="13">
        <f ca="1">SUMPRODUCT(dFactor,tpSurvCnH,INDEX(elecCnH,1,1)*allOnes,OFFSET(tPrcElec,0,4,1,_maxLT))</f>
        <v>8924.8840450531407</v>
      </c>
      <c r="J108" s="13">
        <f ca="1">SUMPRODUCT(dFactor,tpSurvCnH,INDEX(elecCnH,1,1)*allOnes,OFFSET(tPrcElec,0,5,1,_maxLT))</f>
        <v>8981.0918918129519</v>
      </c>
      <c r="K108" s="13">
        <f ca="1">SUMPRODUCT(dFactor,tpSurvCnH,INDEX(elecCnH,1,1)*allOnes,OFFSET(tPrcElec,0,6,1,_maxLT))</f>
        <v>9037.6612677578523</v>
      </c>
      <c r="L108" s="13">
        <f ca="1">SUMPRODUCT(dFactor,tpSurvCnH,INDEX(elecCnH,1,1)*allOnes,OFFSET(tPrcElec,0,7,1,_maxLT))</f>
        <v>9094.5945532463174</v>
      </c>
      <c r="M108" s="13">
        <f ca="1">SUMPRODUCT(dFactor,tpSurvCnH,INDEX(elecCnH,1,1)*allOnes,OFFSET(tPrcElec,0,8,1,_maxLT))</f>
        <v>9151.8941447023117</v>
      </c>
      <c r="N108" s="13">
        <f ca="1">SUMPRODUCT(dFactor,tpSurvCnH,INDEX(elecCnH,1,1)*allOnes,OFFSET(tPrcElec,0,9,1,_maxLT))</f>
        <v>9209.5624547264724</v>
      </c>
      <c r="O108" s="13">
        <f ca="1">SUMPRODUCT(dFactor,tpSurvCnH,INDEX(elecCnH,1,1)*allOnes,OFFSET(tPrcElec,0,10,1,_maxLT))</f>
        <v>9267.6019122080797</v>
      </c>
      <c r="P108" s="13">
        <f ca="1">SUMPRODUCT(dFactor,tpSurvCnH,INDEX(elecCnH,1,1)*allOnes,OFFSET(tPrcElec,0,11,1,_maxLT))</f>
        <v>9326.0149624378082</v>
      </c>
      <c r="Q108" s="13">
        <f ca="1">SUMPRODUCT(dFactor,tpSurvCnH,INDEX(elecCnH,1,1)*allOnes,OFFSET(tPrcElec,0,12,1,_maxLT))</f>
        <v>9384.8040672212483</v>
      </c>
      <c r="R108" s="13">
        <f ca="1">SUMPRODUCT(dFactor,tpSurvCnH,INDEX(elecCnH,1,1)*allOnes,OFFSET(tPrcElec,0,13,1,_maxLT))</f>
        <v>9443.971704993306</v>
      </c>
      <c r="S108" s="13">
        <f ca="1">SUMPRODUCT(dFactor,tpSurvCnH,INDEX(elecCnH,1,1)*allOnes,OFFSET(tPrcElec,0,14,1,_maxLT))</f>
        <v>9503.5203709333582</v>
      </c>
      <c r="T108" s="13">
        <f ca="1">SUMPRODUCT(dFactor,tpSurvCnH,INDEX(elecCnH,1,1)*allOnes,OFFSET(tPrcElec,0,15,1,_maxLT))</f>
        <v>9563.4525770812215</v>
      </c>
      <c r="U108" s="13">
        <f ca="1">SUMPRODUCT(dFactor,tpSurvCnH,INDEX(elecCnH,1,1)*allOnes,OFFSET(tPrcElec,0,16,1,_maxLT))</f>
        <v>9623.7708524539721</v>
      </c>
      <c r="V108" s="13">
        <f ca="1">SUMPRODUCT(dFactor,tpSurvCnH,INDEX(elecCnH,1,1)*allOnes,OFFSET(tPrcElec,0,17,1,_maxLT))</f>
        <v>9684.4777431635794</v>
      </c>
      <c r="W108" s="13">
        <f ca="1">SUMPRODUCT(dFactor,tpSurvCnH,INDEX(elecCnH,1,1)*allOnes,OFFSET(tPrcElec,0,18,1,_maxLT))</f>
        <v>9745.5758125353914</v>
      </c>
      <c r="X108" s="13">
        <f ca="1">SUMPRODUCT(dFactor,tpSurvCnH,INDEX(elecCnH,1,1)*allOnes,OFFSET(tPrcElec,0,19,1,_maxLT))</f>
        <v>9807.0676412274206</v>
      </c>
      <c r="Y108" s="13">
        <f ca="1">SUMPRODUCT(dFactor,tpSurvCnH,INDEX(elecCnH,1,1)*allOnes,OFFSET(tPrcElec,0,20,1,_maxLT))</f>
        <v>9868.9558273505281</v>
      </c>
      <c r="Z108" s="13">
        <f ca="1">SUMPRODUCT(dFactor,tpSurvCnH,INDEX(elecCnH,1,1)*allOnes,OFFSET(tPrcElec,0,21,1,_maxLT))</f>
        <v>9931.2429865894283</v>
      </c>
      <c r="AA108" s="13">
        <f ca="1">SUMPRODUCT(dFactor,tpSurvCnH,INDEX(elecCnH,1,1)*allOnes,OFFSET(tPrcElec,0,22,1,_maxLT))</f>
        <v>9993.9317523245445</v>
      </c>
      <c r="AB108" s="13">
        <f ca="1">SUMPRODUCT(dFactor,tpSurvCnH,INDEX(elecCnH,1,1)*allOnes,OFFSET(tPrcElec,0,23,1,_maxLT))</f>
        <v>10057.024775754793</v>
      </c>
      <c r="AC108" s="13">
        <f ca="1">SUMPRODUCT(dFactor,tpSurvCnH,INDEX(elecCnH,1,1)*allOnes,OFFSET(tPrcElec,0,24,1,_maxLT))</f>
        <v>10120.524726021127</v>
      </c>
      <c r="AD108" s="13">
        <f ca="1">SUMPRODUCT(dFactor,tpSurvCnH,INDEX(elecCnH,1,1)*allOnes,OFFSET(tPrcElec,0,25,1,_maxLT))</f>
        <v>10184.434290331063</v>
      </c>
      <c r="AE108" s="13">
        <f ca="1">SUMPRODUCT(dFactor,tpSurvCnH,INDEX(elecCnH,1,1)*allOnes,OFFSET(tPrcElec,0,26,1,_maxLT))</f>
        <v>10248.75617408407</v>
      </c>
      <c r="AF108" s="13">
        <f ca="1">SUMPRODUCT(dFactor,tpSurvCnH,INDEX(elecCnH,1,1)*allOnes,OFFSET(tPrcElec,0,27,1,_maxLT))</f>
        <v>10313.493100997799</v>
      </c>
      <c r="AG108" s="13">
        <f ca="1">SUMPRODUCT(dFactor,tpSurvCnH,INDEX(elecCnH,1,1)*allOnes,OFFSET(tPrcElec,0,28,1,_maxLT))</f>
        <v>10378.647813235246</v>
      </c>
      <c r="AH108" s="13">
        <f ca="1">SUMPRODUCT(dFactor,tpSurvCnH,INDEX(elecCnH,1,1)*allOnes,OFFSET(tPrcElec,0,29,1,_maxLT))</f>
        <v>10444.223071532828</v>
      </c>
      <c r="AI108" s="13">
        <f ca="1">SUMPRODUCT(dFactor,tpSurvCnH,INDEX(elecCnH,1,1)*allOnes,OFFSET(tPrcElec,0,30,1,_maxLT))</f>
        <v>10510.221655329358</v>
      </c>
      <c r="AJ108" s="13">
        <f ca="1">SUMPRODUCT(dFactor,tpSurvCnH,INDEX(elecCnH,1,1)*allOnes,OFFSET(tPrcElec,0,31,1,_maxLT))</f>
        <v>10576.646362895935</v>
      </c>
      <c r="AK108" s="13">
        <f ca="1">SUMPRODUCT(dFactor,tpSurvCnH,INDEX(elecCnH,1,1)*allOnes,OFFSET(tPrcElec,0,32,1,_maxLT))</f>
        <v>10643.500011466764</v>
      </c>
      <c r="AL108" s="56">
        <f ca="1">SUMPRODUCT(dFactor,tpSurvCnH,INDEX(elecCnH,1,1)*allOnes,OFFSET(tPrcElec,0,33,1,_maxLT))</f>
        <v>10710.785437370878</v>
      </c>
      <c r="AM108" s="10"/>
    </row>
    <row r="109" spans="2:39">
      <c r="B109" s="10"/>
      <c r="C109" s="16" t="s">
        <v>79</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5"/>
      <c r="AM109" s="10"/>
    </row>
    <row r="110" spans="2:39">
      <c r="B110" s="10"/>
      <c r="C110" s="28" t="str">
        <f>INDEX(_fuel,1)</f>
        <v>Electricity</v>
      </c>
      <c r="D110" s="12" t="s">
        <v>83</v>
      </c>
      <c r="E110" s="39">
        <f ca="1">SUMPRODUCT(OFFSET(tConvElecCnH,0,0,1,_maxLT),INDEX(elecCnH,1,1)*allOnes,tpSurvCnH)</f>
        <v>1491.9120171237928</v>
      </c>
      <c r="F110" s="39">
        <f ca="1">SUMPRODUCT(OFFSET(tConvElecCnH,0,1,1,_maxLT),INDEX(elecCnH,1,1)*allOnes,tpSurvCnH)</f>
        <v>1478.0736023641941</v>
      </c>
      <c r="G110" s="39">
        <f ca="1">SUMPRODUCT(OFFSET(tConvElecCnH,0,2,1,_maxLT),INDEX(elecCnH,1,1)*allOnes,tpSurvCnH)</f>
        <v>1465.7876868534781</v>
      </c>
      <c r="H110" s="39">
        <f ca="1">SUMPRODUCT(OFFSET(tConvElecCnH,0,3,1,_maxLT),INDEX(elecCnH,1,1)*allOnes,tpSurvCnH)</f>
        <v>1454.0188762803152</v>
      </c>
      <c r="I110" s="39">
        <f ca="1">SUMPRODUCT(OFFSET(tConvElecCnH,0,4,1,_maxLT),INDEX(elecCnH,1,1)*allOnes,tpSurvCnH)</f>
        <v>1443.6487207689991</v>
      </c>
      <c r="J110" s="39">
        <f ca="1">SUMPRODUCT(OFFSET(tConvElecCnH,0,5,1,_maxLT),INDEX(elecCnH,1,1)*allOnes,tpSurvCnH)</f>
        <v>1435.5219517765352</v>
      </c>
      <c r="K110" s="39">
        <f ca="1">SUMPRODUCT(OFFSET(tConvElecCnH,0,6,1,_maxLT),INDEX(elecCnH,1,1)*allOnes,tpSurvCnH)</f>
        <v>1428.6961554064455</v>
      </c>
      <c r="L110" s="39">
        <f ca="1">SUMPRODUCT(OFFSET(tConvElecCnH,0,7,1,_maxLT),INDEX(elecCnH,1,1)*allOnes,tpSurvCnH)</f>
        <v>1421.7886103997337</v>
      </c>
      <c r="M110" s="39">
        <f ca="1">SUMPRODUCT(OFFSET(tConvElecCnH,0,8,1,_maxLT),INDEX(elecCnH,1,1)*allOnes,tpSurvCnH)</f>
        <v>1416.1948175223924</v>
      </c>
      <c r="N110" s="39">
        <f ca="1">SUMPRODUCT(OFFSET(tConvElecCnH,0,9,1,_maxLT),INDEX(elecCnH,1,1)*allOnes,tpSurvCnH)</f>
        <v>1412.2559413247825</v>
      </c>
      <c r="O110" s="39">
        <f ca="1">SUMPRODUCT(OFFSET(tConvElecCnH,0,10,1,_maxLT),INDEX(elecCnH,1,1)*allOnes,tpSurvCnH)</f>
        <v>1409.3235490743079</v>
      </c>
      <c r="P110" s="39">
        <f ca="1">SUMPRODUCT(OFFSET(tConvElecCnH,0,11,1,_maxLT),INDEX(elecCnH,1,1)*allOnes,tpSurvCnH)</f>
        <v>1406.8221658716891</v>
      </c>
      <c r="Q110" s="39">
        <f ca="1">SUMPRODUCT(OFFSET(tConvElecCnH,0,12,1,_maxLT),INDEX(elecCnH,1,1)*allOnes,tpSurvCnH)</f>
        <v>1404.9443603030627</v>
      </c>
      <c r="R110" s="39">
        <f ca="1">SUMPRODUCT(OFFSET(tConvElecCnH,0,13,1,_maxLT),INDEX(elecCnH,1,1)*allOnes,tpSurvCnH)</f>
        <v>1403.4866463848264</v>
      </c>
      <c r="S110" s="39">
        <f ca="1">SUMPRODUCT(OFFSET(tConvElecCnH,0,14,1,_maxLT),INDEX(elecCnH,1,1)*allOnes,tpSurvCnH)</f>
        <v>1403.1919706555104</v>
      </c>
      <c r="T110" s="39">
        <f ca="1">SUMPRODUCT(OFFSET(tConvElecCnH,0,15,1,_maxLT),INDEX(elecCnH,1,1)*allOnes,tpSurvCnH)</f>
        <v>1403.4291597779588</v>
      </c>
      <c r="U110" s="39">
        <f ca="1">SUMPRODUCT(OFFSET(tConvElecCnH,0,16,1,_maxLT),INDEX(elecCnH,1,1)*allOnes,tpSurvCnH)</f>
        <v>1403.8444260488004</v>
      </c>
      <c r="V110" s="39">
        <f ca="1">SUMPRODUCT(OFFSET(tConvElecCnH,0,17,1,_maxLT),INDEX(elecCnH,1,1)*allOnes,tpSurvCnH)</f>
        <v>1404.4846825503778</v>
      </c>
      <c r="W110" s="39">
        <f ca="1">SUMPRODUCT(OFFSET(tConvElecCnH,0,18,1,_maxLT),INDEX(elecCnH,1,1)*allOnes,tpSurvCnH)</f>
        <v>1405.0999364242296</v>
      </c>
      <c r="X110" s="39">
        <f ca="1">SUMPRODUCT(OFFSET(tConvElecCnH,0,19,1,_maxLT),INDEX(elecCnH,1,1)*allOnes,tpSurvCnH)</f>
        <v>1405.6104160118143</v>
      </c>
      <c r="Y110" s="39">
        <f ca="1">SUMPRODUCT(OFFSET(tConvElecCnH,0,20,1,_maxLT),INDEX(elecCnH,1,1)*allOnes,tpSurvCnH)</f>
        <v>1405.952657583789</v>
      </c>
      <c r="Z110" s="39">
        <f ca="1">SUMPRODUCT(OFFSET(tConvElecCnH,0,21,1,_maxLT),INDEX(elecCnH,1,1)*allOnes,tpSurvCnH)</f>
        <v>1406.1885362020284</v>
      </c>
      <c r="AA110" s="39">
        <f ca="1">SUMPRODUCT(OFFSET(tConvElecCnH,0,22,1,_maxLT),INDEX(elecCnH,1,1)*allOnes,tpSurvCnH)</f>
        <v>1406.1885362020284</v>
      </c>
      <c r="AB110" s="39">
        <f ca="1">SUMPRODUCT(OFFSET(tConvElecCnH,0,23,1,_maxLT),INDEX(elecCnH,1,1)*allOnes,tpSurvCnH)</f>
        <v>1406.1885362020284</v>
      </c>
      <c r="AC110" s="39">
        <f ca="1">SUMPRODUCT(OFFSET(tConvElecCnH,0,24,1,_maxLT),INDEX(elecCnH,1,1)*allOnes,tpSurvCnH)</f>
        <v>1406.1885362020284</v>
      </c>
      <c r="AD110" s="39">
        <f ca="1">SUMPRODUCT(OFFSET(tConvElecCnH,0,25,1,_maxLT),INDEX(elecCnH,1,1)*allOnes,tpSurvCnH)</f>
        <v>1406.1885362020284</v>
      </c>
      <c r="AE110" s="39">
        <f ca="1">SUMPRODUCT(OFFSET(tConvElecCnH,0,26,1,_maxLT),INDEX(elecCnH,1,1)*allOnes,tpSurvCnH)</f>
        <v>1406.1885362020284</v>
      </c>
      <c r="AF110" s="39">
        <f ca="1">SUMPRODUCT(OFFSET(tConvElecCnH,0,27,1,_maxLT),INDEX(elecCnH,1,1)*allOnes,tpSurvCnH)</f>
        <v>1406.1885362020284</v>
      </c>
      <c r="AG110" s="39">
        <f ca="1">SUMPRODUCT(OFFSET(tConvElecCnH,0,28,1,_maxLT),INDEX(elecCnH,1,1)*allOnes,tpSurvCnH)</f>
        <v>1406.1885362020284</v>
      </c>
      <c r="AH110" s="39">
        <f ca="1">SUMPRODUCT(OFFSET(tConvElecCnH,0,29,1,_maxLT),INDEX(elecCnH,1,1)*allOnes,tpSurvCnH)</f>
        <v>1406.1885362020284</v>
      </c>
      <c r="AI110" s="39">
        <f ca="1">SUMPRODUCT(OFFSET(tConvElecCnH,0,30,1,_maxLT),INDEX(elecCnH,1,1)*allOnes,tpSurvCnH)</f>
        <v>1406.1885362020284</v>
      </c>
      <c r="AJ110" s="39">
        <f ca="1">SUMPRODUCT(OFFSET(tConvElecCnH,0,31,1,_maxLT),INDEX(elecCnH,1,1)*allOnes,tpSurvCnH)</f>
        <v>1406.1885362020284</v>
      </c>
      <c r="AK110" s="39">
        <f ca="1">SUMPRODUCT(OFFSET(tConvElecCnH,0,32,1,_maxLT),INDEX(elecCnH,1,1)*allOnes,tpSurvCnH)</f>
        <v>1406.1885362020284</v>
      </c>
      <c r="AL110" s="40">
        <f ca="1">SUMPRODUCT(OFFSET(tConvElecCnH,0,33,1,_maxLT),INDEX(elecCnH,1,1)*allOnes,tpSurvCnH)</f>
        <v>1406.1885362020284</v>
      </c>
      <c r="AM110" s="10"/>
    </row>
    <row r="111" spans="2:39">
      <c r="B111" s="10"/>
      <c r="C111" s="57" t="str">
        <f>"EL 1: " &amp; INDEX(_doName,3,2)</f>
        <v>EL 1: EL 1</v>
      </c>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3"/>
      <c r="AM111" s="10"/>
    </row>
    <row r="112" spans="2:39">
      <c r="B112" s="10"/>
      <c r="C112" s="16" t="s">
        <v>69</v>
      </c>
      <c r="D112" s="12" t="str">
        <f>_yearDol &amp; "$"</f>
        <v>2015$</v>
      </c>
      <c r="E112" s="13">
        <f t="array" ref="E112:AL112">INDEX(mspCnH,1,2)*tPIdxAll + INDEX(instCnH,1,2) + IF(bESav,SUMPRODUCT(dFactor,tpSurvCnH,INDEX(mrCnH,1,2)*allOnes),0)</f>
        <v>1632.7489955022099</v>
      </c>
      <c r="F112" s="13">
        <v>1632.7489955022099</v>
      </c>
      <c r="G112" s="13">
        <v>1632.7489955022099</v>
      </c>
      <c r="H112" s="13">
        <v>1632.7489955022099</v>
      </c>
      <c r="I112" s="13">
        <v>1632.7489955022099</v>
      </c>
      <c r="J112" s="13">
        <v>1632.7489955022099</v>
      </c>
      <c r="K112" s="13">
        <v>1632.7489955022099</v>
      </c>
      <c r="L112" s="13">
        <v>1632.7489955022099</v>
      </c>
      <c r="M112" s="13">
        <v>1632.7489955022099</v>
      </c>
      <c r="N112" s="13">
        <v>1632.7489955022099</v>
      </c>
      <c r="O112" s="13">
        <v>1632.7489955022099</v>
      </c>
      <c r="P112" s="13">
        <v>1632.7489955022099</v>
      </c>
      <c r="Q112" s="13">
        <v>1632.7489955022099</v>
      </c>
      <c r="R112" s="13">
        <v>1632.7489955022099</v>
      </c>
      <c r="S112" s="13">
        <v>1632.7489955022099</v>
      </c>
      <c r="T112" s="13">
        <v>1632.7489955022099</v>
      </c>
      <c r="U112" s="13">
        <v>1632.7489955022099</v>
      </c>
      <c r="V112" s="13">
        <v>1632.7489955022099</v>
      </c>
      <c r="W112" s="13">
        <v>1632.7489955022099</v>
      </c>
      <c r="X112" s="13">
        <v>1632.7489955022099</v>
      </c>
      <c r="Y112" s="13">
        <v>1632.7489955022099</v>
      </c>
      <c r="Z112" s="13">
        <v>1632.7489955022099</v>
      </c>
      <c r="AA112" s="13">
        <v>1632.7489955022099</v>
      </c>
      <c r="AB112" s="13">
        <v>1632.7489955022099</v>
      </c>
      <c r="AC112" s="13">
        <v>1632.7489955022099</v>
      </c>
      <c r="AD112" s="13">
        <v>1632.7489955022099</v>
      </c>
      <c r="AE112" s="13">
        <v>1632.7489955022099</v>
      </c>
      <c r="AF112" s="13">
        <v>1632.7489955022099</v>
      </c>
      <c r="AG112" s="13">
        <v>1632.7489955022099</v>
      </c>
      <c r="AH112" s="13">
        <v>1632.7489955022099</v>
      </c>
      <c r="AI112" s="13">
        <v>1632.7489955022099</v>
      </c>
      <c r="AJ112" s="13">
        <v>1632.7489955022099</v>
      </c>
      <c r="AK112" s="13">
        <v>1632.7489955022099</v>
      </c>
      <c r="AL112" s="56">
        <v>1632.7489955022099</v>
      </c>
      <c r="AM112" s="10"/>
    </row>
    <row r="113" spans="2:39">
      <c r="B113" s="10"/>
      <c r="C113" s="16" t="str">
        <f>zEO&amp;" Costs"</f>
        <v>Operating Costs</v>
      </c>
      <c r="D113" s="12" t="str">
        <f>_yearDol &amp; "$"</f>
        <v>2015$</v>
      </c>
      <c r="E113" s="13">
        <f t="array" aca="1" ref="E113:AL113" ca="1">(tlccEFuElecbc1) + IF(bOSav,SUMPRODUCT(dFactor,tpSurvCnH,INDEX(mrCnH,1,2)*allOnes),0)</f>
        <v>10832.335013931728</v>
      </c>
      <c r="F113" s="13">
        <f ca="1"/>
        <v>10923.802203715835</v>
      </c>
      <c r="G113" s="13">
        <f ca="1"/>
        <v>11012.077165996538</v>
      </c>
      <c r="H113" s="13">
        <f ca="1"/>
        <v>11090.41963739215</v>
      </c>
      <c r="I113" s="13">
        <f ca="1"/>
        <v>11160.25646789016</v>
      </c>
      <c r="J113" s="13">
        <f ca="1"/>
        <v>11230.542421430926</v>
      </c>
      <c r="K113" s="13">
        <f ca="1"/>
        <v>11301.280454618427</v>
      </c>
      <c r="L113" s="13">
        <f ca="1"/>
        <v>11372.473544007989</v>
      </c>
      <c r="M113" s="13">
        <f ca="1"/>
        <v>11444.124686244251</v>
      </c>
      <c r="N113" s="13">
        <f ca="1"/>
        <v>11516.23689820023</v>
      </c>
      <c r="O113" s="13">
        <f ca="1"/>
        <v>11588.813217117335</v>
      </c>
      <c r="P113" s="13">
        <f ca="1"/>
        <v>11661.85670074633</v>
      </c>
      <c r="Q113" s="13">
        <f ca="1"/>
        <v>11735.370427489312</v>
      </c>
      <c r="R113" s="13">
        <f ca="1"/>
        <v>11809.357496542767</v>
      </c>
      <c r="S113" s="13">
        <f ca="1"/>
        <v>11883.821028041544</v>
      </c>
      <c r="T113" s="13">
        <f ca="1"/>
        <v>11958.764163203876</v>
      </c>
      <c r="U113" s="13">
        <f ca="1"/>
        <v>12034.190064477501</v>
      </c>
      <c r="V113" s="13">
        <f ca="1"/>
        <v>12110.101915686706</v>
      </c>
      <c r="W113" s="13">
        <f ca="1"/>
        <v>12186.502922180483</v>
      </c>
      <c r="X113" s="13">
        <f ca="1"/>
        <v>12263.396310981761</v>
      </c>
      <c r="Y113" s="13">
        <f ca="1"/>
        <v>12340.785330937617</v>
      </c>
      <c r="Z113" s="13">
        <f ca="1"/>
        <v>12418.673252870643</v>
      </c>
      <c r="AA113" s="13">
        <f ca="1"/>
        <v>12497.063369731293</v>
      </c>
      <c r="AB113" s="13">
        <f ca="1"/>
        <v>12575.958996751384</v>
      </c>
      <c r="AC113" s="13">
        <f ca="1"/>
        <v>12655.363471598688</v>
      </c>
      <c r="AD113" s="13">
        <f ca="1"/>
        <v>12735.280154532564</v>
      </c>
      <c r="AE113" s="13">
        <f ca="1"/>
        <v>12815.712428560733</v>
      </c>
      <c r="AF113" s="13">
        <f ca="1"/>
        <v>12896.663699597222</v>
      </c>
      <c r="AG113" s="13">
        <f ca="1"/>
        <v>12978.13739662128</v>
      </c>
      <c r="AH113" s="13">
        <f ca="1"/>
        <v>13060.136971837583</v>
      </c>
      <c r="AI113" s="13">
        <f ca="1"/>
        <v>13142.665900837512</v>
      </c>
      <c r="AJ113" s="13">
        <f ca="1"/>
        <v>13225.72768276157</v>
      </c>
      <c r="AK113" s="13">
        <f ca="1"/>
        <v>13309.325840462907</v>
      </c>
      <c r="AL113" s="56">
        <f ca="1"/>
        <v>13393.463920672189</v>
      </c>
      <c r="AM113" s="10"/>
    </row>
    <row r="114" spans="2:39">
      <c r="B114" s="10"/>
      <c r="C114" s="28" t="str">
        <f>INDEX(_fuel,1)</f>
        <v>Electricity</v>
      </c>
      <c r="D114" s="12" t="str">
        <f>_yearDol &amp; "$"</f>
        <v>2015$</v>
      </c>
      <c r="E114" s="13">
        <f ca="1">SUMPRODUCT(dFactor,tpSurvCnH,INDEX(elecCnH,1,2)*allOnes,OFFSET(tPrcElec,0,0,1,_maxLT))</f>
        <v>10832.335013931728</v>
      </c>
      <c r="F114" s="13">
        <f ca="1">SUMPRODUCT(dFactor,tpSurvCnH,INDEX(elecCnH,1,2)*allOnes,OFFSET(tPrcElec,0,1,1,_maxLT))</f>
        <v>10923.802203715835</v>
      </c>
      <c r="G114" s="13">
        <f ca="1">SUMPRODUCT(dFactor,tpSurvCnH,INDEX(elecCnH,1,2)*allOnes,OFFSET(tPrcElec,0,2,1,_maxLT))</f>
        <v>11012.077165996538</v>
      </c>
      <c r="H114" s="13">
        <f ca="1">SUMPRODUCT(dFactor,tpSurvCnH,INDEX(elecCnH,1,2)*allOnes,OFFSET(tPrcElec,0,3,1,_maxLT))</f>
        <v>11090.41963739215</v>
      </c>
      <c r="I114" s="13">
        <f ca="1">SUMPRODUCT(dFactor,tpSurvCnH,INDEX(elecCnH,1,2)*allOnes,OFFSET(tPrcElec,0,4,1,_maxLT))</f>
        <v>11160.25646789016</v>
      </c>
      <c r="J114" s="13">
        <f ca="1">SUMPRODUCT(dFactor,tpSurvCnH,INDEX(elecCnH,1,2)*allOnes,OFFSET(tPrcElec,0,5,1,_maxLT))</f>
        <v>11230.542421430926</v>
      </c>
      <c r="K114" s="13">
        <f ca="1">SUMPRODUCT(dFactor,tpSurvCnH,INDEX(elecCnH,1,2)*allOnes,OFFSET(tPrcElec,0,6,1,_maxLT))</f>
        <v>11301.280454618427</v>
      </c>
      <c r="L114" s="13">
        <f ca="1">SUMPRODUCT(dFactor,tpSurvCnH,INDEX(elecCnH,1,2)*allOnes,OFFSET(tPrcElec,0,7,1,_maxLT))</f>
        <v>11372.473544007989</v>
      </c>
      <c r="M114" s="13">
        <f ca="1">SUMPRODUCT(dFactor,tpSurvCnH,INDEX(elecCnH,1,2)*allOnes,OFFSET(tPrcElec,0,8,1,_maxLT))</f>
        <v>11444.124686244251</v>
      </c>
      <c r="N114" s="13">
        <f ca="1">SUMPRODUCT(dFactor,tpSurvCnH,INDEX(elecCnH,1,2)*allOnes,OFFSET(tPrcElec,0,9,1,_maxLT))</f>
        <v>11516.23689820023</v>
      </c>
      <c r="O114" s="13">
        <f ca="1">SUMPRODUCT(dFactor,tpSurvCnH,INDEX(elecCnH,1,2)*allOnes,OFFSET(tPrcElec,0,10,1,_maxLT))</f>
        <v>11588.813217117335</v>
      </c>
      <c r="P114" s="13">
        <f ca="1">SUMPRODUCT(dFactor,tpSurvCnH,INDEX(elecCnH,1,2)*allOnes,OFFSET(tPrcElec,0,11,1,_maxLT))</f>
        <v>11661.85670074633</v>
      </c>
      <c r="Q114" s="13">
        <f ca="1">SUMPRODUCT(dFactor,tpSurvCnH,INDEX(elecCnH,1,2)*allOnes,OFFSET(tPrcElec,0,12,1,_maxLT))</f>
        <v>11735.370427489312</v>
      </c>
      <c r="R114" s="13">
        <f ca="1">SUMPRODUCT(dFactor,tpSurvCnH,INDEX(elecCnH,1,2)*allOnes,OFFSET(tPrcElec,0,13,1,_maxLT))</f>
        <v>11809.357496542767</v>
      </c>
      <c r="S114" s="13">
        <f ca="1">SUMPRODUCT(dFactor,tpSurvCnH,INDEX(elecCnH,1,2)*allOnes,OFFSET(tPrcElec,0,14,1,_maxLT))</f>
        <v>11883.821028041544</v>
      </c>
      <c r="T114" s="13">
        <f ca="1">SUMPRODUCT(dFactor,tpSurvCnH,INDEX(elecCnH,1,2)*allOnes,OFFSET(tPrcElec,0,15,1,_maxLT))</f>
        <v>11958.764163203876</v>
      </c>
      <c r="U114" s="13">
        <f ca="1">SUMPRODUCT(dFactor,tpSurvCnH,INDEX(elecCnH,1,2)*allOnes,OFFSET(tPrcElec,0,16,1,_maxLT))</f>
        <v>12034.190064477501</v>
      </c>
      <c r="V114" s="13">
        <f ca="1">SUMPRODUCT(dFactor,tpSurvCnH,INDEX(elecCnH,1,2)*allOnes,OFFSET(tPrcElec,0,17,1,_maxLT))</f>
        <v>12110.101915686706</v>
      </c>
      <c r="W114" s="13">
        <f ca="1">SUMPRODUCT(dFactor,tpSurvCnH,INDEX(elecCnH,1,2)*allOnes,OFFSET(tPrcElec,0,18,1,_maxLT))</f>
        <v>12186.502922180483</v>
      </c>
      <c r="X114" s="13">
        <f ca="1">SUMPRODUCT(dFactor,tpSurvCnH,INDEX(elecCnH,1,2)*allOnes,OFFSET(tPrcElec,0,19,1,_maxLT))</f>
        <v>12263.396310981761</v>
      </c>
      <c r="Y114" s="13">
        <f ca="1">SUMPRODUCT(dFactor,tpSurvCnH,INDEX(elecCnH,1,2)*allOnes,OFFSET(tPrcElec,0,20,1,_maxLT))</f>
        <v>12340.785330937617</v>
      </c>
      <c r="Z114" s="13">
        <f ca="1">SUMPRODUCT(dFactor,tpSurvCnH,INDEX(elecCnH,1,2)*allOnes,OFFSET(tPrcElec,0,21,1,_maxLT))</f>
        <v>12418.673252870643</v>
      </c>
      <c r="AA114" s="13">
        <f ca="1">SUMPRODUCT(dFactor,tpSurvCnH,INDEX(elecCnH,1,2)*allOnes,OFFSET(tPrcElec,0,22,1,_maxLT))</f>
        <v>12497.063369731293</v>
      </c>
      <c r="AB114" s="13">
        <f ca="1">SUMPRODUCT(dFactor,tpSurvCnH,INDEX(elecCnH,1,2)*allOnes,OFFSET(tPrcElec,0,23,1,_maxLT))</f>
        <v>12575.958996751384</v>
      </c>
      <c r="AC114" s="13">
        <f ca="1">SUMPRODUCT(dFactor,tpSurvCnH,INDEX(elecCnH,1,2)*allOnes,OFFSET(tPrcElec,0,24,1,_maxLT))</f>
        <v>12655.363471598688</v>
      </c>
      <c r="AD114" s="13">
        <f ca="1">SUMPRODUCT(dFactor,tpSurvCnH,INDEX(elecCnH,1,2)*allOnes,OFFSET(tPrcElec,0,25,1,_maxLT))</f>
        <v>12735.280154532564</v>
      </c>
      <c r="AE114" s="13">
        <f ca="1">SUMPRODUCT(dFactor,tpSurvCnH,INDEX(elecCnH,1,2)*allOnes,OFFSET(tPrcElec,0,26,1,_maxLT))</f>
        <v>12815.712428560733</v>
      </c>
      <c r="AF114" s="13">
        <f ca="1">SUMPRODUCT(dFactor,tpSurvCnH,INDEX(elecCnH,1,2)*allOnes,OFFSET(tPrcElec,0,27,1,_maxLT))</f>
        <v>12896.663699597222</v>
      </c>
      <c r="AG114" s="13">
        <f ca="1">SUMPRODUCT(dFactor,tpSurvCnH,INDEX(elecCnH,1,2)*allOnes,OFFSET(tPrcElec,0,28,1,_maxLT))</f>
        <v>12978.13739662128</v>
      </c>
      <c r="AH114" s="13">
        <f ca="1">SUMPRODUCT(dFactor,tpSurvCnH,INDEX(elecCnH,1,2)*allOnes,OFFSET(tPrcElec,0,29,1,_maxLT))</f>
        <v>13060.136971837583</v>
      </c>
      <c r="AI114" s="13">
        <f ca="1">SUMPRODUCT(dFactor,tpSurvCnH,INDEX(elecCnH,1,2)*allOnes,OFFSET(tPrcElec,0,30,1,_maxLT))</f>
        <v>13142.665900837512</v>
      </c>
      <c r="AJ114" s="13">
        <f ca="1">SUMPRODUCT(dFactor,tpSurvCnH,INDEX(elecCnH,1,2)*allOnes,OFFSET(tPrcElec,0,31,1,_maxLT))</f>
        <v>13225.72768276157</v>
      </c>
      <c r="AK114" s="13">
        <f ca="1">SUMPRODUCT(dFactor,tpSurvCnH,INDEX(elecCnH,1,2)*allOnes,OFFSET(tPrcElec,0,32,1,_maxLT))</f>
        <v>13309.325840462907</v>
      </c>
      <c r="AL114" s="56">
        <f ca="1">SUMPRODUCT(dFactor,tpSurvCnH,INDEX(elecCnH,1,2)*allOnes,OFFSET(tPrcElec,0,33,1,_maxLT))</f>
        <v>13393.463920672189</v>
      </c>
      <c r="AM114" s="10"/>
    </row>
    <row r="115" spans="2:39">
      <c r="B115" s="10"/>
      <c r="C115" s="16" t="s">
        <v>79</v>
      </c>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5"/>
      <c r="AM115" s="10"/>
    </row>
    <row r="116" spans="2:39">
      <c r="B116" s="10"/>
      <c r="C116" s="28" t="str">
        <f>INDEX(_fuel,1)</f>
        <v>Electricity</v>
      </c>
      <c r="D116" s="12" t="s">
        <v>83</v>
      </c>
      <c r="E116" s="39">
        <f ca="1">SUMPRODUCT(OFFSET(tConvElecCnH,0,0,1,_maxLT),INDEX(elecCnH,1,2)*allOnes,tpSurvCnH)</f>
        <v>1865.5839845737423</v>
      </c>
      <c r="F116" s="39">
        <f ca="1">SUMPRODUCT(OFFSET(tConvElecCnH,0,1,1,_maxLT),INDEX(elecCnH,1,2)*allOnes,tpSurvCnH)</f>
        <v>1848.2795291828902</v>
      </c>
      <c r="G116" s="39">
        <f ca="1">SUMPRODUCT(OFFSET(tConvElecCnH,0,2,1,_maxLT),INDEX(elecCnH,1,2)*allOnes,tpSurvCnH)</f>
        <v>1832.9164199984721</v>
      </c>
      <c r="H116" s="39">
        <f ca="1">SUMPRODUCT(OFFSET(tConvElecCnH,0,3,1,_maxLT),INDEX(elecCnH,1,2)*allOnes,tpSurvCnH)</f>
        <v>1818.1999325174597</v>
      </c>
      <c r="I116" s="39">
        <f ca="1">SUMPRODUCT(OFFSET(tConvElecCnH,0,4,1,_maxLT),INDEX(elecCnH,1,2)*allOnes,tpSurvCnH)</f>
        <v>1805.2324144484328</v>
      </c>
      <c r="J116" s="39">
        <f ca="1">SUMPRODUCT(OFFSET(tConvElecCnH,0,5,1,_maxLT),INDEX(elecCnH,1,2)*allOnes,tpSurvCnH)</f>
        <v>1795.0701730396531</v>
      </c>
      <c r="K116" s="39">
        <f ca="1">SUMPRODUCT(OFFSET(tConvElecCnH,0,6,1,_maxLT),INDEX(elecCnH,1,2)*allOnes,tpSurvCnH)</f>
        <v>1786.5347525565139</v>
      </c>
      <c r="L116" s="39">
        <f ca="1">SUMPRODUCT(OFFSET(tConvElecCnH,0,7,1,_maxLT),INDEX(elecCnH,1,2)*allOnes,tpSurvCnH)</f>
        <v>1777.8971082522016</v>
      </c>
      <c r="M116" s="39">
        <f ca="1">SUMPRODUCT(OFFSET(tConvElecCnH,0,8,1,_maxLT),INDEX(elecCnH,1,2)*allOnes,tpSurvCnH)</f>
        <v>1770.9022652016647</v>
      </c>
      <c r="N116" s="39">
        <f ca="1">SUMPRODUCT(OFFSET(tConvElecCnH,0,9,1,_maxLT),INDEX(elecCnH,1,2)*allOnes,tpSurvCnH)</f>
        <v>1765.9768377856121</v>
      </c>
      <c r="O116" s="39">
        <f ca="1">SUMPRODUCT(OFFSET(tConvElecCnH,0,10,1,_maxLT),INDEX(elecCnH,1,2)*allOnes,tpSurvCnH)</f>
        <v>1762.3099834696854</v>
      </c>
      <c r="P116" s="39">
        <f ca="1">SUMPRODUCT(OFFSET(tConvElecCnH,0,11,1,_maxLT),INDEX(elecCnH,1,2)*allOnes,tpSurvCnH)</f>
        <v>1759.1820909475218</v>
      </c>
      <c r="Q116" s="39">
        <f ca="1">SUMPRODUCT(OFFSET(tConvElecCnH,0,12,1,_maxLT),INDEX(elecCnH,1,2)*allOnes,tpSurvCnH)</f>
        <v>1756.8339605251081</v>
      </c>
      <c r="R116" s="39">
        <f ca="1">SUMPRODUCT(OFFSET(tConvElecCnH,0,13,1,_maxLT),INDEX(elecCnH,1,2)*allOnes,tpSurvCnH)</f>
        <v>1755.0111400713963</v>
      </c>
      <c r="S116" s="39">
        <f ca="1">SUMPRODUCT(OFFSET(tConvElecCnH,0,14,1,_maxLT),INDEX(elecCnH,1,2)*allOnes,tpSurvCnH)</f>
        <v>1754.6426583412776</v>
      </c>
      <c r="T116" s="39">
        <f ca="1">SUMPRODUCT(OFFSET(tConvElecCnH,0,15,1,_maxLT),INDEX(elecCnH,1,2)*allOnes,tpSurvCnH)</f>
        <v>1754.9392550729053</v>
      </c>
      <c r="U116" s="39">
        <f ca="1">SUMPRODUCT(OFFSET(tConvElecCnH,0,16,1,_maxLT),INDEX(elecCnH,1,2)*allOnes,tpSurvCnH)</f>
        <v>1755.4585310726452</v>
      </c>
      <c r="V116" s="39">
        <f ca="1">SUMPRODUCT(OFFSET(tConvElecCnH,0,17,1,_maxLT),INDEX(elecCnH,1,2)*allOnes,tpSurvCnH)</f>
        <v>1756.259149515055</v>
      </c>
      <c r="W116" s="39">
        <f ca="1">SUMPRODUCT(OFFSET(tConvElecCnH,0,18,1,_maxLT),INDEX(elecCnH,1,2)*allOnes,tpSurvCnH)</f>
        <v>1757.0285030428304</v>
      </c>
      <c r="X116" s="39">
        <f ca="1">SUMPRODUCT(OFFSET(tConvElecCnH,0,19,1,_maxLT),INDEX(elecCnH,1,2)*allOnes,tpSurvCnH)</f>
        <v>1757.6668399769924</v>
      </c>
      <c r="Y116" s="39">
        <f ca="1">SUMPRODUCT(OFFSET(tConvElecCnH,0,20,1,_maxLT),INDEX(elecCnH,1,2)*allOnes,tpSurvCnH)</f>
        <v>1758.0948011356954</v>
      </c>
      <c r="Z116" s="39">
        <f ca="1">SUMPRODUCT(OFFSET(tConvElecCnH,0,21,1,_maxLT),INDEX(elecCnH,1,2)*allOnes,tpSurvCnH)</f>
        <v>1758.3897591274804</v>
      </c>
      <c r="AA116" s="39">
        <f ca="1">SUMPRODUCT(OFFSET(tConvElecCnH,0,22,1,_maxLT),INDEX(elecCnH,1,2)*allOnes,tpSurvCnH)</f>
        <v>1758.3897591274804</v>
      </c>
      <c r="AB116" s="39">
        <f ca="1">SUMPRODUCT(OFFSET(tConvElecCnH,0,23,1,_maxLT),INDEX(elecCnH,1,2)*allOnes,tpSurvCnH)</f>
        <v>1758.3897591274804</v>
      </c>
      <c r="AC116" s="39">
        <f ca="1">SUMPRODUCT(OFFSET(tConvElecCnH,0,24,1,_maxLT),INDEX(elecCnH,1,2)*allOnes,tpSurvCnH)</f>
        <v>1758.3897591274804</v>
      </c>
      <c r="AD116" s="39">
        <f ca="1">SUMPRODUCT(OFFSET(tConvElecCnH,0,25,1,_maxLT),INDEX(elecCnH,1,2)*allOnes,tpSurvCnH)</f>
        <v>1758.3897591274804</v>
      </c>
      <c r="AE116" s="39">
        <f ca="1">SUMPRODUCT(OFFSET(tConvElecCnH,0,26,1,_maxLT),INDEX(elecCnH,1,2)*allOnes,tpSurvCnH)</f>
        <v>1758.3897591274804</v>
      </c>
      <c r="AF116" s="39">
        <f ca="1">SUMPRODUCT(OFFSET(tConvElecCnH,0,27,1,_maxLT),INDEX(elecCnH,1,2)*allOnes,tpSurvCnH)</f>
        <v>1758.3897591274804</v>
      </c>
      <c r="AG116" s="39">
        <f ca="1">SUMPRODUCT(OFFSET(tConvElecCnH,0,28,1,_maxLT),INDEX(elecCnH,1,2)*allOnes,tpSurvCnH)</f>
        <v>1758.3897591274804</v>
      </c>
      <c r="AH116" s="39">
        <f ca="1">SUMPRODUCT(OFFSET(tConvElecCnH,0,29,1,_maxLT),INDEX(elecCnH,1,2)*allOnes,tpSurvCnH)</f>
        <v>1758.3897591274804</v>
      </c>
      <c r="AI116" s="39">
        <f ca="1">SUMPRODUCT(OFFSET(tConvElecCnH,0,30,1,_maxLT),INDEX(elecCnH,1,2)*allOnes,tpSurvCnH)</f>
        <v>1758.3897591274804</v>
      </c>
      <c r="AJ116" s="39">
        <f ca="1">SUMPRODUCT(OFFSET(tConvElecCnH,0,31,1,_maxLT),INDEX(elecCnH,1,2)*allOnes,tpSurvCnH)</f>
        <v>1758.3897591274804</v>
      </c>
      <c r="AK116" s="39">
        <f ca="1">SUMPRODUCT(OFFSET(tConvElecCnH,0,32,1,_maxLT),INDEX(elecCnH,1,2)*allOnes,tpSurvCnH)</f>
        <v>1758.3897591274804</v>
      </c>
      <c r="AL116" s="40">
        <f ca="1">SUMPRODUCT(OFFSET(tConvElecCnH,0,33,1,_maxLT),INDEX(elecCnH,1,2)*allOnes,tpSurvCnH)</f>
        <v>1758.3897591274804</v>
      </c>
      <c r="AM116" s="10"/>
    </row>
    <row r="117" spans="2:39">
      <c r="B117" s="10"/>
      <c r="C117" s="57" t="str">
        <f>"EL 2: " &amp; INDEX(_doName,3,3)</f>
        <v>EL 2: EL 2</v>
      </c>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3"/>
      <c r="AM117" s="10"/>
    </row>
    <row r="118" spans="2:39">
      <c r="B118" s="10"/>
      <c r="C118" s="16" t="s">
        <v>69</v>
      </c>
      <c r="D118" s="12" t="str">
        <f>_yearDol &amp; "$"</f>
        <v>2015$</v>
      </c>
      <c r="E118" s="13">
        <f t="array" ref="E118:AL118">INDEX(mspCnH,1,3)*tPIdxAll + INDEX(instCnH,1,3) + IF(bESav,SUMPRODUCT(dFactor,tpSurvCnH,INDEX(mrCnH,1,3)*allOnes),0)</f>
        <v>1606.73941742082</v>
      </c>
      <c r="F118" s="13">
        <v>1606.73941742082</v>
      </c>
      <c r="G118" s="13">
        <v>1606.73941742082</v>
      </c>
      <c r="H118" s="13">
        <v>1606.73941742082</v>
      </c>
      <c r="I118" s="13">
        <v>1606.73941742082</v>
      </c>
      <c r="J118" s="13">
        <v>1606.73941742082</v>
      </c>
      <c r="K118" s="13">
        <v>1606.73941742082</v>
      </c>
      <c r="L118" s="13">
        <v>1606.73941742082</v>
      </c>
      <c r="M118" s="13">
        <v>1606.73941742082</v>
      </c>
      <c r="N118" s="13">
        <v>1606.73941742082</v>
      </c>
      <c r="O118" s="13">
        <v>1606.73941742082</v>
      </c>
      <c r="P118" s="13">
        <v>1606.73941742082</v>
      </c>
      <c r="Q118" s="13">
        <v>1606.73941742082</v>
      </c>
      <c r="R118" s="13">
        <v>1606.73941742082</v>
      </c>
      <c r="S118" s="13">
        <v>1606.73941742082</v>
      </c>
      <c r="T118" s="13">
        <v>1606.73941742082</v>
      </c>
      <c r="U118" s="13">
        <v>1606.73941742082</v>
      </c>
      <c r="V118" s="13">
        <v>1606.73941742082</v>
      </c>
      <c r="W118" s="13">
        <v>1606.73941742082</v>
      </c>
      <c r="X118" s="13">
        <v>1606.73941742082</v>
      </c>
      <c r="Y118" s="13">
        <v>1606.73941742082</v>
      </c>
      <c r="Z118" s="13">
        <v>1606.73941742082</v>
      </c>
      <c r="AA118" s="13">
        <v>1606.73941742082</v>
      </c>
      <c r="AB118" s="13">
        <v>1606.73941742082</v>
      </c>
      <c r="AC118" s="13">
        <v>1606.73941742082</v>
      </c>
      <c r="AD118" s="13">
        <v>1606.73941742082</v>
      </c>
      <c r="AE118" s="13">
        <v>1606.73941742082</v>
      </c>
      <c r="AF118" s="13">
        <v>1606.73941742082</v>
      </c>
      <c r="AG118" s="13">
        <v>1606.73941742082</v>
      </c>
      <c r="AH118" s="13">
        <v>1606.73941742082</v>
      </c>
      <c r="AI118" s="13">
        <v>1606.73941742082</v>
      </c>
      <c r="AJ118" s="13">
        <v>1606.73941742082</v>
      </c>
      <c r="AK118" s="13">
        <v>1606.73941742082</v>
      </c>
      <c r="AL118" s="56">
        <v>1606.73941742082</v>
      </c>
      <c r="AM118" s="10"/>
    </row>
    <row r="119" spans="2:39">
      <c r="B119" s="10"/>
      <c r="C119" s="16" t="str">
        <f>zEO&amp;" Costs"</f>
        <v>Operating Costs</v>
      </c>
      <c r="D119" s="12" t="str">
        <f>_yearDol &amp; "$"</f>
        <v>2015$</v>
      </c>
      <c r="E119" s="13">
        <f t="array" aca="1" ref="E119:AL119" ca="1">(tlccEFuElecbc2) + IF(bOSav,SUMPRODUCT(dFactor,tpSurvCnH,INDEX(mrCnH,1,3)*allOnes),0)</f>
        <v>11166.87302137714</v>
      </c>
      <c r="F119" s="13">
        <f ca="1"/>
        <v>11261.165017759031</v>
      </c>
      <c r="G119" s="13">
        <f ca="1"/>
        <v>11352.166200189944</v>
      </c>
      <c r="H119" s="13">
        <f ca="1"/>
        <v>11432.928143864174</v>
      </c>
      <c r="I119" s="13">
        <f ca="1"/>
        <v>11504.921764573264</v>
      </c>
      <c r="J119" s="13">
        <f ca="1"/>
        <v>11577.378378716619</v>
      </c>
      <c r="K119" s="13">
        <f ca="1"/>
        <v>11650.301034207896</v>
      </c>
      <c r="L119" s="13">
        <f ca="1"/>
        <v>11723.692799528133</v>
      </c>
      <c r="M119" s="13">
        <f ca="1"/>
        <v>11797.556763868228</v>
      </c>
      <c r="N119" s="13">
        <f ca="1"/>
        <v>11871.896037272099</v>
      </c>
      <c r="O119" s="13">
        <f ca="1"/>
        <v>11946.713750781135</v>
      </c>
      <c r="P119" s="13">
        <f ca="1"/>
        <v>12022.013056579473</v>
      </c>
      <c r="Q119" s="13">
        <f ca="1"/>
        <v>12097.797128140337</v>
      </c>
      <c r="R119" s="13">
        <f ca="1"/>
        <v>12174.069160373578</v>
      </c>
      <c r="S119" s="13">
        <f ca="1"/>
        <v>12250.832369774002</v>
      </c>
      <c r="T119" s="13">
        <f ca="1"/>
        <v>12328.089994571008</v>
      </c>
      <c r="U119" s="13">
        <f ca="1"/>
        <v>12405.845294879044</v>
      </c>
      <c r="V119" s="13">
        <f ca="1"/>
        <v>12484.101552849324</v>
      </c>
      <c r="W119" s="13">
        <f ca="1"/>
        <v>12562.862072822551</v>
      </c>
      <c r="X119" s="13">
        <f ca="1"/>
        <v>12642.130181482682</v>
      </c>
      <c r="Y119" s="13">
        <f ca="1"/>
        <v>12721.909228011851</v>
      </c>
      <c r="Z119" s="13">
        <f ca="1"/>
        <v>12802.202584246344</v>
      </c>
      <c r="AA119" s="13">
        <f ca="1"/>
        <v>12883.013644833734</v>
      </c>
      <c r="AB119" s="13">
        <f ca="1"/>
        <v>12964.345827391075</v>
      </c>
      <c r="AC119" s="13">
        <f ca="1"/>
        <v>13046.202572664231</v>
      </c>
      <c r="AD119" s="13">
        <f ca="1"/>
        <v>13128.5873446884</v>
      </c>
      <c r="AE119" s="13">
        <f ca="1"/>
        <v>13211.503630949686</v>
      </c>
      <c r="AF119" s="13">
        <f ca="1"/>
        <v>13294.954942547865</v>
      </c>
      <c r="AG119" s="13">
        <f ca="1"/>
        <v>13378.94481436032</v>
      </c>
      <c r="AH119" s="13">
        <f ca="1"/>
        <v>13463.476805207143</v>
      </c>
      <c r="AI119" s="13">
        <f ca="1"/>
        <v>13548.554498017342</v>
      </c>
      <c r="AJ119" s="13">
        <f ca="1"/>
        <v>13634.181499996348</v>
      </c>
      <c r="AK119" s="13">
        <f ca="1"/>
        <v>13720.361442794594</v>
      </c>
      <c r="AL119" s="56">
        <f ca="1"/>
        <v>13807.097982677367</v>
      </c>
      <c r="AM119" s="10"/>
    </row>
    <row r="120" spans="2:39">
      <c r="B120" s="10"/>
      <c r="C120" s="28" t="str">
        <f>INDEX(_fuel,1)</f>
        <v>Electricity</v>
      </c>
      <c r="D120" s="12" t="str">
        <f>_yearDol &amp; "$"</f>
        <v>2015$</v>
      </c>
      <c r="E120" s="13">
        <f ca="1">SUMPRODUCT(dFactor,tpSurvCnH,INDEX(elecCnH,1,3)*allOnes,OFFSET(tPrcElec,0,0,1,_maxLT))</f>
        <v>11166.87302137714</v>
      </c>
      <c r="F120" s="13">
        <f ca="1">SUMPRODUCT(dFactor,tpSurvCnH,INDEX(elecCnH,1,3)*allOnes,OFFSET(tPrcElec,0,1,1,_maxLT))</f>
        <v>11261.165017759031</v>
      </c>
      <c r="G120" s="13">
        <f ca="1">SUMPRODUCT(dFactor,tpSurvCnH,INDEX(elecCnH,1,3)*allOnes,OFFSET(tPrcElec,0,2,1,_maxLT))</f>
        <v>11352.166200189944</v>
      </c>
      <c r="H120" s="13">
        <f ca="1">SUMPRODUCT(dFactor,tpSurvCnH,INDEX(elecCnH,1,3)*allOnes,OFFSET(tPrcElec,0,3,1,_maxLT))</f>
        <v>11432.928143864174</v>
      </c>
      <c r="I120" s="13">
        <f ca="1">SUMPRODUCT(dFactor,tpSurvCnH,INDEX(elecCnH,1,3)*allOnes,OFFSET(tPrcElec,0,4,1,_maxLT))</f>
        <v>11504.921764573264</v>
      </c>
      <c r="J120" s="13">
        <f ca="1">SUMPRODUCT(dFactor,tpSurvCnH,INDEX(elecCnH,1,3)*allOnes,OFFSET(tPrcElec,0,5,1,_maxLT))</f>
        <v>11577.378378716619</v>
      </c>
      <c r="K120" s="13">
        <f ca="1">SUMPRODUCT(dFactor,tpSurvCnH,INDEX(elecCnH,1,3)*allOnes,OFFSET(tPrcElec,0,6,1,_maxLT))</f>
        <v>11650.301034207896</v>
      </c>
      <c r="L120" s="13">
        <f ca="1">SUMPRODUCT(dFactor,tpSurvCnH,INDEX(elecCnH,1,3)*allOnes,OFFSET(tPrcElec,0,7,1,_maxLT))</f>
        <v>11723.692799528133</v>
      </c>
      <c r="M120" s="13">
        <f ca="1">SUMPRODUCT(dFactor,tpSurvCnH,INDEX(elecCnH,1,3)*allOnes,OFFSET(tPrcElec,0,8,1,_maxLT))</f>
        <v>11797.556763868228</v>
      </c>
      <c r="N120" s="13">
        <f ca="1">SUMPRODUCT(dFactor,tpSurvCnH,INDEX(elecCnH,1,3)*allOnes,OFFSET(tPrcElec,0,9,1,_maxLT))</f>
        <v>11871.896037272099</v>
      </c>
      <c r="O120" s="13">
        <f ca="1">SUMPRODUCT(dFactor,tpSurvCnH,INDEX(elecCnH,1,3)*allOnes,OFFSET(tPrcElec,0,10,1,_maxLT))</f>
        <v>11946.713750781135</v>
      </c>
      <c r="P120" s="13">
        <f ca="1">SUMPRODUCT(dFactor,tpSurvCnH,INDEX(elecCnH,1,3)*allOnes,OFFSET(tPrcElec,0,11,1,_maxLT))</f>
        <v>12022.013056579473</v>
      </c>
      <c r="Q120" s="13">
        <f ca="1">SUMPRODUCT(dFactor,tpSurvCnH,INDEX(elecCnH,1,3)*allOnes,OFFSET(tPrcElec,0,12,1,_maxLT))</f>
        <v>12097.797128140337</v>
      </c>
      <c r="R120" s="13">
        <f ca="1">SUMPRODUCT(dFactor,tpSurvCnH,INDEX(elecCnH,1,3)*allOnes,OFFSET(tPrcElec,0,13,1,_maxLT))</f>
        <v>12174.069160373578</v>
      </c>
      <c r="S120" s="13">
        <f ca="1">SUMPRODUCT(dFactor,tpSurvCnH,INDEX(elecCnH,1,3)*allOnes,OFFSET(tPrcElec,0,14,1,_maxLT))</f>
        <v>12250.832369774002</v>
      </c>
      <c r="T120" s="13">
        <f ca="1">SUMPRODUCT(dFactor,tpSurvCnH,INDEX(elecCnH,1,3)*allOnes,OFFSET(tPrcElec,0,15,1,_maxLT))</f>
        <v>12328.089994571008</v>
      </c>
      <c r="U120" s="13">
        <f ca="1">SUMPRODUCT(dFactor,tpSurvCnH,INDEX(elecCnH,1,3)*allOnes,OFFSET(tPrcElec,0,16,1,_maxLT))</f>
        <v>12405.845294879044</v>
      </c>
      <c r="V120" s="13">
        <f ca="1">SUMPRODUCT(dFactor,tpSurvCnH,INDEX(elecCnH,1,3)*allOnes,OFFSET(tPrcElec,0,17,1,_maxLT))</f>
        <v>12484.101552849324</v>
      </c>
      <c r="W120" s="13">
        <f ca="1">SUMPRODUCT(dFactor,tpSurvCnH,INDEX(elecCnH,1,3)*allOnes,OFFSET(tPrcElec,0,18,1,_maxLT))</f>
        <v>12562.862072822551</v>
      </c>
      <c r="X120" s="13">
        <f ca="1">SUMPRODUCT(dFactor,tpSurvCnH,INDEX(elecCnH,1,3)*allOnes,OFFSET(tPrcElec,0,19,1,_maxLT))</f>
        <v>12642.130181482682</v>
      </c>
      <c r="Y120" s="13">
        <f ca="1">SUMPRODUCT(dFactor,tpSurvCnH,INDEX(elecCnH,1,3)*allOnes,OFFSET(tPrcElec,0,20,1,_maxLT))</f>
        <v>12721.909228011851</v>
      </c>
      <c r="Z120" s="13">
        <f ca="1">SUMPRODUCT(dFactor,tpSurvCnH,INDEX(elecCnH,1,3)*allOnes,OFFSET(tPrcElec,0,21,1,_maxLT))</f>
        <v>12802.202584246344</v>
      </c>
      <c r="AA120" s="13">
        <f ca="1">SUMPRODUCT(dFactor,tpSurvCnH,INDEX(elecCnH,1,3)*allOnes,OFFSET(tPrcElec,0,22,1,_maxLT))</f>
        <v>12883.013644833734</v>
      </c>
      <c r="AB120" s="13">
        <f ca="1">SUMPRODUCT(dFactor,tpSurvCnH,INDEX(elecCnH,1,3)*allOnes,OFFSET(tPrcElec,0,23,1,_maxLT))</f>
        <v>12964.345827391075</v>
      </c>
      <c r="AC120" s="13">
        <f ca="1">SUMPRODUCT(dFactor,tpSurvCnH,INDEX(elecCnH,1,3)*allOnes,OFFSET(tPrcElec,0,24,1,_maxLT))</f>
        <v>13046.202572664231</v>
      </c>
      <c r="AD120" s="13">
        <f ca="1">SUMPRODUCT(dFactor,tpSurvCnH,INDEX(elecCnH,1,3)*allOnes,OFFSET(tPrcElec,0,25,1,_maxLT))</f>
        <v>13128.5873446884</v>
      </c>
      <c r="AE120" s="13">
        <f ca="1">SUMPRODUCT(dFactor,tpSurvCnH,INDEX(elecCnH,1,3)*allOnes,OFFSET(tPrcElec,0,26,1,_maxLT))</f>
        <v>13211.503630949686</v>
      </c>
      <c r="AF120" s="13">
        <f ca="1">SUMPRODUCT(dFactor,tpSurvCnH,INDEX(elecCnH,1,3)*allOnes,OFFSET(tPrcElec,0,27,1,_maxLT))</f>
        <v>13294.954942547865</v>
      </c>
      <c r="AG120" s="13">
        <f ca="1">SUMPRODUCT(dFactor,tpSurvCnH,INDEX(elecCnH,1,3)*allOnes,OFFSET(tPrcElec,0,28,1,_maxLT))</f>
        <v>13378.94481436032</v>
      </c>
      <c r="AH120" s="13">
        <f ca="1">SUMPRODUCT(dFactor,tpSurvCnH,INDEX(elecCnH,1,3)*allOnes,OFFSET(tPrcElec,0,29,1,_maxLT))</f>
        <v>13463.476805207143</v>
      </c>
      <c r="AI120" s="13">
        <f ca="1">SUMPRODUCT(dFactor,tpSurvCnH,INDEX(elecCnH,1,3)*allOnes,OFFSET(tPrcElec,0,30,1,_maxLT))</f>
        <v>13548.554498017342</v>
      </c>
      <c r="AJ120" s="13">
        <f ca="1">SUMPRODUCT(dFactor,tpSurvCnH,INDEX(elecCnH,1,3)*allOnes,OFFSET(tPrcElec,0,31,1,_maxLT))</f>
        <v>13634.181499996348</v>
      </c>
      <c r="AK120" s="13">
        <f ca="1">SUMPRODUCT(dFactor,tpSurvCnH,INDEX(elecCnH,1,3)*allOnes,OFFSET(tPrcElec,0,32,1,_maxLT))</f>
        <v>13720.361442794594</v>
      </c>
      <c r="AL120" s="56">
        <f ca="1">SUMPRODUCT(dFactor,tpSurvCnH,INDEX(elecCnH,1,3)*allOnes,OFFSET(tPrcElec,0,33,1,_maxLT))</f>
        <v>13807.097982677367</v>
      </c>
      <c r="AM120" s="10"/>
    </row>
    <row r="121" spans="2:39">
      <c r="B121" s="10"/>
      <c r="C121" s="16" t="s">
        <v>79</v>
      </c>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5"/>
      <c r="AM121" s="10"/>
    </row>
    <row r="122" spans="2:39">
      <c r="B122" s="10"/>
      <c r="C122" s="28" t="str">
        <f>INDEX(_fuel,1)</f>
        <v>Electricity</v>
      </c>
      <c r="D122" s="12" t="s">
        <v>83</v>
      </c>
      <c r="E122" s="39">
        <f ca="1">SUMPRODUCT(OFFSET(tConvElecCnH,0,0,1,_maxLT),INDEX(elecCnH,1,3)*allOnes,tpSurvCnH)</f>
        <v>1923.1993323375129</v>
      </c>
      <c r="F122" s="39">
        <f ca="1">SUMPRODUCT(OFFSET(tConvElecCnH,0,1,1,_maxLT),INDEX(elecCnH,1,3)*allOnes,tpSurvCnH)</f>
        <v>1905.3604586500567</v>
      </c>
      <c r="G122" s="39">
        <f ca="1">SUMPRODUCT(OFFSET(tConvElecCnH,0,2,1,_maxLT),INDEX(elecCnH,1,3)*allOnes,tpSurvCnH)</f>
        <v>1889.5228863025154</v>
      </c>
      <c r="H122" s="39">
        <f ca="1">SUMPRODUCT(OFFSET(tConvElecCnH,0,3,1,_maxLT),INDEX(elecCnH,1,3)*allOnes,tpSurvCnH)</f>
        <v>1874.3519054558381</v>
      </c>
      <c r="I122" s="39">
        <f ca="1">SUMPRODUCT(OFFSET(tConvElecCnH,0,4,1,_maxLT),INDEX(elecCnH,1,3)*allOnes,tpSurvCnH)</f>
        <v>1860.9839079287126</v>
      </c>
      <c r="J122" s="39">
        <f ca="1">SUMPRODUCT(OFFSET(tConvElecCnH,0,5,1,_maxLT),INDEX(elecCnH,1,3)*allOnes,tpSurvCnH)</f>
        <v>1850.507823199199</v>
      </c>
      <c r="K122" s="39">
        <f ca="1">SUMPRODUCT(OFFSET(tConvElecCnH,0,6,1,_maxLT),INDEX(elecCnH,1,3)*allOnes,tpSurvCnH)</f>
        <v>1841.7088009573006</v>
      </c>
      <c r="L122" s="39">
        <f ca="1">SUMPRODUCT(OFFSET(tConvElecCnH,0,7,1,_maxLT),INDEX(elecCnH,1,3)*allOnes,tpSurvCnH)</f>
        <v>1832.8043978876001</v>
      </c>
      <c r="M122" s="39">
        <f ca="1">SUMPRODUCT(OFFSET(tConvElecCnH,0,8,1,_maxLT),INDEX(elecCnH,1,3)*allOnes,tpSurvCnH)</f>
        <v>1825.5935311585574</v>
      </c>
      <c r="N122" s="39">
        <f ca="1">SUMPRODUCT(OFFSET(tConvElecCnH,0,9,1,_maxLT),INDEX(elecCnH,1,3)*allOnes,tpSurvCnH)</f>
        <v>1820.5159904011559</v>
      </c>
      <c r="O122" s="39">
        <f ca="1">SUMPRODUCT(OFFSET(tConvElecCnH,0,10,1,_maxLT),INDEX(elecCnH,1,3)*allOnes,tpSurvCnH)</f>
        <v>1816.7358916060962</v>
      </c>
      <c r="P122" s="39">
        <f ca="1">SUMPRODUCT(OFFSET(tConvElecCnH,0,11,1,_maxLT),INDEX(elecCnH,1,3)*allOnes,tpSurvCnH)</f>
        <v>1813.5113995114009</v>
      </c>
      <c r="Q122" s="39">
        <f ca="1">SUMPRODUCT(OFFSET(tConvElecCnH,0,12,1,_maxLT),INDEX(elecCnH,1,3)*allOnes,tpSurvCnH)</f>
        <v>1811.0907511257108</v>
      </c>
      <c r="R122" s="39">
        <f ca="1">SUMPRODUCT(OFFSET(tConvElecCnH,0,13,1,_maxLT),INDEX(elecCnH,1,3)*allOnes,tpSurvCnH)</f>
        <v>1809.2116360022228</v>
      </c>
      <c r="S122" s="39">
        <f ca="1">SUMPRODUCT(OFFSET(tConvElecCnH,0,14,1,_maxLT),INDEX(elecCnH,1,3)*allOnes,tpSurvCnH)</f>
        <v>1808.8317743486054</v>
      </c>
      <c r="T122" s="39">
        <f ca="1">SUMPRODUCT(OFFSET(tConvElecCnH,0,15,1,_maxLT),INDEX(elecCnH,1,3)*allOnes,tpSurvCnH)</f>
        <v>1809.1375309593802</v>
      </c>
      <c r="U122" s="39">
        <f ca="1">SUMPRODUCT(OFFSET(tConvElecCnH,0,16,1,_maxLT),INDEX(elecCnH,1,3)*allOnes,tpSurvCnH)</f>
        <v>1809.6728439038827</v>
      </c>
      <c r="V122" s="39">
        <f ca="1">SUMPRODUCT(OFFSET(tConvElecCnH,0,17,1,_maxLT),INDEX(elecCnH,1,3)*allOnes,tpSurvCnH)</f>
        <v>1810.4981880677647</v>
      </c>
      <c r="W122" s="39">
        <f ca="1">SUMPRODUCT(OFFSET(tConvElecCnH,0,18,1,_maxLT),INDEX(elecCnH,1,3)*allOnes,tpSurvCnH)</f>
        <v>1811.29130175398</v>
      </c>
      <c r="X122" s="39">
        <f ca="1">SUMPRODUCT(OFFSET(tConvElecCnH,0,19,1,_maxLT),INDEX(elecCnH,1,3)*allOnes,tpSurvCnH)</f>
        <v>1811.9493526247729</v>
      </c>
      <c r="Y122" s="39">
        <f ca="1">SUMPRODUCT(OFFSET(tConvElecCnH,0,20,1,_maxLT),INDEX(elecCnH,1,3)*allOnes,tpSurvCnH)</f>
        <v>1812.3905306266693</v>
      </c>
      <c r="Z122" s="39">
        <f ca="1">SUMPRODUCT(OFFSET(tConvElecCnH,0,21,1,_maxLT),INDEX(elecCnH,1,3)*allOnes,tpSurvCnH)</f>
        <v>1812.6945978879446</v>
      </c>
      <c r="AA122" s="39">
        <f ca="1">SUMPRODUCT(OFFSET(tConvElecCnH,0,22,1,_maxLT),INDEX(elecCnH,1,3)*allOnes,tpSurvCnH)</f>
        <v>1812.6945978879446</v>
      </c>
      <c r="AB122" s="39">
        <f ca="1">SUMPRODUCT(OFFSET(tConvElecCnH,0,23,1,_maxLT),INDEX(elecCnH,1,3)*allOnes,tpSurvCnH)</f>
        <v>1812.6945978879446</v>
      </c>
      <c r="AC122" s="39">
        <f ca="1">SUMPRODUCT(OFFSET(tConvElecCnH,0,24,1,_maxLT),INDEX(elecCnH,1,3)*allOnes,tpSurvCnH)</f>
        <v>1812.6945978879446</v>
      </c>
      <c r="AD122" s="39">
        <f ca="1">SUMPRODUCT(OFFSET(tConvElecCnH,0,25,1,_maxLT),INDEX(elecCnH,1,3)*allOnes,tpSurvCnH)</f>
        <v>1812.6945978879446</v>
      </c>
      <c r="AE122" s="39">
        <f ca="1">SUMPRODUCT(OFFSET(tConvElecCnH,0,26,1,_maxLT),INDEX(elecCnH,1,3)*allOnes,tpSurvCnH)</f>
        <v>1812.6945978879446</v>
      </c>
      <c r="AF122" s="39">
        <f ca="1">SUMPRODUCT(OFFSET(tConvElecCnH,0,27,1,_maxLT),INDEX(elecCnH,1,3)*allOnes,tpSurvCnH)</f>
        <v>1812.6945978879446</v>
      </c>
      <c r="AG122" s="39">
        <f ca="1">SUMPRODUCT(OFFSET(tConvElecCnH,0,28,1,_maxLT),INDEX(elecCnH,1,3)*allOnes,tpSurvCnH)</f>
        <v>1812.6945978879446</v>
      </c>
      <c r="AH122" s="39">
        <f ca="1">SUMPRODUCT(OFFSET(tConvElecCnH,0,29,1,_maxLT),INDEX(elecCnH,1,3)*allOnes,tpSurvCnH)</f>
        <v>1812.6945978879446</v>
      </c>
      <c r="AI122" s="39">
        <f ca="1">SUMPRODUCT(OFFSET(tConvElecCnH,0,30,1,_maxLT),INDEX(elecCnH,1,3)*allOnes,tpSurvCnH)</f>
        <v>1812.6945978879446</v>
      </c>
      <c r="AJ122" s="39">
        <f ca="1">SUMPRODUCT(OFFSET(tConvElecCnH,0,31,1,_maxLT),INDEX(elecCnH,1,3)*allOnes,tpSurvCnH)</f>
        <v>1812.6945978879446</v>
      </c>
      <c r="AK122" s="39">
        <f ca="1">SUMPRODUCT(OFFSET(tConvElecCnH,0,32,1,_maxLT),INDEX(elecCnH,1,3)*allOnes,tpSurvCnH)</f>
        <v>1812.6945978879446</v>
      </c>
      <c r="AL122" s="40">
        <f ca="1">SUMPRODUCT(OFFSET(tConvElecCnH,0,33,1,_maxLT),INDEX(elecCnH,1,3)*allOnes,tpSurvCnH)</f>
        <v>1812.6945978879446</v>
      </c>
      <c r="AM122" s="10"/>
    </row>
    <row r="123" spans="2:39">
      <c r="B123" s="10"/>
      <c r="C123" s="57" t="str">
        <f>"EL 3: " &amp; INDEX(_doName,3,4)</f>
        <v>EL 3: EL 3</v>
      </c>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3"/>
      <c r="AM123" s="10"/>
    </row>
    <row r="124" spans="2:39">
      <c r="B124" s="10"/>
      <c r="C124" s="16" t="s">
        <v>69</v>
      </c>
      <c r="D124" s="12" t="str">
        <f>_yearDol &amp; "$"</f>
        <v>2015$</v>
      </c>
      <c r="E124" s="13">
        <f t="array" ref="E124:AL124">INDEX(mspCnH,1,4)*tPIdxAll + INDEX(instCnH,1,4) + IF(bESav,SUMPRODUCT(dFactor,tpSurvCnH,INDEX(mrCnH,1,4)*allOnes),0)</f>
        <v>1642.5726172529201</v>
      </c>
      <c r="F124" s="13">
        <v>1642.5726172529201</v>
      </c>
      <c r="G124" s="13">
        <v>1642.5726172529201</v>
      </c>
      <c r="H124" s="13">
        <v>1642.5726172529201</v>
      </c>
      <c r="I124" s="13">
        <v>1642.5726172529201</v>
      </c>
      <c r="J124" s="13">
        <v>1642.5726172529201</v>
      </c>
      <c r="K124" s="13">
        <v>1642.5726172529201</v>
      </c>
      <c r="L124" s="13">
        <v>1642.5726172529201</v>
      </c>
      <c r="M124" s="13">
        <v>1642.5726172529201</v>
      </c>
      <c r="N124" s="13">
        <v>1642.5726172529201</v>
      </c>
      <c r="O124" s="13">
        <v>1642.5726172529201</v>
      </c>
      <c r="P124" s="13">
        <v>1642.5726172529201</v>
      </c>
      <c r="Q124" s="13">
        <v>1642.5726172529201</v>
      </c>
      <c r="R124" s="13">
        <v>1642.5726172529201</v>
      </c>
      <c r="S124" s="13">
        <v>1642.5726172529201</v>
      </c>
      <c r="T124" s="13">
        <v>1642.5726172529201</v>
      </c>
      <c r="U124" s="13">
        <v>1642.5726172529201</v>
      </c>
      <c r="V124" s="13">
        <v>1642.5726172529201</v>
      </c>
      <c r="W124" s="13">
        <v>1642.5726172529201</v>
      </c>
      <c r="X124" s="13">
        <v>1642.5726172529201</v>
      </c>
      <c r="Y124" s="13">
        <v>1642.5726172529201</v>
      </c>
      <c r="Z124" s="13">
        <v>1642.5726172529201</v>
      </c>
      <c r="AA124" s="13">
        <v>1642.5726172529201</v>
      </c>
      <c r="AB124" s="13">
        <v>1642.5726172529201</v>
      </c>
      <c r="AC124" s="13">
        <v>1642.5726172529201</v>
      </c>
      <c r="AD124" s="13">
        <v>1642.5726172529201</v>
      </c>
      <c r="AE124" s="13">
        <v>1642.5726172529201</v>
      </c>
      <c r="AF124" s="13">
        <v>1642.5726172529201</v>
      </c>
      <c r="AG124" s="13">
        <v>1642.5726172529201</v>
      </c>
      <c r="AH124" s="13">
        <v>1642.5726172529201</v>
      </c>
      <c r="AI124" s="13">
        <v>1642.5726172529201</v>
      </c>
      <c r="AJ124" s="13">
        <v>1642.5726172529201</v>
      </c>
      <c r="AK124" s="13">
        <v>1642.5726172529201</v>
      </c>
      <c r="AL124" s="56">
        <v>1642.5726172529201</v>
      </c>
      <c r="AM124" s="10"/>
    </row>
    <row r="125" spans="2:39">
      <c r="B125" s="10"/>
      <c r="C125" s="16" t="str">
        <f>zEO&amp;" Costs"</f>
        <v>Operating Costs</v>
      </c>
      <c r="D125" s="12" t="str">
        <f>_yearDol &amp; "$"</f>
        <v>2015$</v>
      </c>
      <c r="E125" s="13">
        <f t="array" aca="1" ref="E125:AL125" ca="1">(tlccEFuElecbc3) + IF(bOSav,SUMPRODUCT(dFactor,tpSurvCnH,INDEX(mrCnH,1,4)*allOnes),0)</f>
        <v>13744.966983689754</v>
      </c>
      <c r="F125" s="13">
        <f ca="1"/>
        <v>13861.028156286089</v>
      </c>
      <c r="G125" s="13">
        <f ca="1"/>
        <v>13973.038765307545</v>
      </c>
      <c r="H125" s="13">
        <f ca="1"/>
        <v>14072.446204365539</v>
      </c>
      <c r="I125" s="13">
        <f ca="1"/>
        <v>14161.060979315364</v>
      </c>
      <c r="J125" s="13">
        <f ca="1"/>
        <v>14250.245638910228</v>
      </c>
      <c r="K125" s="13">
        <f ca="1"/>
        <v>14340.003934734998</v>
      </c>
      <c r="L125" s="13">
        <f ca="1"/>
        <v>14430.339643690431</v>
      </c>
      <c r="M125" s="13">
        <f ca="1"/>
        <v>14521.256568168341</v>
      </c>
      <c r="N125" s="13">
        <f ca="1"/>
        <v>14612.75853622795</v>
      </c>
      <c r="O125" s="13">
        <f ca="1"/>
        <v>14704.849401773599</v>
      </c>
      <c r="P125" s="13">
        <f ca="1"/>
        <v>14797.533044733571</v>
      </c>
      <c r="Q125" s="13">
        <f ca="1"/>
        <v>14890.813371240351</v>
      </c>
      <c r="R125" s="13">
        <f ca="1"/>
        <v>14984.694313811999</v>
      </c>
      <c r="S125" s="13">
        <f ca="1"/>
        <v>15079.179831534928</v>
      </c>
      <c r="T125" s="13">
        <f ca="1"/>
        <v>15174.273910247932</v>
      </c>
      <c r="U125" s="13">
        <f ca="1"/>
        <v>15269.980562727536</v>
      </c>
      <c r="V125" s="13">
        <f ca="1"/>
        <v>15366.303828874601</v>
      </c>
      <c r="W125" s="13">
        <f ca="1"/>
        <v>15463.247775902375</v>
      </c>
      <c r="X125" s="13">
        <f ca="1"/>
        <v>15560.816498525735</v>
      </c>
      <c r="Y125" s="13">
        <f ca="1"/>
        <v>15659.014119151901</v>
      </c>
      <c r="Z125" s="13">
        <f ca="1"/>
        <v>15757.844788072374</v>
      </c>
      <c r="AA125" s="13">
        <f ca="1"/>
        <v>15857.312683656421</v>
      </c>
      <c r="AB125" s="13">
        <f ca="1"/>
        <v>15957.422012545725</v>
      </c>
      <c r="AC125" s="13">
        <f ca="1"/>
        <v>16058.17700985052</v>
      </c>
      <c r="AD125" s="13">
        <f ca="1"/>
        <v>16159.581939347197</v>
      </c>
      <c r="AE125" s="13">
        <f ca="1"/>
        <v>16261.641093677119</v>
      </c>
      <c r="AF125" s="13">
        <f ca="1"/>
        <v>16364.35879454707</v>
      </c>
      <c r="AG125" s="13">
        <f ca="1"/>
        <v>16467.739392930936</v>
      </c>
      <c r="AH125" s="13">
        <f ca="1"/>
        <v>16571.787269272943</v>
      </c>
      <c r="AI125" s="13">
        <f ca="1"/>
        <v>16676.506833692296</v>
      </c>
      <c r="AJ125" s="13">
        <f ca="1"/>
        <v>16781.902526189253</v>
      </c>
      <c r="AK125" s="13">
        <f ca="1"/>
        <v>16887.978816852759</v>
      </c>
      <c r="AL125" s="56">
        <f ca="1"/>
        <v>16994.740206069415</v>
      </c>
      <c r="AM125" s="10"/>
    </row>
    <row r="126" spans="2:39">
      <c r="B126" s="10"/>
      <c r="C126" s="28" t="str">
        <f>INDEX(_fuel,1)</f>
        <v>Electricity</v>
      </c>
      <c r="D126" s="12" t="str">
        <f>_yearDol &amp; "$"</f>
        <v>2015$</v>
      </c>
      <c r="E126" s="13">
        <f ca="1">SUMPRODUCT(dFactor,tpSurvCnH,INDEX(elecCnH,1,4)*allOnes,OFFSET(tPrcElec,0,0,1,_maxLT))</f>
        <v>13744.966983689754</v>
      </c>
      <c r="F126" s="13">
        <f ca="1">SUMPRODUCT(dFactor,tpSurvCnH,INDEX(elecCnH,1,4)*allOnes,OFFSET(tPrcElec,0,1,1,_maxLT))</f>
        <v>13861.028156286089</v>
      </c>
      <c r="G126" s="13">
        <f ca="1">SUMPRODUCT(dFactor,tpSurvCnH,INDEX(elecCnH,1,4)*allOnes,OFFSET(tPrcElec,0,2,1,_maxLT))</f>
        <v>13973.038765307545</v>
      </c>
      <c r="H126" s="13">
        <f ca="1">SUMPRODUCT(dFactor,tpSurvCnH,INDEX(elecCnH,1,4)*allOnes,OFFSET(tPrcElec,0,3,1,_maxLT))</f>
        <v>14072.446204365539</v>
      </c>
      <c r="I126" s="13">
        <f ca="1">SUMPRODUCT(dFactor,tpSurvCnH,INDEX(elecCnH,1,4)*allOnes,OFFSET(tPrcElec,0,4,1,_maxLT))</f>
        <v>14161.060979315364</v>
      </c>
      <c r="J126" s="13">
        <f ca="1">SUMPRODUCT(dFactor,tpSurvCnH,INDEX(elecCnH,1,4)*allOnes,OFFSET(tPrcElec,0,5,1,_maxLT))</f>
        <v>14250.245638910228</v>
      </c>
      <c r="K126" s="13">
        <f ca="1">SUMPRODUCT(dFactor,tpSurvCnH,INDEX(elecCnH,1,4)*allOnes,OFFSET(tPrcElec,0,6,1,_maxLT))</f>
        <v>14340.003934734998</v>
      </c>
      <c r="L126" s="13">
        <f ca="1">SUMPRODUCT(dFactor,tpSurvCnH,INDEX(elecCnH,1,4)*allOnes,OFFSET(tPrcElec,0,7,1,_maxLT))</f>
        <v>14430.339643690431</v>
      </c>
      <c r="M126" s="13">
        <f ca="1">SUMPRODUCT(dFactor,tpSurvCnH,INDEX(elecCnH,1,4)*allOnes,OFFSET(tPrcElec,0,8,1,_maxLT))</f>
        <v>14521.256568168341</v>
      </c>
      <c r="N126" s="13">
        <f ca="1">SUMPRODUCT(dFactor,tpSurvCnH,INDEX(elecCnH,1,4)*allOnes,OFFSET(tPrcElec,0,9,1,_maxLT))</f>
        <v>14612.75853622795</v>
      </c>
      <c r="O126" s="13">
        <f ca="1">SUMPRODUCT(dFactor,tpSurvCnH,INDEX(elecCnH,1,4)*allOnes,OFFSET(tPrcElec,0,10,1,_maxLT))</f>
        <v>14704.849401773599</v>
      </c>
      <c r="P126" s="13">
        <f ca="1">SUMPRODUCT(dFactor,tpSurvCnH,INDEX(elecCnH,1,4)*allOnes,OFFSET(tPrcElec,0,11,1,_maxLT))</f>
        <v>14797.533044733571</v>
      </c>
      <c r="Q126" s="13">
        <f ca="1">SUMPRODUCT(dFactor,tpSurvCnH,INDEX(elecCnH,1,4)*allOnes,OFFSET(tPrcElec,0,12,1,_maxLT))</f>
        <v>14890.813371240351</v>
      </c>
      <c r="R126" s="13">
        <f ca="1">SUMPRODUCT(dFactor,tpSurvCnH,INDEX(elecCnH,1,4)*allOnes,OFFSET(tPrcElec,0,13,1,_maxLT))</f>
        <v>14984.694313811999</v>
      </c>
      <c r="S126" s="13">
        <f ca="1">SUMPRODUCT(dFactor,tpSurvCnH,INDEX(elecCnH,1,4)*allOnes,OFFSET(tPrcElec,0,14,1,_maxLT))</f>
        <v>15079.179831534928</v>
      </c>
      <c r="T126" s="13">
        <f ca="1">SUMPRODUCT(dFactor,tpSurvCnH,INDEX(elecCnH,1,4)*allOnes,OFFSET(tPrcElec,0,15,1,_maxLT))</f>
        <v>15174.273910247932</v>
      </c>
      <c r="U126" s="13">
        <f ca="1">SUMPRODUCT(dFactor,tpSurvCnH,INDEX(elecCnH,1,4)*allOnes,OFFSET(tPrcElec,0,16,1,_maxLT))</f>
        <v>15269.980562727536</v>
      </c>
      <c r="V126" s="13">
        <f ca="1">SUMPRODUCT(dFactor,tpSurvCnH,INDEX(elecCnH,1,4)*allOnes,OFFSET(tPrcElec,0,17,1,_maxLT))</f>
        <v>15366.303828874601</v>
      </c>
      <c r="W126" s="13">
        <f ca="1">SUMPRODUCT(dFactor,tpSurvCnH,INDEX(elecCnH,1,4)*allOnes,OFFSET(tPrcElec,0,18,1,_maxLT))</f>
        <v>15463.247775902375</v>
      </c>
      <c r="X126" s="13">
        <f ca="1">SUMPRODUCT(dFactor,tpSurvCnH,INDEX(elecCnH,1,4)*allOnes,OFFSET(tPrcElec,0,19,1,_maxLT))</f>
        <v>15560.816498525735</v>
      </c>
      <c r="Y126" s="13">
        <f ca="1">SUMPRODUCT(dFactor,tpSurvCnH,INDEX(elecCnH,1,4)*allOnes,OFFSET(tPrcElec,0,20,1,_maxLT))</f>
        <v>15659.014119151901</v>
      </c>
      <c r="Z126" s="13">
        <f ca="1">SUMPRODUCT(dFactor,tpSurvCnH,INDEX(elecCnH,1,4)*allOnes,OFFSET(tPrcElec,0,21,1,_maxLT))</f>
        <v>15757.844788072374</v>
      </c>
      <c r="AA126" s="13">
        <f ca="1">SUMPRODUCT(dFactor,tpSurvCnH,INDEX(elecCnH,1,4)*allOnes,OFFSET(tPrcElec,0,22,1,_maxLT))</f>
        <v>15857.312683656421</v>
      </c>
      <c r="AB126" s="13">
        <f ca="1">SUMPRODUCT(dFactor,tpSurvCnH,INDEX(elecCnH,1,4)*allOnes,OFFSET(tPrcElec,0,23,1,_maxLT))</f>
        <v>15957.422012545725</v>
      </c>
      <c r="AC126" s="13">
        <f ca="1">SUMPRODUCT(dFactor,tpSurvCnH,INDEX(elecCnH,1,4)*allOnes,OFFSET(tPrcElec,0,24,1,_maxLT))</f>
        <v>16058.17700985052</v>
      </c>
      <c r="AD126" s="13">
        <f ca="1">SUMPRODUCT(dFactor,tpSurvCnH,INDEX(elecCnH,1,4)*allOnes,OFFSET(tPrcElec,0,25,1,_maxLT))</f>
        <v>16159.581939347197</v>
      </c>
      <c r="AE126" s="13">
        <f ca="1">SUMPRODUCT(dFactor,tpSurvCnH,INDEX(elecCnH,1,4)*allOnes,OFFSET(tPrcElec,0,26,1,_maxLT))</f>
        <v>16261.641093677119</v>
      </c>
      <c r="AF126" s="13">
        <f ca="1">SUMPRODUCT(dFactor,tpSurvCnH,INDEX(elecCnH,1,4)*allOnes,OFFSET(tPrcElec,0,27,1,_maxLT))</f>
        <v>16364.35879454707</v>
      </c>
      <c r="AG126" s="13">
        <f ca="1">SUMPRODUCT(dFactor,tpSurvCnH,INDEX(elecCnH,1,4)*allOnes,OFFSET(tPrcElec,0,28,1,_maxLT))</f>
        <v>16467.739392930936</v>
      </c>
      <c r="AH126" s="13">
        <f ca="1">SUMPRODUCT(dFactor,tpSurvCnH,INDEX(elecCnH,1,4)*allOnes,OFFSET(tPrcElec,0,29,1,_maxLT))</f>
        <v>16571.787269272943</v>
      </c>
      <c r="AI126" s="13">
        <f ca="1">SUMPRODUCT(dFactor,tpSurvCnH,INDEX(elecCnH,1,4)*allOnes,OFFSET(tPrcElec,0,30,1,_maxLT))</f>
        <v>16676.506833692296</v>
      </c>
      <c r="AJ126" s="13">
        <f ca="1">SUMPRODUCT(dFactor,tpSurvCnH,INDEX(elecCnH,1,4)*allOnes,OFFSET(tPrcElec,0,31,1,_maxLT))</f>
        <v>16781.902526189253</v>
      </c>
      <c r="AK126" s="13">
        <f ca="1">SUMPRODUCT(dFactor,tpSurvCnH,INDEX(elecCnH,1,4)*allOnes,OFFSET(tPrcElec,0,32,1,_maxLT))</f>
        <v>16887.978816852759</v>
      </c>
      <c r="AL126" s="56">
        <f ca="1">SUMPRODUCT(dFactor,tpSurvCnH,INDEX(elecCnH,1,4)*allOnes,OFFSET(tPrcElec,0,33,1,_maxLT))</f>
        <v>16994.740206069415</v>
      </c>
      <c r="AM126" s="10"/>
    </row>
    <row r="127" spans="2:39">
      <c r="B127" s="10"/>
      <c r="C127" s="16" t="s">
        <v>79</v>
      </c>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5"/>
      <c r="AM127" s="10"/>
    </row>
    <row r="128" spans="2:39">
      <c r="B128" s="10"/>
      <c r="C128" s="28" t="str">
        <f>INDEX(_fuel,1)</f>
        <v>Electricity</v>
      </c>
      <c r="D128" s="12" t="s">
        <v>83</v>
      </c>
      <c r="E128" s="39">
        <f ca="1">SUMPRODUCT(OFFSET(tConvElecCnH,0,0,1,_maxLT),INDEX(elecCnH,1,4)*allOnes,tpSurvCnH)</f>
        <v>2367.208015657488</v>
      </c>
      <c r="F128" s="39">
        <f ca="1">SUMPRODUCT(OFFSET(tConvElecCnH,0,1,1,_maxLT),INDEX(elecCnH,1,4)*allOnes,tpSurvCnH)</f>
        <v>2345.250684416153</v>
      </c>
      <c r="G128" s="39">
        <f ca="1">SUMPRODUCT(OFFSET(tConvElecCnH,0,2,1,_maxLT),INDEX(elecCnH,1,4)*allOnes,tpSurvCnH)</f>
        <v>2325.7566945944704</v>
      </c>
      <c r="H128" s="39">
        <f ca="1">SUMPRODUCT(OFFSET(tConvElecCnH,0,3,1,_maxLT),INDEX(elecCnH,1,4)*allOnes,tpSurvCnH)</f>
        <v>2307.0831921333433</v>
      </c>
      <c r="I128" s="39">
        <f ca="1">SUMPRODUCT(OFFSET(tConvElecCnH,0,4,1,_maxLT),INDEX(elecCnH,1,4)*allOnes,tpSurvCnH)</f>
        <v>2290.6289274258784</v>
      </c>
      <c r="J128" s="39">
        <f ca="1">SUMPRODUCT(OFFSET(tConvElecCnH,0,5,1,_maxLT),INDEX(elecCnH,1,4)*allOnes,tpSurvCnH)</f>
        <v>2277.7342309025239</v>
      </c>
      <c r="K128" s="39">
        <f ca="1">SUMPRODUCT(OFFSET(tConvElecCnH,0,6,1,_maxLT),INDEX(elecCnH,1,4)*allOnes,tpSurvCnH)</f>
        <v>2266.9037799811135</v>
      </c>
      <c r="L128" s="39">
        <f ca="1">SUMPRODUCT(OFFSET(tConvElecCnH,0,7,1,_maxLT),INDEX(elecCnH,1,4)*allOnes,tpSurvCnH)</f>
        <v>2255.9436189791754</v>
      </c>
      <c r="M128" s="39">
        <f ca="1">SUMPRODUCT(OFFSET(tConvElecCnH,0,8,1,_maxLT),INDEX(elecCnH,1,4)*allOnes,tpSurvCnH)</f>
        <v>2247.0679807477077</v>
      </c>
      <c r="N128" s="39">
        <f ca="1">SUMPRODUCT(OFFSET(tConvElecCnH,0,9,1,_maxLT),INDEX(elecCnH,1,4)*allOnes,tpSurvCnH)</f>
        <v>2240.818189070555</v>
      </c>
      <c r="O128" s="39">
        <f ca="1">SUMPRODUCT(OFFSET(tConvElecCnH,0,10,1,_maxLT),INDEX(elecCnH,1,4)*allOnes,tpSurvCnH)</f>
        <v>2236.1653795478073</v>
      </c>
      <c r="P128" s="39">
        <f ca="1">SUMPRODUCT(OFFSET(tConvElecCnH,0,11,1,_maxLT),INDEX(elecCnH,1,4)*allOnes,tpSurvCnH)</f>
        <v>2232.196449544223</v>
      </c>
      <c r="Q128" s="39">
        <f ca="1">SUMPRODUCT(OFFSET(tConvElecCnH,0,12,1,_maxLT),INDEX(elecCnH,1,4)*allOnes,tpSurvCnH)</f>
        <v>2229.2169465019001</v>
      </c>
      <c r="R128" s="39">
        <f ca="1">SUMPRODUCT(OFFSET(tConvElecCnH,0,13,1,_maxLT),INDEX(elecCnH,1,4)*allOnes,tpSurvCnH)</f>
        <v>2226.9040004084459</v>
      </c>
      <c r="S128" s="39">
        <f ca="1">SUMPRODUCT(OFFSET(tConvElecCnH,0,14,1,_maxLT),INDEX(elecCnH,1,4)*allOnes,tpSurvCnH)</f>
        <v>2226.4364401633043</v>
      </c>
      <c r="T128" s="39">
        <f ca="1">SUMPRODUCT(OFFSET(tConvElecCnH,0,15,1,_maxLT),INDEX(elecCnH,1,4)*allOnes,tpSurvCnH)</f>
        <v>2226.8127867477147</v>
      </c>
      <c r="U128" s="39">
        <f ca="1">SUMPRODUCT(OFFSET(tConvElecCnH,0,16,1,_maxLT),INDEX(elecCnH,1,4)*allOnes,tpSurvCnH)</f>
        <v>2227.4716872952581</v>
      </c>
      <c r="V128" s="39">
        <f ca="1">SUMPRODUCT(OFFSET(tConvElecCnH,0,17,1,_maxLT),INDEX(elecCnH,1,4)*allOnes,tpSurvCnH)</f>
        <v>2228.4875785175386</v>
      </c>
      <c r="W128" s="39">
        <f ca="1">SUMPRODUCT(OFFSET(tConvElecCnH,0,18,1,_maxLT),INDEX(elecCnH,1,4)*allOnes,tpSurvCnH)</f>
        <v>2229.4637982175805</v>
      </c>
      <c r="X128" s="39">
        <f ca="1">SUMPRODUCT(OFFSET(tConvElecCnH,0,19,1,_maxLT),INDEX(elecCnH,1,4)*allOnes,tpSurvCnH)</f>
        <v>2230.2737731743414</v>
      </c>
      <c r="Y128" s="39">
        <f ca="1">SUMPRODUCT(OFFSET(tConvElecCnH,0,20,1,_maxLT),INDEX(elecCnH,1,4)*allOnes,tpSurvCnH)</f>
        <v>2230.8168058620408</v>
      </c>
      <c r="Z128" s="39">
        <f ca="1">SUMPRODUCT(OFFSET(tConvElecCnH,0,21,1,_maxLT),INDEX(elecCnH,1,4)*allOnes,tpSurvCnH)</f>
        <v>2231.1910730771374</v>
      </c>
      <c r="AA128" s="39">
        <f ca="1">SUMPRODUCT(OFFSET(tConvElecCnH,0,22,1,_maxLT),INDEX(elecCnH,1,4)*allOnes,tpSurvCnH)</f>
        <v>2231.1910730771374</v>
      </c>
      <c r="AB128" s="39">
        <f ca="1">SUMPRODUCT(OFFSET(tConvElecCnH,0,23,1,_maxLT),INDEX(elecCnH,1,4)*allOnes,tpSurvCnH)</f>
        <v>2231.1910730771374</v>
      </c>
      <c r="AC128" s="39">
        <f ca="1">SUMPRODUCT(OFFSET(tConvElecCnH,0,24,1,_maxLT),INDEX(elecCnH,1,4)*allOnes,tpSurvCnH)</f>
        <v>2231.1910730771374</v>
      </c>
      <c r="AD128" s="39">
        <f ca="1">SUMPRODUCT(OFFSET(tConvElecCnH,0,25,1,_maxLT),INDEX(elecCnH,1,4)*allOnes,tpSurvCnH)</f>
        <v>2231.1910730771374</v>
      </c>
      <c r="AE128" s="39">
        <f ca="1">SUMPRODUCT(OFFSET(tConvElecCnH,0,26,1,_maxLT),INDEX(elecCnH,1,4)*allOnes,tpSurvCnH)</f>
        <v>2231.1910730771374</v>
      </c>
      <c r="AF128" s="39">
        <f ca="1">SUMPRODUCT(OFFSET(tConvElecCnH,0,27,1,_maxLT),INDEX(elecCnH,1,4)*allOnes,tpSurvCnH)</f>
        <v>2231.1910730771374</v>
      </c>
      <c r="AG128" s="39">
        <f ca="1">SUMPRODUCT(OFFSET(tConvElecCnH,0,28,1,_maxLT),INDEX(elecCnH,1,4)*allOnes,tpSurvCnH)</f>
        <v>2231.1910730771374</v>
      </c>
      <c r="AH128" s="39">
        <f ca="1">SUMPRODUCT(OFFSET(tConvElecCnH,0,29,1,_maxLT),INDEX(elecCnH,1,4)*allOnes,tpSurvCnH)</f>
        <v>2231.1910730771374</v>
      </c>
      <c r="AI128" s="39">
        <f ca="1">SUMPRODUCT(OFFSET(tConvElecCnH,0,30,1,_maxLT),INDEX(elecCnH,1,4)*allOnes,tpSurvCnH)</f>
        <v>2231.1910730771374</v>
      </c>
      <c r="AJ128" s="39">
        <f ca="1">SUMPRODUCT(OFFSET(tConvElecCnH,0,31,1,_maxLT),INDEX(elecCnH,1,4)*allOnes,tpSurvCnH)</f>
        <v>2231.1910730771374</v>
      </c>
      <c r="AK128" s="39">
        <f ca="1">SUMPRODUCT(OFFSET(tConvElecCnH,0,32,1,_maxLT),INDEX(elecCnH,1,4)*allOnes,tpSurvCnH)</f>
        <v>2231.1910730771374</v>
      </c>
      <c r="AL128" s="40">
        <f ca="1">SUMPRODUCT(OFFSET(tConvElecCnH,0,33,1,_maxLT),INDEX(elecCnH,1,4)*allOnes,tpSurvCnH)</f>
        <v>2231.1910730771374</v>
      </c>
      <c r="AM128" s="10"/>
    </row>
    <row r="129" spans="2:39">
      <c r="B129" s="10"/>
      <c r="C129" s="57" t="str">
        <f>"EL 4: " &amp; INDEX(_doName,3,5)</f>
        <v>EL 4: EL 4</v>
      </c>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3"/>
      <c r="AM129" s="10"/>
    </row>
    <row r="130" spans="2:39">
      <c r="B130" s="10"/>
      <c r="C130" s="16" t="s">
        <v>69</v>
      </c>
      <c r="D130" s="12" t="str">
        <f>_yearDol &amp; "$"</f>
        <v>2015$</v>
      </c>
      <c r="E130" s="13">
        <f t="array" ref="E130:AL130">INDEX(mspCnH,1,5)*tPIdxAll + INDEX(instCnH,1,5) + IF(bESav,SUMPRODUCT(dFactor,tpSurvCnH,INDEX(mrCnH,1,5)*allOnes),0)</f>
        <v>1956.1763667180101</v>
      </c>
      <c r="F130" s="13">
        <v>1956.1763667180101</v>
      </c>
      <c r="G130" s="13">
        <v>1956.1763667180101</v>
      </c>
      <c r="H130" s="13">
        <v>1956.1763667180101</v>
      </c>
      <c r="I130" s="13">
        <v>1956.1763667180101</v>
      </c>
      <c r="J130" s="13">
        <v>1956.1763667180101</v>
      </c>
      <c r="K130" s="13">
        <v>1956.1763667180101</v>
      </c>
      <c r="L130" s="13">
        <v>1956.1763667180101</v>
      </c>
      <c r="M130" s="13">
        <v>1956.1763667180101</v>
      </c>
      <c r="N130" s="13">
        <v>1956.1763667180101</v>
      </c>
      <c r="O130" s="13">
        <v>1956.1763667180101</v>
      </c>
      <c r="P130" s="13">
        <v>1956.1763667180101</v>
      </c>
      <c r="Q130" s="13">
        <v>1956.1763667180101</v>
      </c>
      <c r="R130" s="13">
        <v>1956.1763667180101</v>
      </c>
      <c r="S130" s="13">
        <v>1956.1763667180101</v>
      </c>
      <c r="T130" s="13">
        <v>1956.1763667180101</v>
      </c>
      <c r="U130" s="13">
        <v>1956.1763667180101</v>
      </c>
      <c r="V130" s="13">
        <v>1956.1763667180101</v>
      </c>
      <c r="W130" s="13">
        <v>1956.1763667180101</v>
      </c>
      <c r="X130" s="13">
        <v>1956.1763667180101</v>
      </c>
      <c r="Y130" s="13">
        <v>1956.1763667180101</v>
      </c>
      <c r="Z130" s="13">
        <v>1956.1763667180101</v>
      </c>
      <c r="AA130" s="13">
        <v>1956.1763667180101</v>
      </c>
      <c r="AB130" s="13">
        <v>1956.1763667180101</v>
      </c>
      <c r="AC130" s="13">
        <v>1956.1763667180101</v>
      </c>
      <c r="AD130" s="13">
        <v>1956.1763667180101</v>
      </c>
      <c r="AE130" s="13">
        <v>1956.1763667180101</v>
      </c>
      <c r="AF130" s="13">
        <v>1956.1763667180101</v>
      </c>
      <c r="AG130" s="13">
        <v>1956.1763667180101</v>
      </c>
      <c r="AH130" s="13">
        <v>1956.1763667180101</v>
      </c>
      <c r="AI130" s="13">
        <v>1956.1763667180101</v>
      </c>
      <c r="AJ130" s="13">
        <v>1956.1763667180101</v>
      </c>
      <c r="AK130" s="13">
        <v>1956.1763667180101</v>
      </c>
      <c r="AL130" s="56">
        <v>1956.1763667180101</v>
      </c>
      <c r="AM130" s="10"/>
    </row>
    <row r="131" spans="2:39">
      <c r="B131" s="10"/>
      <c r="C131" s="16" t="str">
        <f>zEO&amp;" Costs"</f>
        <v>Operating Costs</v>
      </c>
      <c r="D131" s="12" t="str">
        <f>_yearDol &amp; "$"</f>
        <v>2015$</v>
      </c>
      <c r="E131" s="13">
        <f t="array" aca="1" ref="E131:AL131" ca="1">(tlccEFuElecbc4) + IF(bOSav,SUMPRODUCT(dFactor,tpSurvCnH,INDEX(mrCnH,1,5)*allOnes),0)</f>
        <v>17451.77293660117</v>
      </c>
      <c r="F131" s="13">
        <f ca="1"/>
        <v>17599.134020357153</v>
      </c>
      <c r="G131" s="13">
        <f ca="1"/>
        <v>17741.352165911983</v>
      </c>
      <c r="H131" s="13">
        <f ca="1"/>
        <v>17867.568260625631</v>
      </c>
      <c r="I131" s="13">
        <f ca="1"/>
        <v>17980.081075904654</v>
      </c>
      <c r="J131" s="13">
        <f ca="1"/>
        <v>18093.317464942505</v>
      </c>
      <c r="K131" s="13">
        <f ca="1"/>
        <v>18207.282191068731</v>
      </c>
      <c r="L131" s="13">
        <f ca="1"/>
        <v>18321.980049756065</v>
      </c>
      <c r="M131" s="13">
        <f ca="1"/>
        <v>18437.415868842814</v>
      </c>
      <c r="N131" s="13">
        <f ca="1"/>
        <v>18553.594508756862</v>
      </c>
      <c r="O131" s="13">
        <f ca="1"/>
        <v>18670.520862741181</v>
      </c>
      <c r="P131" s="13">
        <f ca="1"/>
        <v>18788.199857080985</v>
      </c>
      <c r="Q131" s="13">
        <f ca="1"/>
        <v>18906.636451332539</v>
      </c>
      <c r="R131" s="13">
        <f ca="1"/>
        <v>19025.835638553479</v>
      </c>
      <c r="S131" s="13">
        <f ca="1"/>
        <v>19145.80244553486</v>
      </c>
      <c r="T131" s="13">
        <f ca="1"/>
        <v>19266.541933034838</v>
      </c>
      <c r="U131" s="13">
        <f ca="1"/>
        <v>19388.059196013946</v>
      </c>
      <c r="V131" s="13">
        <f ca="1"/>
        <v>19510.359363872129</v>
      </c>
      <c r="W131" s="13">
        <f ca="1"/>
        <v>19633.447600687396</v>
      </c>
      <c r="X131" s="13">
        <f ca="1"/>
        <v>19757.329105456203</v>
      </c>
      <c r="Y131" s="13">
        <f ca="1"/>
        <v>19882.009112335505</v>
      </c>
      <c r="Z131" s="13">
        <f ca="1"/>
        <v>20007.492890886548</v>
      </c>
      <c r="AA131" s="13">
        <f ca="1"/>
        <v>20133.78574632042</v>
      </c>
      <c r="AB131" s="13">
        <f ca="1"/>
        <v>20260.893019745268</v>
      </c>
      <c r="AC131" s="13">
        <f ca="1"/>
        <v>20388.820088415403</v>
      </c>
      <c r="AD131" s="13">
        <f ca="1"/>
        <v>20517.572365982021</v>
      </c>
      <c r="AE131" s="13">
        <f ca="1"/>
        <v>20647.155302745781</v>
      </c>
      <c r="AF131" s="13">
        <f ca="1"/>
        <v>20777.57438591123</v>
      </c>
      <c r="AG131" s="13">
        <f ca="1"/>
        <v>20908.8351398429</v>
      </c>
      <c r="AH131" s="13">
        <f ca="1"/>
        <v>21040.943126323393</v>
      </c>
      <c r="AI131" s="13">
        <f ca="1"/>
        <v>21173.903944813177</v>
      </c>
      <c r="AJ131" s="13">
        <f ca="1"/>
        <v>21307.7232327122</v>
      </c>
      <c r="AK131" s="13">
        <f ca="1"/>
        <v>21442.406665623552</v>
      </c>
      <c r="AL131" s="56">
        <f ca="1"/>
        <v>21577.95995761879</v>
      </c>
      <c r="AM131" s="10"/>
    </row>
    <row r="132" spans="2:39">
      <c r="B132" s="10"/>
      <c r="C132" s="28" t="str">
        <f>INDEX(_fuel,1)</f>
        <v>Electricity</v>
      </c>
      <c r="D132" s="12" t="str">
        <f>_yearDol &amp; "$"</f>
        <v>2015$</v>
      </c>
      <c r="E132" s="13">
        <f ca="1">SUMPRODUCT(dFactor,tpSurvCnH,INDEX(elecCnH,1,5)*allOnes,OFFSET(tPrcElec,0,0,1,_maxLT))</f>
        <v>17451.77293660117</v>
      </c>
      <c r="F132" s="13">
        <f ca="1">SUMPRODUCT(dFactor,tpSurvCnH,INDEX(elecCnH,1,5)*allOnes,OFFSET(tPrcElec,0,1,1,_maxLT))</f>
        <v>17599.134020357153</v>
      </c>
      <c r="G132" s="13">
        <f ca="1">SUMPRODUCT(dFactor,tpSurvCnH,INDEX(elecCnH,1,5)*allOnes,OFFSET(tPrcElec,0,2,1,_maxLT))</f>
        <v>17741.352165911983</v>
      </c>
      <c r="H132" s="13">
        <f ca="1">SUMPRODUCT(dFactor,tpSurvCnH,INDEX(elecCnH,1,5)*allOnes,OFFSET(tPrcElec,0,3,1,_maxLT))</f>
        <v>17867.568260625631</v>
      </c>
      <c r="I132" s="13">
        <f ca="1">SUMPRODUCT(dFactor,tpSurvCnH,INDEX(elecCnH,1,5)*allOnes,OFFSET(tPrcElec,0,4,1,_maxLT))</f>
        <v>17980.081075904654</v>
      </c>
      <c r="J132" s="13">
        <f ca="1">SUMPRODUCT(dFactor,tpSurvCnH,INDEX(elecCnH,1,5)*allOnes,OFFSET(tPrcElec,0,5,1,_maxLT))</f>
        <v>18093.317464942505</v>
      </c>
      <c r="K132" s="13">
        <f ca="1">SUMPRODUCT(dFactor,tpSurvCnH,INDEX(elecCnH,1,5)*allOnes,OFFSET(tPrcElec,0,6,1,_maxLT))</f>
        <v>18207.282191068731</v>
      </c>
      <c r="L132" s="13">
        <f ca="1">SUMPRODUCT(dFactor,tpSurvCnH,INDEX(elecCnH,1,5)*allOnes,OFFSET(tPrcElec,0,7,1,_maxLT))</f>
        <v>18321.980049756065</v>
      </c>
      <c r="M132" s="13">
        <f ca="1">SUMPRODUCT(dFactor,tpSurvCnH,INDEX(elecCnH,1,5)*allOnes,OFFSET(tPrcElec,0,8,1,_maxLT))</f>
        <v>18437.415868842814</v>
      </c>
      <c r="N132" s="13">
        <f ca="1">SUMPRODUCT(dFactor,tpSurvCnH,INDEX(elecCnH,1,5)*allOnes,OFFSET(tPrcElec,0,9,1,_maxLT))</f>
        <v>18553.594508756862</v>
      </c>
      <c r="O132" s="13">
        <f ca="1">SUMPRODUCT(dFactor,tpSurvCnH,INDEX(elecCnH,1,5)*allOnes,OFFSET(tPrcElec,0,10,1,_maxLT))</f>
        <v>18670.520862741181</v>
      </c>
      <c r="P132" s="13">
        <f ca="1">SUMPRODUCT(dFactor,tpSurvCnH,INDEX(elecCnH,1,5)*allOnes,OFFSET(tPrcElec,0,11,1,_maxLT))</f>
        <v>18788.199857080985</v>
      </c>
      <c r="Q132" s="13">
        <f ca="1">SUMPRODUCT(dFactor,tpSurvCnH,INDEX(elecCnH,1,5)*allOnes,OFFSET(tPrcElec,0,12,1,_maxLT))</f>
        <v>18906.636451332539</v>
      </c>
      <c r="R132" s="13">
        <f ca="1">SUMPRODUCT(dFactor,tpSurvCnH,INDEX(elecCnH,1,5)*allOnes,OFFSET(tPrcElec,0,13,1,_maxLT))</f>
        <v>19025.835638553479</v>
      </c>
      <c r="S132" s="13">
        <f ca="1">SUMPRODUCT(dFactor,tpSurvCnH,INDEX(elecCnH,1,5)*allOnes,OFFSET(tPrcElec,0,14,1,_maxLT))</f>
        <v>19145.80244553486</v>
      </c>
      <c r="T132" s="13">
        <f ca="1">SUMPRODUCT(dFactor,tpSurvCnH,INDEX(elecCnH,1,5)*allOnes,OFFSET(tPrcElec,0,15,1,_maxLT))</f>
        <v>19266.541933034838</v>
      </c>
      <c r="U132" s="13">
        <f ca="1">SUMPRODUCT(dFactor,tpSurvCnH,INDEX(elecCnH,1,5)*allOnes,OFFSET(tPrcElec,0,16,1,_maxLT))</f>
        <v>19388.059196013946</v>
      </c>
      <c r="V132" s="13">
        <f ca="1">SUMPRODUCT(dFactor,tpSurvCnH,INDEX(elecCnH,1,5)*allOnes,OFFSET(tPrcElec,0,17,1,_maxLT))</f>
        <v>19510.359363872129</v>
      </c>
      <c r="W132" s="13">
        <f ca="1">SUMPRODUCT(dFactor,tpSurvCnH,INDEX(elecCnH,1,5)*allOnes,OFFSET(tPrcElec,0,18,1,_maxLT))</f>
        <v>19633.447600687396</v>
      </c>
      <c r="X132" s="13">
        <f ca="1">SUMPRODUCT(dFactor,tpSurvCnH,INDEX(elecCnH,1,5)*allOnes,OFFSET(tPrcElec,0,19,1,_maxLT))</f>
        <v>19757.329105456203</v>
      </c>
      <c r="Y132" s="13">
        <f ca="1">SUMPRODUCT(dFactor,tpSurvCnH,INDEX(elecCnH,1,5)*allOnes,OFFSET(tPrcElec,0,20,1,_maxLT))</f>
        <v>19882.009112335505</v>
      </c>
      <c r="Z132" s="13">
        <f ca="1">SUMPRODUCT(dFactor,tpSurvCnH,INDEX(elecCnH,1,5)*allOnes,OFFSET(tPrcElec,0,21,1,_maxLT))</f>
        <v>20007.492890886548</v>
      </c>
      <c r="AA132" s="13">
        <f ca="1">SUMPRODUCT(dFactor,tpSurvCnH,INDEX(elecCnH,1,5)*allOnes,OFFSET(tPrcElec,0,22,1,_maxLT))</f>
        <v>20133.78574632042</v>
      </c>
      <c r="AB132" s="13">
        <f ca="1">SUMPRODUCT(dFactor,tpSurvCnH,INDEX(elecCnH,1,5)*allOnes,OFFSET(tPrcElec,0,23,1,_maxLT))</f>
        <v>20260.893019745268</v>
      </c>
      <c r="AC132" s="13">
        <f ca="1">SUMPRODUCT(dFactor,tpSurvCnH,INDEX(elecCnH,1,5)*allOnes,OFFSET(tPrcElec,0,24,1,_maxLT))</f>
        <v>20388.820088415403</v>
      </c>
      <c r="AD132" s="13">
        <f ca="1">SUMPRODUCT(dFactor,tpSurvCnH,INDEX(elecCnH,1,5)*allOnes,OFFSET(tPrcElec,0,25,1,_maxLT))</f>
        <v>20517.572365982021</v>
      </c>
      <c r="AE132" s="13">
        <f ca="1">SUMPRODUCT(dFactor,tpSurvCnH,INDEX(elecCnH,1,5)*allOnes,OFFSET(tPrcElec,0,26,1,_maxLT))</f>
        <v>20647.155302745781</v>
      </c>
      <c r="AF132" s="13">
        <f ca="1">SUMPRODUCT(dFactor,tpSurvCnH,INDEX(elecCnH,1,5)*allOnes,OFFSET(tPrcElec,0,27,1,_maxLT))</f>
        <v>20777.57438591123</v>
      </c>
      <c r="AG132" s="13">
        <f ca="1">SUMPRODUCT(dFactor,tpSurvCnH,INDEX(elecCnH,1,5)*allOnes,OFFSET(tPrcElec,0,28,1,_maxLT))</f>
        <v>20908.8351398429</v>
      </c>
      <c r="AH132" s="13">
        <f ca="1">SUMPRODUCT(dFactor,tpSurvCnH,INDEX(elecCnH,1,5)*allOnes,OFFSET(tPrcElec,0,29,1,_maxLT))</f>
        <v>21040.943126323393</v>
      </c>
      <c r="AI132" s="13">
        <f ca="1">SUMPRODUCT(dFactor,tpSurvCnH,INDEX(elecCnH,1,5)*allOnes,OFFSET(tPrcElec,0,30,1,_maxLT))</f>
        <v>21173.903944813177</v>
      </c>
      <c r="AJ132" s="13">
        <f ca="1">SUMPRODUCT(dFactor,tpSurvCnH,INDEX(elecCnH,1,5)*allOnes,OFFSET(tPrcElec,0,31,1,_maxLT))</f>
        <v>21307.7232327122</v>
      </c>
      <c r="AK132" s="13">
        <f ca="1">SUMPRODUCT(dFactor,tpSurvCnH,INDEX(elecCnH,1,5)*allOnes,OFFSET(tPrcElec,0,32,1,_maxLT))</f>
        <v>21442.406665623552</v>
      </c>
      <c r="AL132" s="56">
        <f ca="1">SUMPRODUCT(dFactor,tpSurvCnH,INDEX(elecCnH,1,5)*allOnes,OFFSET(tPrcElec,0,33,1,_maxLT))</f>
        <v>21577.95995761879</v>
      </c>
      <c r="AM132" s="10"/>
    </row>
    <row r="133" spans="2:39">
      <c r="B133" s="10"/>
      <c r="C133" s="16" t="s">
        <v>79</v>
      </c>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5"/>
      <c r="AM133" s="10"/>
    </row>
    <row r="134" spans="2:39">
      <c r="B134" s="10"/>
      <c r="C134" s="28" t="str">
        <f>INDEX(_fuel,1)</f>
        <v>Electricity</v>
      </c>
      <c r="D134" s="12" t="s">
        <v>83</v>
      </c>
      <c r="E134" s="39">
        <f ca="1">SUMPRODUCT(OFFSET(tConvElecCnH,0,0,1,_maxLT),INDEX(elecCnH,1,5)*allOnes,tpSurvCnH)</f>
        <v>3005.6075676266705</v>
      </c>
      <c r="F134" s="39">
        <f ca="1">SUMPRODUCT(OFFSET(tConvElecCnH,0,1,1,_maxLT),INDEX(elecCnH,1,5)*allOnes,tpSurvCnH)</f>
        <v>2977.7286822446822</v>
      </c>
      <c r="G134" s="39">
        <f ca="1">SUMPRODUCT(OFFSET(tConvElecCnH,0,2,1,_maxLT),INDEX(elecCnH,1,5)*allOnes,tpSurvCnH)</f>
        <v>2952.9774635331255</v>
      </c>
      <c r="H134" s="39">
        <f ca="1">SUMPRODUCT(OFFSET(tConvElecCnH,0,3,1,_maxLT),INDEX(elecCnH,1,5)*allOnes,tpSurvCnH)</f>
        <v>2929.2680049895475</v>
      </c>
      <c r="I134" s="39">
        <f ca="1">SUMPRODUCT(OFFSET(tConvElecCnH,0,4,1,_maxLT),INDEX(elecCnH,1,5)*allOnes,tpSurvCnH)</f>
        <v>2908.3762784503601</v>
      </c>
      <c r="J134" s="39">
        <f ca="1">SUMPRODUCT(OFFSET(tConvElecCnH,0,5,1,_maxLT),INDEX(elecCnH,1,5)*allOnes,tpSurvCnH)</f>
        <v>2892.0040808249305</v>
      </c>
      <c r="K134" s="39">
        <f ca="1">SUMPRODUCT(OFFSET(tConvElecCnH,0,6,1,_maxLT),INDEX(elecCnH,1,5)*allOnes,tpSurvCnH)</f>
        <v>2878.2528240553984</v>
      </c>
      <c r="L134" s="39">
        <f ca="1">SUMPRODUCT(OFFSET(tConvElecCnH,0,7,1,_maxLT),INDEX(elecCnH,1,5)*allOnes,tpSurvCnH)</f>
        <v>2864.3368763938734</v>
      </c>
      <c r="M134" s="39">
        <f ca="1">SUMPRODUCT(OFFSET(tConvElecCnH,0,8,1,_maxLT),INDEX(elecCnH,1,5)*allOnes,tpSurvCnH)</f>
        <v>2853.0676151968996</v>
      </c>
      <c r="N134" s="39">
        <f ca="1">SUMPRODUCT(OFFSET(tConvElecCnH,0,9,1,_maxLT),INDEX(elecCnH,1,5)*allOnes,tpSurvCnH)</f>
        <v>2845.1323509376139</v>
      </c>
      <c r="O134" s="39">
        <f ca="1">SUMPRODUCT(OFFSET(tConvElecCnH,0,10,1,_maxLT),INDEX(elecCnH,1,5)*allOnes,tpSurvCnH)</f>
        <v>2839.2247503297258</v>
      </c>
      <c r="P134" s="39">
        <f ca="1">SUMPRODUCT(OFFSET(tConvElecCnH,0,11,1,_maxLT),INDEX(elecCnH,1,5)*allOnes,tpSurvCnH)</f>
        <v>2834.1854610170626</v>
      </c>
      <c r="Q134" s="39">
        <f ca="1">SUMPRODUCT(OFFSET(tConvElecCnH,0,12,1,_maxLT),INDEX(elecCnH,1,5)*allOnes,tpSurvCnH)</f>
        <v>2830.4024318820898</v>
      </c>
      <c r="R134" s="39">
        <f ca="1">SUMPRODUCT(OFFSET(tConvElecCnH,0,13,1,_maxLT),INDEX(elecCnH,1,5)*allOnes,tpSurvCnH)</f>
        <v>2827.4657198415689</v>
      </c>
      <c r="S134" s="39">
        <f ca="1">SUMPRODUCT(OFFSET(tConvElecCnH,0,14,1,_maxLT),INDEX(elecCnH,1,5)*allOnes,tpSurvCnH)</f>
        <v>2826.8720657977233</v>
      </c>
      <c r="T134" s="39">
        <f ca="1">SUMPRODUCT(OFFSET(tConvElecCnH,0,15,1,_maxLT),INDEX(elecCnH,1,5)*allOnes,tpSurvCnH)</f>
        <v>2827.3499072610311</v>
      </c>
      <c r="U134" s="39">
        <f ca="1">SUMPRODUCT(OFFSET(tConvElecCnH,0,16,1,_maxLT),INDEX(elecCnH,1,5)*allOnes,tpSurvCnH)</f>
        <v>2828.1865031406114</v>
      </c>
      <c r="V134" s="39">
        <f ca="1">SUMPRODUCT(OFFSET(tConvElecCnH,0,17,1,_maxLT),INDEX(elecCnH,1,5)*allOnes,tpSurvCnH)</f>
        <v>2829.4763645830262</v>
      </c>
      <c r="W134" s="39">
        <f ca="1">SUMPRODUCT(OFFSET(tConvElecCnH,0,18,1,_maxLT),INDEX(elecCnH,1,5)*allOnes,tpSurvCnH)</f>
        <v>2830.7158557045104</v>
      </c>
      <c r="X134" s="39">
        <f ca="1">SUMPRODUCT(OFFSET(tConvElecCnH,0,19,1,_maxLT),INDEX(elecCnH,1,5)*allOnes,tpSurvCnH)</f>
        <v>2831.7442684352568</v>
      </c>
      <c r="Y134" s="39">
        <f ca="1">SUMPRODUCT(OFFSET(tConvElecCnH,0,20,1,_maxLT),INDEX(elecCnH,1,5)*allOnes,tpSurvCnH)</f>
        <v>2832.4337486773065</v>
      </c>
      <c r="Z134" s="39">
        <f ca="1">SUMPRODUCT(OFFSET(tConvElecCnH,0,21,1,_maxLT),INDEX(elecCnH,1,5)*allOnes,tpSurvCnH)</f>
        <v>2832.9089499974139</v>
      </c>
      <c r="AA134" s="39">
        <f ca="1">SUMPRODUCT(OFFSET(tConvElecCnH,0,22,1,_maxLT),INDEX(elecCnH,1,5)*allOnes,tpSurvCnH)</f>
        <v>2832.9089499974139</v>
      </c>
      <c r="AB134" s="39">
        <f ca="1">SUMPRODUCT(OFFSET(tConvElecCnH,0,23,1,_maxLT),INDEX(elecCnH,1,5)*allOnes,tpSurvCnH)</f>
        <v>2832.9089499974139</v>
      </c>
      <c r="AC134" s="39">
        <f ca="1">SUMPRODUCT(OFFSET(tConvElecCnH,0,24,1,_maxLT),INDEX(elecCnH,1,5)*allOnes,tpSurvCnH)</f>
        <v>2832.9089499974139</v>
      </c>
      <c r="AD134" s="39">
        <f ca="1">SUMPRODUCT(OFFSET(tConvElecCnH,0,25,1,_maxLT),INDEX(elecCnH,1,5)*allOnes,tpSurvCnH)</f>
        <v>2832.9089499974139</v>
      </c>
      <c r="AE134" s="39">
        <f ca="1">SUMPRODUCT(OFFSET(tConvElecCnH,0,26,1,_maxLT),INDEX(elecCnH,1,5)*allOnes,tpSurvCnH)</f>
        <v>2832.9089499974139</v>
      </c>
      <c r="AF134" s="39">
        <f ca="1">SUMPRODUCT(OFFSET(tConvElecCnH,0,27,1,_maxLT),INDEX(elecCnH,1,5)*allOnes,tpSurvCnH)</f>
        <v>2832.9089499974139</v>
      </c>
      <c r="AG134" s="39">
        <f ca="1">SUMPRODUCT(OFFSET(tConvElecCnH,0,28,1,_maxLT),INDEX(elecCnH,1,5)*allOnes,tpSurvCnH)</f>
        <v>2832.9089499974139</v>
      </c>
      <c r="AH134" s="39">
        <f ca="1">SUMPRODUCT(OFFSET(tConvElecCnH,0,29,1,_maxLT),INDEX(elecCnH,1,5)*allOnes,tpSurvCnH)</f>
        <v>2832.9089499974139</v>
      </c>
      <c r="AI134" s="39">
        <f ca="1">SUMPRODUCT(OFFSET(tConvElecCnH,0,30,1,_maxLT),INDEX(elecCnH,1,5)*allOnes,tpSurvCnH)</f>
        <v>2832.9089499974139</v>
      </c>
      <c r="AJ134" s="39">
        <f ca="1">SUMPRODUCT(OFFSET(tConvElecCnH,0,31,1,_maxLT),INDEX(elecCnH,1,5)*allOnes,tpSurvCnH)</f>
        <v>2832.9089499974139</v>
      </c>
      <c r="AK134" s="39">
        <f ca="1">SUMPRODUCT(OFFSET(tConvElecCnH,0,32,1,_maxLT),INDEX(elecCnH,1,5)*allOnes,tpSurvCnH)</f>
        <v>2832.9089499974139</v>
      </c>
      <c r="AL134" s="40">
        <f ca="1">SUMPRODUCT(OFFSET(tConvElecCnH,0,33,1,_maxLT),INDEX(elecCnH,1,5)*allOnes,tpSurvCnH)</f>
        <v>2832.9089499974139</v>
      </c>
      <c r="AM134" s="10"/>
    </row>
    <row r="135" spans="2:39">
      <c r="B135" s="10"/>
      <c r="C135" s="57" t="str">
        <f>"EL 5: " &amp; INDEX(_doName,3,6)</f>
        <v>EL 5: EL 5</v>
      </c>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3"/>
      <c r="AM135" s="10"/>
    </row>
    <row r="136" spans="2:39">
      <c r="B136" s="10"/>
      <c r="C136" s="16" t="s">
        <v>69</v>
      </c>
      <c r="D136" s="12" t="str">
        <f>_yearDol &amp; "$"</f>
        <v>2015$</v>
      </c>
      <c r="E136" s="13">
        <f t="array" ref="E136:AL136">INDEX(mspCnH,1,6)*tPIdxAll + INDEX(instCnH,1,6) + IF(bESav,SUMPRODUCT(dFactor,tpSurvCnH,INDEX(mrCnH,1,6)*allOnes),0)</f>
        <v>2337.7572863462001</v>
      </c>
      <c r="F136" s="13">
        <v>2337.7572863462001</v>
      </c>
      <c r="G136" s="13">
        <v>2337.7572863462001</v>
      </c>
      <c r="H136" s="13">
        <v>2337.7572863462001</v>
      </c>
      <c r="I136" s="13">
        <v>2337.7572863462001</v>
      </c>
      <c r="J136" s="13">
        <v>2337.7572863462001</v>
      </c>
      <c r="K136" s="13">
        <v>2337.7572863462001</v>
      </c>
      <c r="L136" s="13">
        <v>2337.7572863462001</v>
      </c>
      <c r="M136" s="13">
        <v>2337.7572863462001</v>
      </c>
      <c r="N136" s="13">
        <v>2337.7572863462001</v>
      </c>
      <c r="O136" s="13">
        <v>2337.7572863462001</v>
      </c>
      <c r="P136" s="13">
        <v>2337.7572863462001</v>
      </c>
      <c r="Q136" s="13">
        <v>2337.7572863462001</v>
      </c>
      <c r="R136" s="13">
        <v>2337.7572863462001</v>
      </c>
      <c r="S136" s="13">
        <v>2337.7572863462001</v>
      </c>
      <c r="T136" s="13">
        <v>2337.7572863462001</v>
      </c>
      <c r="U136" s="13">
        <v>2337.7572863462001</v>
      </c>
      <c r="V136" s="13">
        <v>2337.7572863462001</v>
      </c>
      <c r="W136" s="13">
        <v>2337.7572863462001</v>
      </c>
      <c r="X136" s="13">
        <v>2337.7572863462001</v>
      </c>
      <c r="Y136" s="13">
        <v>2337.7572863462001</v>
      </c>
      <c r="Z136" s="13">
        <v>2337.7572863462001</v>
      </c>
      <c r="AA136" s="13">
        <v>2337.7572863462001</v>
      </c>
      <c r="AB136" s="13">
        <v>2337.7572863462001</v>
      </c>
      <c r="AC136" s="13">
        <v>2337.7572863462001</v>
      </c>
      <c r="AD136" s="13">
        <v>2337.7572863462001</v>
      </c>
      <c r="AE136" s="13">
        <v>2337.7572863462001</v>
      </c>
      <c r="AF136" s="13">
        <v>2337.7572863462001</v>
      </c>
      <c r="AG136" s="13">
        <v>2337.7572863462001</v>
      </c>
      <c r="AH136" s="13">
        <v>2337.7572863462001</v>
      </c>
      <c r="AI136" s="13">
        <v>2337.7572863462001</v>
      </c>
      <c r="AJ136" s="13">
        <v>2337.7572863462001</v>
      </c>
      <c r="AK136" s="13">
        <v>2337.7572863462001</v>
      </c>
      <c r="AL136" s="56">
        <v>2337.7572863462001</v>
      </c>
      <c r="AM136" s="10"/>
    </row>
    <row r="137" spans="2:39">
      <c r="B137" s="10"/>
      <c r="C137" s="16" t="str">
        <f>zEO&amp;" Costs"</f>
        <v>Operating Costs</v>
      </c>
      <c r="D137" s="12" t="str">
        <f>_yearDol &amp; "$"</f>
        <v>2015$</v>
      </c>
      <c r="E137" s="13">
        <f t="array" aca="1" ref="E137:AL137" ca="1">(tlccEFuElecbc5) + IF(bOSav,SUMPRODUCT(dFactor,tpSurvCnH,INDEX(mrCnH,1,6)*allOnes),0)</f>
        <v>31768.398175780178</v>
      </c>
      <c r="F137" s="13">
        <f ca="1"/>
        <v>32036.647459184325</v>
      </c>
      <c r="G137" s="13">
        <f ca="1"/>
        <v>32295.534776376677</v>
      </c>
      <c r="H137" s="13">
        <f ca="1"/>
        <v>32525.292702268871</v>
      </c>
      <c r="I137" s="13">
        <f ca="1"/>
        <v>32730.105813730228</v>
      </c>
      <c r="J137" s="13">
        <f ca="1"/>
        <v>32936.236085308396</v>
      </c>
      <c r="K137" s="13">
        <f ca="1"/>
        <v>33143.692187947578</v>
      </c>
      <c r="L137" s="13">
        <f ca="1"/>
        <v>33352.482851104018</v>
      </c>
      <c r="M137" s="13">
        <f ca="1"/>
        <v>33562.616863150659</v>
      </c>
      <c r="N137" s="13">
        <f ca="1"/>
        <v>33774.103071785059</v>
      </c>
      <c r="O137" s="13">
        <f ca="1"/>
        <v>33986.950384439755</v>
      </c>
      <c r="P137" s="13">
        <f ca="1"/>
        <v>34201.167768696025</v>
      </c>
      <c r="Q137" s="13">
        <f ca="1"/>
        <v>34416.764252699977</v>
      </c>
      <c r="R137" s="13">
        <f ca="1"/>
        <v>34633.748925582244</v>
      </c>
      <c r="S137" s="13">
        <f ca="1"/>
        <v>34852.130937880189</v>
      </c>
      <c r="T137" s="13">
        <f ca="1"/>
        <v>35071.919501963224</v>
      </c>
      <c r="U137" s="13">
        <f ca="1"/>
        <v>35293.123892461292</v>
      </c>
      <c r="V137" s="13">
        <f ca="1"/>
        <v>35515.753446696166</v>
      </c>
      <c r="W137" s="13">
        <f ca="1"/>
        <v>35739.817565115947</v>
      </c>
      <c r="X137" s="13">
        <f ca="1"/>
        <v>35965.325711732767</v>
      </c>
      <c r="Y137" s="13">
        <f ca="1"/>
        <v>36192.287414563201</v>
      </c>
      <c r="Z137" s="13">
        <f ca="1"/>
        <v>36420.7122660721</v>
      </c>
      <c r="AA137" s="13">
        <f ca="1"/>
        <v>36650.609923619857</v>
      </c>
      <c r="AB137" s="13">
        <f ca="1"/>
        <v>36881.990109911974</v>
      </c>
      <c r="AC137" s="13">
        <f ca="1"/>
        <v>37114.862613452817</v>
      </c>
      <c r="AD137" s="13">
        <f ca="1"/>
        <v>37349.237289002085</v>
      </c>
      <c r="AE137" s="13">
        <f ca="1"/>
        <v>37585.124058034286</v>
      </c>
      <c r="AF137" s="13">
        <f ca="1"/>
        <v>37822.532909202047</v>
      </c>
      <c r="AG137" s="13">
        <f ca="1"/>
        <v>38061.473898802571</v>
      </c>
      <c r="AH137" s="13">
        <f ca="1"/>
        <v>38301.957151246846</v>
      </c>
      <c r="AI137" s="13">
        <f ca="1"/>
        <v>38543.9928595331</v>
      </c>
      <c r="AJ137" s="13">
        <f ca="1"/>
        <v>38787.591285722767</v>
      </c>
      <c r="AK137" s="13">
        <f ca="1"/>
        <v>39032.762761420534</v>
      </c>
      <c r="AL137" s="56">
        <f ca="1"/>
        <v>39279.51768825727</v>
      </c>
      <c r="AM137" s="10"/>
    </row>
    <row r="138" spans="2:39">
      <c r="B138" s="10"/>
      <c r="C138" s="28" t="str">
        <f>INDEX(_fuel,1)</f>
        <v>Electricity</v>
      </c>
      <c r="D138" s="12" t="str">
        <f>_yearDol &amp; "$"</f>
        <v>2015$</v>
      </c>
      <c r="E138" s="13">
        <f ca="1">SUMPRODUCT(dFactor,tpSurvCnH,INDEX(elecCnH,1,6)*allOnes,OFFSET(tPrcElec,0,0,1,_maxLT))</f>
        <v>31768.398175780178</v>
      </c>
      <c r="F138" s="13">
        <f ca="1">SUMPRODUCT(dFactor,tpSurvCnH,INDEX(elecCnH,1,6)*allOnes,OFFSET(tPrcElec,0,1,1,_maxLT))</f>
        <v>32036.647459184325</v>
      </c>
      <c r="G138" s="13">
        <f ca="1">SUMPRODUCT(dFactor,tpSurvCnH,INDEX(elecCnH,1,6)*allOnes,OFFSET(tPrcElec,0,2,1,_maxLT))</f>
        <v>32295.534776376677</v>
      </c>
      <c r="H138" s="13">
        <f ca="1">SUMPRODUCT(dFactor,tpSurvCnH,INDEX(elecCnH,1,6)*allOnes,OFFSET(tPrcElec,0,3,1,_maxLT))</f>
        <v>32525.292702268871</v>
      </c>
      <c r="I138" s="13">
        <f ca="1">SUMPRODUCT(dFactor,tpSurvCnH,INDEX(elecCnH,1,6)*allOnes,OFFSET(tPrcElec,0,4,1,_maxLT))</f>
        <v>32730.105813730228</v>
      </c>
      <c r="J138" s="13">
        <f ca="1">SUMPRODUCT(dFactor,tpSurvCnH,INDEX(elecCnH,1,6)*allOnes,OFFSET(tPrcElec,0,5,1,_maxLT))</f>
        <v>32936.236085308396</v>
      </c>
      <c r="K138" s="13">
        <f ca="1">SUMPRODUCT(dFactor,tpSurvCnH,INDEX(elecCnH,1,6)*allOnes,OFFSET(tPrcElec,0,6,1,_maxLT))</f>
        <v>33143.692187947578</v>
      </c>
      <c r="L138" s="13">
        <f ca="1">SUMPRODUCT(dFactor,tpSurvCnH,INDEX(elecCnH,1,6)*allOnes,OFFSET(tPrcElec,0,7,1,_maxLT))</f>
        <v>33352.482851104018</v>
      </c>
      <c r="M138" s="13">
        <f ca="1">SUMPRODUCT(dFactor,tpSurvCnH,INDEX(elecCnH,1,6)*allOnes,OFFSET(tPrcElec,0,8,1,_maxLT))</f>
        <v>33562.616863150659</v>
      </c>
      <c r="N138" s="13">
        <f ca="1">SUMPRODUCT(dFactor,tpSurvCnH,INDEX(elecCnH,1,6)*allOnes,OFFSET(tPrcElec,0,9,1,_maxLT))</f>
        <v>33774.103071785059</v>
      </c>
      <c r="O138" s="13">
        <f ca="1">SUMPRODUCT(dFactor,tpSurvCnH,INDEX(elecCnH,1,6)*allOnes,OFFSET(tPrcElec,0,10,1,_maxLT))</f>
        <v>33986.950384439755</v>
      </c>
      <c r="P138" s="13">
        <f ca="1">SUMPRODUCT(dFactor,tpSurvCnH,INDEX(elecCnH,1,6)*allOnes,OFFSET(tPrcElec,0,11,1,_maxLT))</f>
        <v>34201.167768696025</v>
      </c>
      <c r="Q138" s="13">
        <f ca="1">SUMPRODUCT(dFactor,tpSurvCnH,INDEX(elecCnH,1,6)*allOnes,OFFSET(tPrcElec,0,12,1,_maxLT))</f>
        <v>34416.764252699977</v>
      </c>
      <c r="R138" s="13">
        <f ca="1">SUMPRODUCT(dFactor,tpSurvCnH,INDEX(elecCnH,1,6)*allOnes,OFFSET(tPrcElec,0,13,1,_maxLT))</f>
        <v>34633.748925582244</v>
      </c>
      <c r="S138" s="13">
        <f ca="1">SUMPRODUCT(dFactor,tpSurvCnH,INDEX(elecCnH,1,6)*allOnes,OFFSET(tPrcElec,0,14,1,_maxLT))</f>
        <v>34852.130937880189</v>
      </c>
      <c r="T138" s="13">
        <f ca="1">SUMPRODUCT(dFactor,tpSurvCnH,INDEX(elecCnH,1,6)*allOnes,OFFSET(tPrcElec,0,15,1,_maxLT))</f>
        <v>35071.919501963224</v>
      </c>
      <c r="U138" s="13">
        <f ca="1">SUMPRODUCT(dFactor,tpSurvCnH,INDEX(elecCnH,1,6)*allOnes,OFFSET(tPrcElec,0,16,1,_maxLT))</f>
        <v>35293.123892461292</v>
      </c>
      <c r="V138" s="13">
        <f ca="1">SUMPRODUCT(dFactor,tpSurvCnH,INDEX(elecCnH,1,6)*allOnes,OFFSET(tPrcElec,0,17,1,_maxLT))</f>
        <v>35515.753446696166</v>
      </c>
      <c r="W138" s="13">
        <f ca="1">SUMPRODUCT(dFactor,tpSurvCnH,INDEX(elecCnH,1,6)*allOnes,OFFSET(tPrcElec,0,18,1,_maxLT))</f>
        <v>35739.817565115947</v>
      </c>
      <c r="X138" s="13">
        <f ca="1">SUMPRODUCT(dFactor,tpSurvCnH,INDEX(elecCnH,1,6)*allOnes,OFFSET(tPrcElec,0,19,1,_maxLT))</f>
        <v>35965.325711732767</v>
      </c>
      <c r="Y138" s="13">
        <f ca="1">SUMPRODUCT(dFactor,tpSurvCnH,INDEX(elecCnH,1,6)*allOnes,OFFSET(tPrcElec,0,20,1,_maxLT))</f>
        <v>36192.287414563201</v>
      </c>
      <c r="Z138" s="13">
        <f ca="1">SUMPRODUCT(dFactor,tpSurvCnH,INDEX(elecCnH,1,6)*allOnes,OFFSET(tPrcElec,0,21,1,_maxLT))</f>
        <v>36420.7122660721</v>
      </c>
      <c r="AA138" s="13">
        <f ca="1">SUMPRODUCT(dFactor,tpSurvCnH,INDEX(elecCnH,1,6)*allOnes,OFFSET(tPrcElec,0,22,1,_maxLT))</f>
        <v>36650.609923619857</v>
      </c>
      <c r="AB138" s="13">
        <f ca="1">SUMPRODUCT(dFactor,tpSurvCnH,INDEX(elecCnH,1,6)*allOnes,OFFSET(tPrcElec,0,23,1,_maxLT))</f>
        <v>36881.990109911974</v>
      </c>
      <c r="AC138" s="13">
        <f ca="1">SUMPRODUCT(dFactor,tpSurvCnH,INDEX(elecCnH,1,6)*allOnes,OFFSET(tPrcElec,0,24,1,_maxLT))</f>
        <v>37114.862613452817</v>
      </c>
      <c r="AD138" s="13">
        <f ca="1">SUMPRODUCT(dFactor,tpSurvCnH,INDEX(elecCnH,1,6)*allOnes,OFFSET(tPrcElec,0,25,1,_maxLT))</f>
        <v>37349.237289002085</v>
      </c>
      <c r="AE138" s="13">
        <f ca="1">SUMPRODUCT(dFactor,tpSurvCnH,INDEX(elecCnH,1,6)*allOnes,OFFSET(tPrcElec,0,26,1,_maxLT))</f>
        <v>37585.124058034286</v>
      </c>
      <c r="AF138" s="13">
        <f ca="1">SUMPRODUCT(dFactor,tpSurvCnH,INDEX(elecCnH,1,6)*allOnes,OFFSET(tPrcElec,0,27,1,_maxLT))</f>
        <v>37822.532909202047</v>
      </c>
      <c r="AG138" s="13">
        <f ca="1">SUMPRODUCT(dFactor,tpSurvCnH,INDEX(elecCnH,1,6)*allOnes,OFFSET(tPrcElec,0,28,1,_maxLT))</f>
        <v>38061.473898802571</v>
      </c>
      <c r="AH138" s="13">
        <f ca="1">SUMPRODUCT(dFactor,tpSurvCnH,INDEX(elecCnH,1,6)*allOnes,OFFSET(tPrcElec,0,29,1,_maxLT))</f>
        <v>38301.957151246846</v>
      </c>
      <c r="AI138" s="13">
        <f ca="1">SUMPRODUCT(dFactor,tpSurvCnH,INDEX(elecCnH,1,6)*allOnes,OFFSET(tPrcElec,0,30,1,_maxLT))</f>
        <v>38543.9928595331</v>
      </c>
      <c r="AJ138" s="13">
        <f ca="1">SUMPRODUCT(dFactor,tpSurvCnH,INDEX(elecCnH,1,6)*allOnes,OFFSET(tPrcElec,0,31,1,_maxLT))</f>
        <v>38787.591285722767</v>
      </c>
      <c r="AK138" s="13">
        <f ca="1">SUMPRODUCT(dFactor,tpSurvCnH,INDEX(elecCnH,1,6)*allOnes,OFFSET(tPrcElec,0,32,1,_maxLT))</f>
        <v>39032.762761420534</v>
      </c>
      <c r="AL138" s="56">
        <f ca="1">SUMPRODUCT(dFactor,tpSurvCnH,INDEX(elecCnH,1,6)*allOnes,OFFSET(tPrcElec,0,33,1,_maxLT))</f>
        <v>39279.51768825727</v>
      </c>
      <c r="AM138" s="10"/>
    </row>
    <row r="139" spans="2:39">
      <c r="B139" s="10"/>
      <c r="C139" s="16" t="s">
        <v>79</v>
      </c>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5"/>
      <c r="AM139" s="10"/>
    </row>
    <row r="140" spans="2:39">
      <c r="B140" s="10"/>
      <c r="C140" s="28" t="str">
        <f>INDEX(_fuel,1)</f>
        <v>Electricity</v>
      </c>
      <c r="D140" s="12" t="s">
        <v>83</v>
      </c>
      <c r="E140" s="39">
        <f ca="1">SUMPRODUCT(OFFSET(tConvElecCnH,0,0,1,_maxLT),INDEX(elecCnH,1,6)*allOnes,tpSurvCnH)</f>
        <v>5471.2686393167269</v>
      </c>
      <c r="F140" s="39">
        <f ca="1">SUMPRODUCT(OFFSET(tConvElecCnH,0,1,1,_maxLT),INDEX(elecCnH,1,6)*allOnes,tpSurvCnH)</f>
        <v>5420.5192091740473</v>
      </c>
      <c r="G140" s="39">
        <f ca="1">SUMPRODUCT(OFFSET(tConvElecCnH,0,2,1,_maxLT),INDEX(elecCnH,1,6)*allOnes,tpSurvCnH)</f>
        <v>5375.463238401273</v>
      </c>
      <c r="H140" s="39">
        <f ca="1">SUMPRODUCT(OFFSET(tConvElecCnH,0,3,1,_maxLT),INDEX(elecCnH,1,6)*allOnes,tpSurvCnH)</f>
        <v>5332.3036395295248</v>
      </c>
      <c r="I140" s="39">
        <f ca="1">SUMPRODUCT(OFFSET(tConvElecCnH,0,4,1,_maxLT),INDEX(elecCnH,1,6)*allOnes,tpSurvCnH)</f>
        <v>5294.273309333993</v>
      </c>
      <c r="J140" s="39">
        <f ca="1">SUMPRODUCT(OFFSET(tConvElecCnH,0,5,1,_maxLT),INDEX(elecCnH,1,6)*allOnes,tpSurvCnH)</f>
        <v>5264.4701199923311</v>
      </c>
      <c r="K140" s="39">
        <f ca="1">SUMPRODUCT(OFFSET(tConvElecCnH,0,6,1,_maxLT),INDEX(elecCnH,1,6)*allOnes,tpSurvCnH)</f>
        <v>5239.437969845816</v>
      </c>
      <c r="L140" s="39">
        <f ca="1">SUMPRODUCT(OFFSET(tConvElecCnH,0,7,1,_maxLT),INDEX(elecCnH,1,6)*allOnes,tpSurvCnH)</f>
        <v>5214.1060240366041</v>
      </c>
      <c r="M140" s="39">
        <f ca="1">SUMPRODUCT(OFFSET(tConvElecCnH,0,8,1,_maxLT),INDEX(elecCnH,1,6)*allOnes,tpSurvCnH)</f>
        <v>5193.5919835346494</v>
      </c>
      <c r="N140" s="39">
        <f ca="1">SUMPRODUCT(OFFSET(tConvElecCnH,0,9,1,_maxLT),INDEX(elecCnH,1,6)*allOnes,tpSurvCnH)</f>
        <v>5179.1469964531188</v>
      </c>
      <c r="O140" s="39">
        <f ca="1">SUMPRODUCT(OFFSET(tConvElecCnH,0,10,1,_maxLT),INDEX(elecCnH,1,6)*allOnes,tpSurvCnH)</f>
        <v>5168.3930742552611</v>
      </c>
      <c r="P140" s="39">
        <f ca="1">SUMPRODUCT(OFFSET(tConvElecCnH,0,11,1,_maxLT),INDEX(elecCnH,1,6)*allOnes,tpSurvCnH)</f>
        <v>5159.219785673683</v>
      </c>
      <c r="Q140" s="39">
        <f ca="1">SUMPRODUCT(OFFSET(tConvElecCnH,0,12,1,_maxLT),INDEX(elecCnH,1,6)*allOnes,tpSurvCnH)</f>
        <v>5152.333334863958</v>
      </c>
      <c r="R140" s="39">
        <f ca="1">SUMPRODUCT(OFFSET(tConvElecCnH,0,13,1,_maxLT),INDEX(elecCnH,1,6)*allOnes,tpSurvCnH)</f>
        <v>5146.9874804473429</v>
      </c>
      <c r="S140" s="39">
        <f ca="1">SUMPRODUCT(OFFSET(tConvElecCnH,0,14,1,_maxLT),INDEX(elecCnH,1,6)*allOnes,tpSurvCnH)</f>
        <v>5145.9068201550017</v>
      </c>
      <c r="T140" s="39">
        <f ca="1">SUMPRODUCT(OFFSET(tConvElecCnH,0,15,1,_maxLT),INDEX(elecCnH,1,6)*allOnes,tpSurvCnH)</f>
        <v>5146.7766605962224</v>
      </c>
      <c r="U140" s="39">
        <f ca="1">SUMPRODUCT(OFFSET(tConvElecCnH,0,16,1,_maxLT),INDEX(elecCnH,1,6)*allOnes,tpSurvCnH)</f>
        <v>5148.2995609405762</v>
      </c>
      <c r="V140" s="39">
        <f ca="1">SUMPRODUCT(OFFSET(tConvElecCnH,0,17,1,_maxLT),INDEX(elecCnH,1,6)*allOnes,tpSurvCnH)</f>
        <v>5150.6475648965679</v>
      </c>
      <c r="W140" s="39">
        <f ca="1">SUMPRODUCT(OFFSET(tConvElecCnH,0,18,1,_maxLT),INDEX(elecCnH,1,6)*allOnes,tpSurvCnH)</f>
        <v>5152.9038770561237</v>
      </c>
      <c r="X140" s="39">
        <f ca="1">SUMPRODUCT(OFFSET(tConvElecCnH,0,19,1,_maxLT),INDEX(elecCnH,1,6)*allOnes,tpSurvCnH)</f>
        <v>5154.7759519013598</v>
      </c>
      <c r="Y140" s="39">
        <f ca="1">SUMPRODUCT(OFFSET(tConvElecCnH,0,20,1,_maxLT),INDEX(elecCnH,1,6)*allOnes,tpSurvCnH)</f>
        <v>5156.0310497612363</v>
      </c>
      <c r="Z140" s="39">
        <f ca="1">SUMPRODUCT(OFFSET(tConvElecCnH,0,21,1,_maxLT),INDEX(elecCnH,1,6)*allOnes,tpSurvCnH)</f>
        <v>5156.8960842082042</v>
      </c>
      <c r="AA140" s="39">
        <f ca="1">SUMPRODUCT(OFFSET(tConvElecCnH,0,22,1,_maxLT),INDEX(elecCnH,1,6)*allOnes,tpSurvCnH)</f>
        <v>5156.8960842082042</v>
      </c>
      <c r="AB140" s="39">
        <f ca="1">SUMPRODUCT(OFFSET(tConvElecCnH,0,23,1,_maxLT),INDEX(elecCnH,1,6)*allOnes,tpSurvCnH)</f>
        <v>5156.8960842082042</v>
      </c>
      <c r="AC140" s="39">
        <f ca="1">SUMPRODUCT(OFFSET(tConvElecCnH,0,24,1,_maxLT),INDEX(elecCnH,1,6)*allOnes,tpSurvCnH)</f>
        <v>5156.8960842082042</v>
      </c>
      <c r="AD140" s="39">
        <f ca="1">SUMPRODUCT(OFFSET(tConvElecCnH,0,25,1,_maxLT),INDEX(elecCnH,1,6)*allOnes,tpSurvCnH)</f>
        <v>5156.8960842082042</v>
      </c>
      <c r="AE140" s="39">
        <f ca="1">SUMPRODUCT(OFFSET(tConvElecCnH,0,26,1,_maxLT),INDEX(elecCnH,1,6)*allOnes,tpSurvCnH)</f>
        <v>5156.8960842082042</v>
      </c>
      <c r="AF140" s="39">
        <f ca="1">SUMPRODUCT(OFFSET(tConvElecCnH,0,27,1,_maxLT),INDEX(elecCnH,1,6)*allOnes,tpSurvCnH)</f>
        <v>5156.8960842082042</v>
      </c>
      <c r="AG140" s="39">
        <f ca="1">SUMPRODUCT(OFFSET(tConvElecCnH,0,28,1,_maxLT),INDEX(elecCnH,1,6)*allOnes,tpSurvCnH)</f>
        <v>5156.8960842082042</v>
      </c>
      <c r="AH140" s="39">
        <f ca="1">SUMPRODUCT(OFFSET(tConvElecCnH,0,29,1,_maxLT),INDEX(elecCnH,1,6)*allOnes,tpSurvCnH)</f>
        <v>5156.8960842082042</v>
      </c>
      <c r="AI140" s="39">
        <f ca="1">SUMPRODUCT(OFFSET(tConvElecCnH,0,30,1,_maxLT),INDEX(elecCnH,1,6)*allOnes,tpSurvCnH)</f>
        <v>5156.8960842082042</v>
      </c>
      <c r="AJ140" s="39">
        <f ca="1">SUMPRODUCT(OFFSET(tConvElecCnH,0,31,1,_maxLT),INDEX(elecCnH,1,6)*allOnes,tpSurvCnH)</f>
        <v>5156.8960842082042</v>
      </c>
      <c r="AK140" s="39">
        <f ca="1">SUMPRODUCT(OFFSET(tConvElecCnH,0,32,1,_maxLT),INDEX(elecCnH,1,6)*allOnes,tpSurvCnH)</f>
        <v>5156.8960842082042</v>
      </c>
      <c r="AL140" s="40">
        <f ca="1">SUMPRODUCT(OFFSET(tConvElecCnH,0,33,1,_maxLT),INDEX(elecCnH,1,6)*allOnes,tpSurvCnH)</f>
        <v>5156.8960842082042</v>
      </c>
      <c r="AM140" s="10"/>
    </row>
    <row r="141" spans="2:39">
      <c r="B141" s="10"/>
      <c r="C141" s="57" t="str">
        <f>"EL 6: " &amp; INDEX(_doName,3,7)</f>
        <v>EL 6: EL 6</v>
      </c>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3"/>
      <c r="AM141" s="10"/>
    </row>
    <row r="142" spans="2:39">
      <c r="B142" s="10"/>
      <c r="C142" s="16" t="s">
        <v>69</v>
      </c>
      <c r="D142" s="12" t="str">
        <f>_yearDol &amp; "$"</f>
        <v>2015$</v>
      </c>
      <c r="E142" s="13">
        <f t="array" ref="E142:AL142">INDEX(mspCnH,1,7)*tPIdxAll + INDEX(instCnH,1,7) + IF(bESav,SUMPRODUCT(dFactor,tpSurvCnH,INDEX(mrCnH,1,7)*allOnes),0)</f>
        <v>3332.3279476880298</v>
      </c>
      <c r="F142" s="13">
        <v>3332.3279476880298</v>
      </c>
      <c r="G142" s="13">
        <v>3332.3279476880298</v>
      </c>
      <c r="H142" s="13">
        <v>3332.3279476880298</v>
      </c>
      <c r="I142" s="13">
        <v>3332.3279476880298</v>
      </c>
      <c r="J142" s="13">
        <v>3332.3279476880298</v>
      </c>
      <c r="K142" s="13">
        <v>3332.3279476880298</v>
      </c>
      <c r="L142" s="13">
        <v>3332.3279476880298</v>
      </c>
      <c r="M142" s="13">
        <v>3332.3279476880298</v>
      </c>
      <c r="N142" s="13">
        <v>3332.3279476880298</v>
      </c>
      <c r="O142" s="13">
        <v>3332.3279476880298</v>
      </c>
      <c r="P142" s="13">
        <v>3332.3279476880298</v>
      </c>
      <c r="Q142" s="13">
        <v>3332.3279476880298</v>
      </c>
      <c r="R142" s="13">
        <v>3332.3279476880298</v>
      </c>
      <c r="S142" s="13">
        <v>3332.3279476880298</v>
      </c>
      <c r="T142" s="13">
        <v>3332.3279476880298</v>
      </c>
      <c r="U142" s="13">
        <v>3332.3279476880298</v>
      </c>
      <c r="V142" s="13">
        <v>3332.3279476880298</v>
      </c>
      <c r="W142" s="13">
        <v>3332.3279476880298</v>
      </c>
      <c r="X142" s="13">
        <v>3332.3279476880298</v>
      </c>
      <c r="Y142" s="13">
        <v>3332.3279476880298</v>
      </c>
      <c r="Z142" s="13">
        <v>3332.3279476880298</v>
      </c>
      <c r="AA142" s="13">
        <v>3332.3279476880298</v>
      </c>
      <c r="AB142" s="13">
        <v>3332.3279476880298</v>
      </c>
      <c r="AC142" s="13">
        <v>3332.3279476880298</v>
      </c>
      <c r="AD142" s="13">
        <v>3332.3279476880298</v>
      </c>
      <c r="AE142" s="13">
        <v>3332.3279476880298</v>
      </c>
      <c r="AF142" s="13">
        <v>3332.3279476880298</v>
      </c>
      <c r="AG142" s="13">
        <v>3332.3279476880298</v>
      </c>
      <c r="AH142" s="13">
        <v>3332.3279476880298</v>
      </c>
      <c r="AI142" s="13">
        <v>3332.3279476880298</v>
      </c>
      <c r="AJ142" s="13">
        <v>3332.3279476880298</v>
      </c>
      <c r="AK142" s="13">
        <v>3332.3279476880298</v>
      </c>
      <c r="AL142" s="56">
        <v>3332.3279476880298</v>
      </c>
      <c r="AM142" s="10"/>
    </row>
    <row r="143" spans="2:39">
      <c r="B143" s="10"/>
      <c r="C143" s="16" t="str">
        <f>zEO&amp;" Costs"</f>
        <v>Operating Costs</v>
      </c>
      <c r="D143" s="12" t="str">
        <f>_yearDol &amp; "$"</f>
        <v>2015$</v>
      </c>
      <c r="E143" s="13">
        <f t="array" aca="1" ref="E143:AL143" ca="1">(tlccEFuElecbc6) + IF(bOSav,SUMPRODUCT(dFactor,tpSurvCnH,INDEX(mrCnH,1,7)*allOnes),0)</f>
        <v>35193.762839901494</v>
      </c>
      <c r="F143" s="13">
        <f ca="1"/>
        <v>35490.935571427384</v>
      </c>
      <c r="G143" s="13">
        <f ca="1"/>
        <v>35777.736901261931</v>
      </c>
      <c r="H143" s="13">
        <f ca="1"/>
        <v>36032.268020825933</v>
      </c>
      <c r="I143" s="13">
        <f ca="1"/>
        <v>36259.164700708548</v>
      </c>
      <c r="J143" s="13">
        <f ca="1"/>
        <v>36487.520560890945</v>
      </c>
      <c r="K143" s="13">
        <f ca="1"/>
        <v>36717.345207244725</v>
      </c>
      <c r="L143" s="13">
        <f ca="1"/>
        <v>36948.648310462369</v>
      </c>
      <c r="M143" s="13">
        <f ca="1"/>
        <v>37181.439606505905</v>
      </c>
      <c r="N143" s="13">
        <f ca="1"/>
        <v>37415.728897058267</v>
      </c>
      <c r="O143" s="13">
        <f ca="1"/>
        <v>37651.526049978369</v>
      </c>
      <c r="P143" s="13">
        <f ca="1"/>
        <v>37888.840999759057</v>
      </c>
      <c r="Q143" s="13">
        <f ca="1"/>
        <v>38127.683747988507</v>
      </c>
      <c r="R143" s="13">
        <f ca="1"/>
        <v>38368.064363814956</v>
      </c>
      <c r="S143" s="13">
        <f ca="1"/>
        <v>38609.992984414195</v>
      </c>
      <c r="T143" s="13">
        <f ca="1"/>
        <v>38853.479815461222</v>
      </c>
      <c r="U143" s="13">
        <f ca="1"/>
        <v>39098.535131604527</v>
      </c>
      <c r="V143" s="13">
        <f ca="1"/>
        <v>39345.169276944274</v>
      </c>
      <c r="W143" s="13">
        <f ca="1"/>
        <v>39593.392665513173</v>
      </c>
      <c r="X143" s="13">
        <f ca="1"/>
        <v>39843.215781761704</v>
      </c>
      <c r="Y143" s="13">
        <f ca="1"/>
        <v>40094.649181046007</v>
      </c>
      <c r="Z143" s="13">
        <f ca="1"/>
        <v>40347.703490119544</v>
      </c>
      <c r="AA143" s="13">
        <f ca="1"/>
        <v>40602.389407628332</v>
      </c>
      <c r="AB143" s="13">
        <f ca="1"/>
        <v>40858.717704609509</v>
      </c>
      <c r="AC143" s="13">
        <f ca="1"/>
        <v>41116.699224993499</v>
      </c>
      <c r="AD143" s="13">
        <f ca="1"/>
        <v>41376.344886109837</v>
      </c>
      <c r="AE143" s="13">
        <f ca="1"/>
        <v>41637.665679196565</v>
      </c>
      <c r="AF143" s="13">
        <f ca="1"/>
        <v>41900.672669913016</v>
      </c>
      <c r="AG143" s="13">
        <f ca="1"/>
        <v>42165.376998856584</v>
      </c>
      <c r="AH143" s="13">
        <f ca="1"/>
        <v>42431.789882082958</v>
      </c>
      <c r="AI143" s="13">
        <f ca="1"/>
        <v>42699.922611630078</v>
      </c>
      <c r="AJ143" s="13">
        <f ca="1"/>
        <v>42969.78655604602</v>
      </c>
      <c r="AK143" s="13">
        <f ca="1"/>
        <v>43241.393160920241</v>
      </c>
      <c r="AL143" s="56">
        <f ca="1"/>
        <v>43514.753949418882</v>
      </c>
      <c r="AM143" s="10"/>
    </row>
    <row r="144" spans="2:39">
      <c r="B144" s="10"/>
      <c r="C144" s="28" t="str">
        <f>INDEX(_fuel,1)</f>
        <v>Electricity</v>
      </c>
      <c r="D144" s="12" t="str">
        <f>_yearDol &amp; "$"</f>
        <v>2015$</v>
      </c>
      <c r="E144" s="13">
        <f ca="1">SUMPRODUCT(dFactor,tpSurvCnH,INDEX(elecCnH,1,7)*allOnes,OFFSET(tPrcElec,0,0,1,_maxLT))</f>
        <v>35193.762839901494</v>
      </c>
      <c r="F144" s="13">
        <f ca="1">SUMPRODUCT(dFactor,tpSurvCnH,INDEX(elecCnH,1,7)*allOnes,OFFSET(tPrcElec,0,1,1,_maxLT))</f>
        <v>35490.935571427384</v>
      </c>
      <c r="G144" s="13">
        <f ca="1">SUMPRODUCT(dFactor,tpSurvCnH,INDEX(elecCnH,1,7)*allOnes,OFFSET(tPrcElec,0,2,1,_maxLT))</f>
        <v>35777.736901261931</v>
      </c>
      <c r="H144" s="13">
        <f ca="1">SUMPRODUCT(dFactor,tpSurvCnH,INDEX(elecCnH,1,7)*allOnes,OFFSET(tPrcElec,0,3,1,_maxLT))</f>
        <v>36032.268020825933</v>
      </c>
      <c r="I144" s="13">
        <f ca="1">SUMPRODUCT(dFactor,tpSurvCnH,INDEX(elecCnH,1,7)*allOnes,OFFSET(tPrcElec,0,4,1,_maxLT))</f>
        <v>36259.164700708548</v>
      </c>
      <c r="J144" s="13">
        <f ca="1">SUMPRODUCT(dFactor,tpSurvCnH,INDEX(elecCnH,1,7)*allOnes,OFFSET(tPrcElec,0,5,1,_maxLT))</f>
        <v>36487.520560890945</v>
      </c>
      <c r="K144" s="13">
        <f ca="1">SUMPRODUCT(dFactor,tpSurvCnH,INDEX(elecCnH,1,7)*allOnes,OFFSET(tPrcElec,0,6,1,_maxLT))</f>
        <v>36717.345207244725</v>
      </c>
      <c r="L144" s="13">
        <f ca="1">SUMPRODUCT(dFactor,tpSurvCnH,INDEX(elecCnH,1,7)*allOnes,OFFSET(tPrcElec,0,7,1,_maxLT))</f>
        <v>36948.648310462369</v>
      </c>
      <c r="M144" s="13">
        <f ca="1">SUMPRODUCT(dFactor,tpSurvCnH,INDEX(elecCnH,1,7)*allOnes,OFFSET(tPrcElec,0,8,1,_maxLT))</f>
        <v>37181.439606505905</v>
      </c>
      <c r="N144" s="13">
        <f ca="1">SUMPRODUCT(dFactor,tpSurvCnH,INDEX(elecCnH,1,7)*allOnes,OFFSET(tPrcElec,0,9,1,_maxLT))</f>
        <v>37415.728897058267</v>
      </c>
      <c r="O144" s="13">
        <f ca="1">SUMPRODUCT(dFactor,tpSurvCnH,INDEX(elecCnH,1,7)*allOnes,OFFSET(tPrcElec,0,10,1,_maxLT))</f>
        <v>37651.526049978369</v>
      </c>
      <c r="P144" s="13">
        <f ca="1">SUMPRODUCT(dFactor,tpSurvCnH,INDEX(elecCnH,1,7)*allOnes,OFFSET(tPrcElec,0,11,1,_maxLT))</f>
        <v>37888.840999759057</v>
      </c>
      <c r="Q144" s="13">
        <f ca="1">SUMPRODUCT(dFactor,tpSurvCnH,INDEX(elecCnH,1,7)*allOnes,OFFSET(tPrcElec,0,12,1,_maxLT))</f>
        <v>38127.683747988507</v>
      </c>
      <c r="R144" s="13">
        <f ca="1">SUMPRODUCT(dFactor,tpSurvCnH,INDEX(elecCnH,1,7)*allOnes,OFFSET(tPrcElec,0,13,1,_maxLT))</f>
        <v>38368.064363814956</v>
      </c>
      <c r="S144" s="13">
        <f ca="1">SUMPRODUCT(dFactor,tpSurvCnH,INDEX(elecCnH,1,7)*allOnes,OFFSET(tPrcElec,0,14,1,_maxLT))</f>
        <v>38609.992984414195</v>
      </c>
      <c r="T144" s="13">
        <f ca="1">SUMPRODUCT(dFactor,tpSurvCnH,INDEX(elecCnH,1,7)*allOnes,OFFSET(tPrcElec,0,15,1,_maxLT))</f>
        <v>38853.479815461222</v>
      </c>
      <c r="U144" s="13">
        <f ca="1">SUMPRODUCT(dFactor,tpSurvCnH,INDEX(elecCnH,1,7)*allOnes,OFFSET(tPrcElec,0,16,1,_maxLT))</f>
        <v>39098.535131604527</v>
      </c>
      <c r="V144" s="13">
        <f ca="1">SUMPRODUCT(dFactor,tpSurvCnH,INDEX(elecCnH,1,7)*allOnes,OFFSET(tPrcElec,0,17,1,_maxLT))</f>
        <v>39345.169276944274</v>
      </c>
      <c r="W144" s="13">
        <f ca="1">SUMPRODUCT(dFactor,tpSurvCnH,INDEX(elecCnH,1,7)*allOnes,OFFSET(tPrcElec,0,18,1,_maxLT))</f>
        <v>39593.392665513173</v>
      </c>
      <c r="X144" s="13">
        <f ca="1">SUMPRODUCT(dFactor,tpSurvCnH,INDEX(elecCnH,1,7)*allOnes,OFFSET(tPrcElec,0,19,1,_maxLT))</f>
        <v>39843.215781761704</v>
      </c>
      <c r="Y144" s="13">
        <f ca="1">SUMPRODUCT(dFactor,tpSurvCnH,INDEX(elecCnH,1,7)*allOnes,OFFSET(tPrcElec,0,20,1,_maxLT))</f>
        <v>40094.649181046007</v>
      </c>
      <c r="Z144" s="13">
        <f ca="1">SUMPRODUCT(dFactor,tpSurvCnH,INDEX(elecCnH,1,7)*allOnes,OFFSET(tPrcElec,0,21,1,_maxLT))</f>
        <v>40347.703490119544</v>
      </c>
      <c r="AA144" s="13">
        <f ca="1">SUMPRODUCT(dFactor,tpSurvCnH,INDEX(elecCnH,1,7)*allOnes,OFFSET(tPrcElec,0,22,1,_maxLT))</f>
        <v>40602.389407628332</v>
      </c>
      <c r="AB144" s="13">
        <f ca="1">SUMPRODUCT(dFactor,tpSurvCnH,INDEX(elecCnH,1,7)*allOnes,OFFSET(tPrcElec,0,23,1,_maxLT))</f>
        <v>40858.717704609509</v>
      </c>
      <c r="AC144" s="13">
        <f ca="1">SUMPRODUCT(dFactor,tpSurvCnH,INDEX(elecCnH,1,7)*allOnes,OFFSET(tPrcElec,0,24,1,_maxLT))</f>
        <v>41116.699224993499</v>
      </c>
      <c r="AD144" s="13">
        <f ca="1">SUMPRODUCT(dFactor,tpSurvCnH,INDEX(elecCnH,1,7)*allOnes,OFFSET(tPrcElec,0,25,1,_maxLT))</f>
        <v>41376.344886109837</v>
      </c>
      <c r="AE144" s="13">
        <f ca="1">SUMPRODUCT(dFactor,tpSurvCnH,INDEX(elecCnH,1,7)*allOnes,OFFSET(tPrcElec,0,26,1,_maxLT))</f>
        <v>41637.665679196565</v>
      </c>
      <c r="AF144" s="13">
        <f ca="1">SUMPRODUCT(dFactor,tpSurvCnH,INDEX(elecCnH,1,7)*allOnes,OFFSET(tPrcElec,0,27,1,_maxLT))</f>
        <v>41900.672669913016</v>
      </c>
      <c r="AG144" s="13">
        <f ca="1">SUMPRODUCT(dFactor,tpSurvCnH,INDEX(elecCnH,1,7)*allOnes,OFFSET(tPrcElec,0,28,1,_maxLT))</f>
        <v>42165.376998856584</v>
      </c>
      <c r="AH144" s="13">
        <f ca="1">SUMPRODUCT(dFactor,tpSurvCnH,INDEX(elecCnH,1,7)*allOnes,OFFSET(tPrcElec,0,29,1,_maxLT))</f>
        <v>42431.789882082958</v>
      </c>
      <c r="AI144" s="13">
        <f ca="1">SUMPRODUCT(dFactor,tpSurvCnH,INDEX(elecCnH,1,7)*allOnes,OFFSET(tPrcElec,0,30,1,_maxLT))</f>
        <v>42699.922611630078</v>
      </c>
      <c r="AJ144" s="13">
        <f ca="1">SUMPRODUCT(dFactor,tpSurvCnH,INDEX(elecCnH,1,7)*allOnes,OFFSET(tPrcElec,0,31,1,_maxLT))</f>
        <v>42969.78655604602</v>
      </c>
      <c r="AK144" s="13">
        <f ca="1">SUMPRODUCT(dFactor,tpSurvCnH,INDEX(elecCnH,1,7)*allOnes,OFFSET(tPrcElec,0,32,1,_maxLT))</f>
        <v>43241.393160920241</v>
      </c>
      <c r="AL144" s="56">
        <f ca="1">SUMPRODUCT(dFactor,tpSurvCnH,INDEX(elecCnH,1,7)*allOnes,OFFSET(tPrcElec,0,33,1,_maxLT))</f>
        <v>43514.753949418882</v>
      </c>
      <c r="AM144" s="10"/>
    </row>
    <row r="145" spans="2:39">
      <c r="B145" s="10"/>
      <c r="C145" s="16" t="s">
        <v>79</v>
      </c>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5"/>
      <c r="AM145" s="10"/>
    </row>
    <row r="146" spans="2:39">
      <c r="B146" s="10"/>
      <c r="C146" s="28" t="str">
        <f>INDEX(_fuel,1)</f>
        <v>Electricity</v>
      </c>
      <c r="D146" s="12" t="s">
        <v>83</v>
      </c>
      <c r="E146" s="39">
        <f ca="1">SUMPRODUCT(OFFSET(tConvElecCnH,0,0,1,_maxLT),INDEX(elecCnH,1,7)*allOnes,tpSurvCnH)</f>
        <v>6061.1973527927021</v>
      </c>
      <c r="F146" s="39">
        <f ca="1">SUMPRODUCT(OFFSET(tConvElecCnH,0,1,1,_maxLT),INDEX(elecCnH,1,7)*allOnes,tpSurvCnH)</f>
        <v>6004.9759657772483</v>
      </c>
      <c r="G146" s="39">
        <f ca="1">SUMPRODUCT(OFFSET(tConvElecCnH,0,2,1,_maxLT),INDEX(elecCnH,1,7)*allOnes,tpSurvCnH)</f>
        <v>5955.0619241209906</v>
      </c>
      <c r="H146" s="39">
        <f ca="1">SUMPRODUCT(OFFSET(tConvElecCnH,0,3,1,_maxLT),INDEX(elecCnH,1,7)*allOnes,tpSurvCnH)</f>
        <v>5907.2487269130906</v>
      </c>
      <c r="I146" s="39">
        <f ca="1">SUMPRODUCT(OFFSET(tConvElecCnH,0,4,1,_maxLT),INDEX(elecCnH,1,7)*allOnes,tpSurvCnH)</f>
        <v>5865.1178516256768</v>
      </c>
      <c r="J146" s="39">
        <f ca="1">SUMPRODUCT(OFFSET(tConvElecCnH,0,5,1,_maxLT),INDEX(elecCnH,1,7)*allOnes,tpSurvCnH)</f>
        <v>5832.101192373314</v>
      </c>
      <c r="K146" s="39">
        <f ca="1">SUMPRODUCT(OFFSET(tConvElecCnH,0,6,1,_maxLT),INDEX(elecCnH,1,7)*allOnes,tpSurvCnH)</f>
        <v>5804.3700001755014</v>
      </c>
      <c r="L146" s="39">
        <f ca="1">SUMPRODUCT(OFFSET(tConvElecCnH,0,7,1,_maxLT),INDEX(elecCnH,1,7)*allOnes,tpSurvCnH)</f>
        <v>5776.3066874409515</v>
      </c>
      <c r="M146" s="39">
        <f ca="1">SUMPRODUCT(OFFSET(tConvElecCnH,0,8,1,_maxLT),INDEX(elecCnH,1,7)*allOnes,tpSurvCnH)</f>
        <v>5753.5807611188511</v>
      </c>
      <c r="N146" s="39">
        <f ca="1">SUMPRODUCT(OFFSET(tConvElecCnH,0,9,1,_maxLT),INDEX(elecCnH,1,7)*allOnes,tpSurvCnH)</f>
        <v>5737.5782718916653</v>
      </c>
      <c r="O146" s="39">
        <f ca="1">SUMPRODUCT(OFFSET(tConvElecCnH,0,10,1,_maxLT),INDEX(elecCnH,1,7)*allOnes,tpSurvCnH)</f>
        <v>5725.6648293146754</v>
      </c>
      <c r="P146" s="39">
        <f ca="1">SUMPRODUCT(OFFSET(tConvElecCnH,0,11,1,_maxLT),INDEX(elecCnH,1,7)*allOnes,tpSurvCnH)</f>
        <v>5715.502449045588</v>
      </c>
      <c r="Q146" s="39">
        <f ca="1">SUMPRODUCT(OFFSET(tConvElecCnH,0,12,1,_maxLT),INDEX(elecCnH,1,7)*allOnes,tpSurvCnH)</f>
        <v>5707.8734803054876</v>
      </c>
      <c r="R146" s="39">
        <f ca="1">SUMPRODUCT(OFFSET(tConvElecCnH,0,13,1,_maxLT),INDEX(elecCnH,1,7)*allOnes,tpSurvCnH)</f>
        <v>5701.9512197157674</v>
      </c>
      <c r="S146" s="39">
        <f ca="1">SUMPRODUCT(OFFSET(tConvElecCnH,0,14,1,_maxLT),INDEX(elecCnH,1,7)*allOnes,tpSurvCnH)</f>
        <v>5700.7540393660138</v>
      </c>
      <c r="T146" s="39">
        <f ca="1">SUMPRODUCT(OFFSET(tConvElecCnH,0,15,1,_maxLT),INDEX(elecCnH,1,7)*allOnes,tpSurvCnH)</f>
        <v>5701.7176686314087</v>
      </c>
      <c r="U146" s="39">
        <f ca="1">SUMPRODUCT(OFFSET(tConvElecCnH,0,16,1,_maxLT),INDEX(elecCnH,1,7)*allOnes,tpSurvCnH)</f>
        <v>5703.4047726915942</v>
      </c>
      <c r="V146" s="39">
        <f ca="1">SUMPRODUCT(OFFSET(tConvElecCnH,0,17,1,_maxLT),INDEX(elecCnH,1,7)*allOnes,tpSurvCnH)</f>
        <v>5706.0059455274768</v>
      </c>
      <c r="W146" s="39">
        <f ca="1">SUMPRODUCT(OFFSET(tConvElecCnH,0,18,1,_maxLT),INDEX(elecCnH,1,7)*allOnes,tpSurvCnH)</f>
        <v>5708.5055400804295</v>
      </c>
      <c r="X146" s="39">
        <f ca="1">SUMPRODUCT(OFFSET(tConvElecCnH,0,19,1,_maxLT),INDEX(elecCnH,1,7)*allOnes,tpSurvCnH)</f>
        <v>5710.5794676910455</v>
      </c>
      <c r="Y146" s="39">
        <f ca="1">SUMPRODUCT(OFFSET(tConvElecCnH,0,20,1,_maxLT),INDEX(elecCnH,1,7)*allOnes,tpSurvCnH)</f>
        <v>5711.9698939938426</v>
      </c>
      <c r="Z146" s="39">
        <f ca="1">SUMPRODUCT(OFFSET(tConvElecCnH,0,21,1,_maxLT),INDEX(elecCnH,1,7)*allOnes,tpSurvCnH)</f>
        <v>5712.9281990681657</v>
      </c>
      <c r="AA146" s="39">
        <f ca="1">SUMPRODUCT(OFFSET(tConvElecCnH,0,22,1,_maxLT),INDEX(elecCnH,1,7)*allOnes,tpSurvCnH)</f>
        <v>5712.9281990681657</v>
      </c>
      <c r="AB146" s="39">
        <f ca="1">SUMPRODUCT(OFFSET(tConvElecCnH,0,23,1,_maxLT),INDEX(elecCnH,1,7)*allOnes,tpSurvCnH)</f>
        <v>5712.9281990681657</v>
      </c>
      <c r="AC146" s="39">
        <f ca="1">SUMPRODUCT(OFFSET(tConvElecCnH,0,24,1,_maxLT),INDEX(elecCnH,1,7)*allOnes,tpSurvCnH)</f>
        <v>5712.9281990681657</v>
      </c>
      <c r="AD146" s="39">
        <f ca="1">SUMPRODUCT(OFFSET(tConvElecCnH,0,25,1,_maxLT),INDEX(elecCnH,1,7)*allOnes,tpSurvCnH)</f>
        <v>5712.9281990681657</v>
      </c>
      <c r="AE146" s="39">
        <f ca="1">SUMPRODUCT(OFFSET(tConvElecCnH,0,26,1,_maxLT),INDEX(elecCnH,1,7)*allOnes,tpSurvCnH)</f>
        <v>5712.9281990681657</v>
      </c>
      <c r="AF146" s="39">
        <f ca="1">SUMPRODUCT(OFFSET(tConvElecCnH,0,27,1,_maxLT),INDEX(elecCnH,1,7)*allOnes,tpSurvCnH)</f>
        <v>5712.9281990681657</v>
      </c>
      <c r="AG146" s="39">
        <f ca="1">SUMPRODUCT(OFFSET(tConvElecCnH,0,28,1,_maxLT),INDEX(elecCnH,1,7)*allOnes,tpSurvCnH)</f>
        <v>5712.9281990681657</v>
      </c>
      <c r="AH146" s="39">
        <f ca="1">SUMPRODUCT(OFFSET(tConvElecCnH,0,29,1,_maxLT),INDEX(elecCnH,1,7)*allOnes,tpSurvCnH)</f>
        <v>5712.9281990681657</v>
      </c>
      <c r="AI146" s="39">
        <f ca="1">SUMPRODUCT(OFFSET(tConvElecCnH,0,30,1,_maxLT),INDEX(elecCnH,1,7)*allOnes,tpSurvCnH)</f>
        <v>5712.9281990681657</v>
      </c>
      <c r="AJ146" s="39">
        <f ca="1">SUMPRODUCT(OFFSET(tConvElecCnH,0,31,1,_maxLT),INDEX(elecCnH,1,7)*allOnes,tpSurvCnH)</f>
        <v>5712.9281990681657</v>
      </c>
      <c r="AK146" s="39">
        <f ca="1">SUMPRODUCT(OFFSET(tConvElecCnH,0,32,1,_maxLT),INDEX(elecCnH,1,7)*allOnes,tpSurvCnH)</f>
        <v>5712.9281990681657</v>
      </c>
      <c r="AL146" s="40">
        <f ca="1">SUMPRODUCT(OFFSET(tConvElecCnH,0,33,1,_maxLT),INDEX(elecCnH,1,7)*allOnes,tpSurvCnH)</f>
        <v>5712.9281990681657</v>
      </c>
      <c r="AM146" s="10"/>
    </row>
    <row r="147" spans="2:39">
      <c r="B147" s="10"/>
      <c r="C147" s="41" t="str">
        <f ca="1">"Std (CSL " &amp; stdCSL &amp; "): " &amp; INDEX(_doName,3,stdCSL+1)</f>
        <v>Std (CSL 5): EL 5</v>
      </c>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3"/>
      <c r="AM147" s="10"/>
    </row>
    <row r="148" spans="2:39">
      <c r="B148" s="10"/>
      <c r="C148" s="57" t="str">
        <f>"EL 0: " &amp; INDEX(_doName,3,1)</f>
        <v>EL 0: EL 2</v>
      </c>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3"/>
      <c r="AM148" s="10"/>
    </row>
    <row r="149" spans="2:39">
      <c r="B149" s="10"/>
      <c r="C149" s="16" t="s">
        <v>69</v>
      </c>
      <c r="D149" s="12" t="str">
        <f>_yearDol &amp; "$"</f>
        <v>2015$</v>
      </c>
      <c r="E149" s="13">
        <f t="array" aca="1" ref="E149:AL149" ca="1">INDEX(mspCnH,stdCSL+1,1)*tPIdxAll + INDEX(instCnH,stdCSL+1,1) + IF(bESav,SUMPRODUCT(dFactor,tpSurvCnH,INDEX(mrCnH,stdCSL+1,1)*allOnes),0)</f>
        <v>0</v>
      </c>
      <c r="F149" s="13">
        <f ca="1"/>
        <v>0</v>
      </c>
      <c r="G149" s="13">
        <f ca="1"/>
        <v>0</v>
      </c>
      <c r="H149" s="13">
        <f ca="1"/>
        <v>0</v>
      </c>
      <c r="I149" s="13">
        <f ca="1"/>
        <v>0</v>
      </c>
      <c r="J149" s="13">
        <f ca="1"/>
        <v>0</v>
      </c>
      <c r="K149" s="13">
        <f ca="1"/>
        <v>0</v>
      </c>
      <c r="L149" s="13">
        <f ca="1"/>
        <v>0</v>
      </c>
      <c r="M149" s="13">
        <f ca="1"/>
        <v>0</v>
      </c>
      <c r="N149" s="13">
        <f ca="1"/>
        <v>0</v>
      </c>
      <c r="O149" s="13">
        <f ca="1"/>
        <v>0</v>
      </c>
      <c r="P149" s="13">
        <f ca="1"/>
        <v>0</v>
      </c>
      <c r="Q149" s="13">
        <f ca="1"/>
        <v>0</v>
      </c>
      <c r="R149" s="13">
        <f ca="1"/>
        <v>0</v>
      </c>
      <c r="S149" s="13">
        <f ca="1"/>
        <v>0</v>
      </c>
      <c r="T149" s="13">
        <f ca="1"/>
        <v>0</v>
      </c>
      <c r="U149" s="13">
        <f ca="1"/>
        <v>0</v>
      </c>
      <c r="V149" s="13">
        <f ca="1"/>
        <v>0</v>
      </c>
      <c r="W149" s="13">
        <f ca="1"/>
        <v>0</v>
      </c>
      <c r="X149" s="13">
        <f ca="1"/>
        <v>0</v>
      </c>
      <c r="Y149" s="13">
        <f ca="1"/>
        <v>0</v>
      </c>
      <c r="Z149" s="13">
        <f ca="1"/>
        <v>0</v>
      </c>
      <c r="AA149" s="13">
        <f ca="1"/>
        <v>0</v>
      </c>
      <c r="AB149" s="13">
        <f ca="1"/>
        <v>0</v>
      </c>
      <c r="AC149" s="13">
        <f ca="1"/>
        <v>0</v>
      </c>
      <c r="AD149" s="13">
        <f ca="1"/>
        <v>0</v>
      </c>
      <c r="AE149" s="13">
        <f ca="1"/>
        <v>0</v>
      </c>
      <c r="AF149" s="13">
        <f ca="1"/>
        <v>0</v>
      </c>
      <c r="AG149" s="13">
        <f ca="1"/>
        <v>0</v>
      </c>
      <c r="AH149" s="13">
        <f ca="1"/>
        <v>0</v>
      </c>
      <c r="AI149" s="13">
        <f ca="1"/>
        <v>0</v>
      </c>
      <c r="AJ149" s="13">
        <f ca="1"/>
        <v>0</v>
      </c>
      <c r="AK149" s="13">
        <f ca="1"/>
        <v>0</v>
      </c>
      <c r="AL149" s="56">
        <f ca="1"/>
        <v>0</v>
      </c>
      <c r="AM149" s="10"/>
    </row>
    <row r="150" spans="2:39">
      <c r="B150" s="10"/>
      <c r="C150" s="16" t="str">
        <f>zEO&amp;" Costs"</f>
        <v>Operating Costs</v>
      </c>
      <c r="D150" s="12" t="str">
        <f>_yearDol &amp; "$"</f>
        <v>2015$</v>
      </c>
      <c r="E150" s="13">
        <f t="array" aca="1" ref="E150:AL150" ca="1">(tlccEFuElecpol0) + IF(bOSav,SUMPRODUCT(dFactor,tpSurvCnH,INDEX(mrCnH,stdCSL+1,1)*allOnes),0)</f>
        <v>0</v>
      </c>
      <c r="F150" s="13">
        <f ca="1"/>
        <v>0</v>
      </c>
      <c r="G150" s="13">
        <f ca="1"/>
        <v>0</v>
      </c>
      <c r="H150" s="13">
        <f ca="1"/>
        <v>0</v>
      </c>
      <c r="I150" s="13">
        <f ca="1"/>
        <v>0</v>
      </c>
      <c r="J150" s="13">
        <f ca="1"/>
        <v>0</v>
      </c>
      <c r="K150" s="13">
        <f ca="1"/>
        <v>0</v>
      </c>
      <c r="L150" s="13">
        <f ca="1"/>
        <v>0</v>
      </c>
      <c r="M150" s="13">
        <f ca="1"/>
        <v>0</v>
      </c>
      <c r="N150" s="13">
        <f ca="1"/>
        <v>0</v>
      </c>
      <c r="O150" s="13">
        <f ca="1"/>
        <v>0</v>
      </c>
      <c r="P150" s="13">
        <f ca="1"/>
        <v>0</v>
      </c>
      <c r="Q150" s="13">
        <f ca="1"/>
        <v>0</v>
      </c>
      <c r="R150" s="13">
        <f ca="1"/>
        <v>0</v>
      </c>
      <c r="S150" s="13">
        <f ca="1"/>
        <v>0</v>
      </c>
      <c r="T150" s="13">
        <f ca="1"/>
        <v>0</v>
      </c>
      <c r="U150" s="13">
        <f ca="1"/>
        <v>0</v>
      </c>
      <c r="V150" s="13">
        <f ca="1"/>
        <v>0</v>
      </c>
      <c r="W150" s="13">
        <f ca="1"/>
        <v>0</v>
      </c>
      <c r="X150" s="13">
        <f ca="1"/>
        <v>0</v>
      </c>
      <c r="Y150" s="13">
        <f ca="1"/>
        <v>0</v>
      </c>
      <c r="Z150" s="13">
        <f ca="1"/>
        <v>0</v>
      </c>
      <c r="AA150" s="13">
        <f ca="1"/>
        <v>0</v>
      </c>
      <c r="AB150" s="13">
        <f ca="1"/>
        <v>0</v>
      </c>
      <c r="AC150" s="13">
        <f ca="1"/>
        <v>0</v>
      </c>
      <c r="AD150" s="13">
        <f ca="1"/>
        <v>0</v>
      </c>
      <c r="AE150" s="13">
        <f ca="1"/>
        <v>0</v>
      </c>
      <c r="AF150" s="13">
        <f ca="1"/>
        <v>0</v>
      </c>
      <c r="AG150" s="13">
        <f ca="1"/>
        <v>0</v>
      </c>
      <c r="AH150" s="13">
        <f ca="1"/>
        <v>0</v>
      </c>
      <c r="AI150" s="13">
        <f ca="1"/>
        <v>0</v>
      </c>
      <c r="AJ150" s="13">
        <f ca="1"/>
        <v>0</v>
      </c>
      <c r="AK150" s="13">
        <f ca="1"/>
        <v>0</v>
      </c>
      <c r="AL150" s="56">
        <f ca="1"/>
        <v>0</v>
      </c>
      <c r="AM150" s="10"/>
    </row>
    <row r="151" spans="2:39">
      <c r="B151" s="10"/>
      <c r="C151" s="28" t="str">
        <f>INDEX(_fuel,1)</f>
        <v>Electricity</v>
      </c>
      <c r="D151" s="12" t="str">
        <f>_yearDol &amp; "$"</f>
        <v>2015$</v>
      </c>
      <c r="E151" s="13">
        <f ca="1">SUMPRODUCT(dFactor,tpSurvCnH,INDEX(elecCnH,stdCSL+1,1)*allOnes,OFFSET(tPrcElec,0,0,1,_maxLT))</f>
        <v>0</v>
      </c>
      <c r="F151" s="13">
        <f ca="1">SUMPRODUCT(dFactor,tpSurvCnH,INDEX(elecCnH,stdCSL+1,1)*allOnes,OFFSET(tPrcElec,0,1,1,_maxLT))</f>
        <v>0</v>
      </c>
      <c r="G151" s="13">
        <f ca="1">SUMPRODUCT(dFactor,tpSurvCnH,INDEX(elecCnH,stdCSL+1,1)*allOnes,OFFSET(tPrcElec,0,2,1,_maxLT))</f>
        <v>0</v>
      </c>
      <c r="H151" s="13">
        <f ca="1">SUMPRODUCT(dFactor,tpSurvCnH,INDEX(elecCnH,stdCSL+1,1)*allOnes,OFFSET(tPrcElec,0,3,1,_maxLT))</f>
        <v>0</v>
      </c>
      <c r="I151" s="13">
        <f ca="1">SUMPRODUCT(dFactor,tpSurvCnH,INDEX(elecCnH,stdCSL+1,1)*allOnes,OFFSET(tPrcElec,0,4,1,_maxLT))</f>
        <v>0</v>
      </c>
      <c r="J151" s="13">
        <f ca="1">SUMPRODUCT(dFactor,tpSurvCnH,INDEX(elecCnH,stdCSL+1,1)*allOnes,OFFSET(tPrcElec,0,5,1,_maxLT))</f>
        <v>0</v>
      </c>
      <c r="K151" s="13">
        <f ca="1">SUMPRODUCT(dFactor,tpSurvCnH,INDEX(elecCnH,stdCSL+1,1)*allOnes,OFFSET(tPrcElec,0,6,1,_maxLT))</f>
        <v>0</v>
      </c>
      <c r="L151" s="13">
        <f ca="1">SUMPRODUCT(dFactor,tpSurvCnH,INDEX(elecCnH,stdCSL+1,1)*allOnes,OFFSET(tPrcElec,0,7,1,_maxLT))</f>
        <v>0</v>
      </c>
      <c r="M151" s="13">
        <f ca="1">SUMPRODUCT(dFactor,tpSurvCnH,INDEX(elecCnH,stdCSL+1,1)*allOnes,OFFSET(tPrcElec,0,8,1,_maxLT))</f>
        <v>0</v>
      </c>
      <c r="N151" s="13">
        <f ca="1">SUMPRODUCT(dFactor,tpSurvCnH,INDEX(elecCnH,stdCSL+1,1)*allOnes,OFFSET(tPrcElec,0,9,1,_maxLT))</f>
        <v>0</v>
      </c>
      <c r="O151" s="13">
        <f ca="1">SUMPRODUCT(dFactor,tpSurvCnH,INDEX(elecCnH,stdCSL+1,1)*allOnes,OFFSET(tPrcElec,0,10,1,_maxLT))</f>
        <v>0</v>
      </c>
      <c r="P151" s="13">
        <f ca="1">SUMPRODUCT(dFactor,tpSurvCnH,INDEX(elecCnH,stdCSL+1,1)*allOnes,OFFSET(tPrcElec,0,11,1,_maxLT))</f>
        <v>0</v>
      </c>
      <c r="Q151" s="13">
        <f ca="1">SUMPRODUCT(dFactor,tpSurvCnH,INDEX(elecCnH,stdCSL+1,1)*allOnes,OFFSET(tPrcElec,0,12,1,_maxLT))</f>
        <v>0</v>
      </c>
      <c r="R151" s="13">
        <f ca="1">SUMPRODUCT(dFactor,tpSurvCnH,INDEX(elecCnH,stdCSL+1,1)*allOnes,OFFSET(tPrcElec,0,13,1,_maxLT))</f>
        <v>0</v>
      </c>
      <c r="S151" s="13">
        <f ca="1">SUMPRODUCT(dFactor,tpSurvCnH,INDEX(elecCnH,stdCSL+1,1)*allOnes,OFFSET(tPrcElec,0,14,1,_maxLT))</f>
        <v>0</v>
      </c>
      <c r="T151" s="13">
        <f ca="1">SUMPRODUCT(dFactor,tpSurvCnH,INDEX(elecCnH,stdCSL+1,1)*allOnes,OFFSET(tPrcElec,0,15,1,_maxLT))</f>
        <v>0</v>
      </c>
      <c r="U151" s="13">
        <f ca="1">SUMPRODUCT(dFactor,tpSurvCnH,INDEX(elecCnH,stdCSL+1,1)*allOnes,OFFSET(tPrcElec,0,16,1,_maxLT))</f>
        <v>0</v>
      </c>
      <c r="V151" s="13">
        <f ca="1">SUMPRODUCT(dFactor,tpSurvCnH,INDEX(elecCnH,stdCSL+1,1)*allOnes,OFFSET(tPrcElec,0,17,1,_maxLT))</f>
        <v>0</v>
      </c>
      <c r="W151" s="13">
        <f ca="1">SUMPRODUCT(dFactor,tpSurvCnH,INDEX(elecCnH,stdCSL+1,1)*allOnes,OFFSET(tPrcElec,0,18,1,_maxLT))</f>
        <v>0</v>
      </c>
      <c r="X151" s="13">
        <f ca="1">SUMPRODUCT(dFactor,tpSurvCnH,INDEX(elecCnH,stdCSL+1,1)*allOnes,OFFSET(tPrcElec,0,19,1,_maxLT))</f>
        <v>0</v>
      </c>
      <c r="Y151" s="13">
        <f ca="1">SUMPRODUCT(dFactor,tpSurvCnH,INDEX(elecCnH,stdCSL+1,1)*allOnes,OFFSET(tPrcElec,0,20,1,_maxLT))</f>
        <v>0</v>
      </c>
      <c r="Z151" s="13">
        <f ca="1">SUMPRODUCT(dFactor,tpSurvCnH,INDEX(elecCnH,stdCSL+1,1)*allOnes,OFFSET(tPrcElec,0,21,1,_maxLT))</f>
        <v>0</v>
      </c>
      <c r="AA151" s="13">
        <f ca="1">SUMPRODUCT(dFactor,tpSurvCnH,INDEX(elecCnH,stdCSL+1,1)*allOnes,OFFSET(tPrcElec,0,22,1,_maxLT))</f>
        <v>0</v>
      </c>
      <c r="AB151" s="13">
        <f ca="1">SUMPRODUCT(dFactor,tpSurvCnH,INDEX(elecCnH,stdCSL+1,1)*allOnes,OFFSET(tPrcElec,0,23,1,_maxLT))</f>
        <v>0</v>
      </c>
      <c r="AC151" s="13">
        <f ca="1">SUMPRODUCT(dFactor,tpSurvCnH,INDEX(elecCnH,stdCSL+1,1)*allOnes,OFFSET(tPrcElec,0,24,1,_maxLT))</f>
        <v>0</v>
      </c>
      <c r="AD151" s="13">
        <f ca="1">SUMPRODUCT(dFactor,tpSurvCnH,INDEX(elecCnH,stdCSL+1,1)*allOnes,OFFSET(tPrcElec,0,25,1,_maxLT))</f>
        <v>0</v>
      </c>
      <c r="AE151" s="13">
        <f ca="1">SUMPRODUCT(dFactor,tpSurvCnH,INDEX(elecCnH,stdCSL+1,1)*allOnes,OFFSET(tPrcElec,0,26,1,_maxLT))</f>
        <v>0</v>
      </c>
      <c r="AF151" s="13">
        <f ca="1">SUMPRODUCT(dFactor,tpSurvCnH,INDEX(elecCnH,stdCSL+1,1)*allOnes,OFFSET(tPrcElec,0,27,1,_maxLT))</f>
        <v>0</v>
      </c>
      <c r="AG151" s="13">
        <f ca="1">SUMPRODUCT(dFactor,tpSurvCnH,INDEX(elecCnH,stdCSL+1,1)*allOnes,OFFSET(tPrcElec,0,28,1,_maxLT))</f>
        <v>0</v>
      </c>
      <c r="AH151" s="13">
        <f ca="1">SUMPRODUCT(dFactor,tpSurvCnH,INDEX(elecCnH,stdCSL+1,1)*allOnes,OFFSET(tPrcElec,0,29,1,_maxLT))</f>
        <v>0</v>
      </c>
      <c r="AI151" s="13">
        <f ca="1">SUMPRODUCT(dFactor,tpSurvCnH,INDEX(elecCnH,stdCSL+1,1)*allOnes,OFFSET(tPrcElec,0,30,1,_maxLT))</f>
        <v>0</v>
      </c>
      <c r="AJ151" s="13">
        <f ca="1">SUMPRODUCT(dFactor,tpSurvCnH,INDEX(elecCnH,stdCSL+1,1)*allOnes,OFFSET(tPrcElec,0,31,1,_maxLT))</f>
        <v>0</v>
      </c>
      <c r="AK151" s="13">
        <f ca="1">SUMPRODUCT(dFactor,tpSurvCnH,INDEX(elecCnH,stdCSL+1,1)*allOnes,OFFSET(tPrcElec,0,32,1,_maxLT))</f>
        <v>0</v>
      </c>
      <c r="AL151" s="56">
        <f ca="1">SUMPRODUCT(dFactor,tpSurvCnH,INDEX(elecCnH,stdCSL+1,1)*allOnes,OFFSET(tPrcElec,0,33,1,_maxLT))</f>
        <v>0</v>
      </c>
      <c r="AM151" s="10"/>
    </row>
    <row r="152" spans="2:39">
      <c r="B152" s="10"/>
      <c r="C152" s="16" t="s">
        <v>79</v>
      </c>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5"/>
      <c r="AM152" s="10"/>
    </row>
    <row r="153" spans="2:39">
      <c r="B153" s="10"/>
      <c r="C153" s="28" t="str">
        <f>INDEX(_fuel,1)</f>
        <v>Electricity</v>
      </c>
      <c r="D153" s="12" t="s">
        <v>83</v>
      </c>
      <c r="E153" s="39">
        <f ca="1">SUMPRODUCT(OFFSET(tConvElecCnH,0,0,1,_maxLT),INDEX(elecCnH,stdCSL+1,1)*allOnes,tpSurvCnH)</f>
        <v>0</v>
      </c>
      <c r="F153" s="39">
        <f ca="1">SUMPRODUCT(OFFSET(tConvElecCnH,0,1,1,_maxLT),INDEX(elecCnH,stdCSL+1,1)*allOnes,tpSurvCnH)</f>
        <v>0</v>
      </c>
      <c r="G153" s="39">
        <f ca="1">SUMPRODUCT(OFFSET(tConvElecCnH,0,2,1,_maxLT),INDEX(elecCnH,stdCSL+1,1)*allOnes,tpSurvCnH)</f>
        <v>0</v>
      </c>
      <c r="H153" s="39">
        <f ca="1">SUMPRODUCT(OFFSET(tConvElecCnH,0,3,1,_maxLT),INDEX(elecCnH,stdCSL+1,1)*allOnes,tpSurvCnH)</f>
        <v>0</v>
      </c>
      <c r="I153" s="39">
        <f ca="1">SUMPRODUCT(OFFSET(tConvElecCnH,0,4,1,_maxLT),INDEX(elecCnH,stdCSL+1,1)*allOnes,tpSurvCnH)</f>
        <v>0</v>
      </c>
      <c r="J153" s="39">
        <f ca="1">SUMPRODUCT(OFFSET(tConvElecCnH,0,5,1,_maxLT),INDEX(elecCnH,stdCSL+1,1)*allOnes,tpSurvCnH)</f>
        <v>0</v>
      </c>
      <c r="K153" s="39">
        <f ca="1">SUMPRODUCT(OFFSET(tConvElecCnH,0,6,1,_maxLT),INDEX(elecCnH,stdCSL+1,1)*allOnes,tpSurvCnH)</f>
        <v>0</v>
      </c>
      <c r="L153" s="39">
        <f ca="1">SUMPRODUCT(OFFSET(tConvElecCnH,0,7,1,_maxLT),INDEX(elecCnH,stdCSL+1,1)*allOnes,tpSurvCnH)</f>
        <v>0</v>
      </c>
      <c r="M153" s="39">
        <f ca="1">SUMPRODUCT(OFFSET(tConvElecCnH,0,8,1,_maxLT),INDEX(elecCnH,stdCSL+1,1)*allOnes,tpSurvCnH)</f>
        <v>0</v>
      </c>
      <c r="N153" s="39">
        <f ca="1">SUMPRODUCT(OFFSET(tConvElecCnH,0,9,1,_maxLT),INDEX(elecCnH,stdCSL+1,1)*allOnes,tpSurvCnH)</f>
        <v>0</v>
      </c>
      <c r="O153" s="39">
        <f ca="1">SUMPRODUCT(OFFSET(tConvElecCnH,0,10,1,_maxLT),INDEX(elecCnH,stdCSL+1,1)*allOnes,tpSurvCnH)</f>
        <v>0</v>
      </c>
      <c r="P153" s="39">
        <f ca="1">SUMPRODUCT(OFFSET(tConvElecCnH,0,11,1,_maxLT),INDEX(elecCnH,stdCSL+1,1)*allOnes,tpSurvCnH)</f>
        <v>0</v>
      </c>
      <c r="Q153" s="39">
        <f ca="1">SUMPRODUCT(OFFSET(tConvElecCnH,0,12,1,_maxLT),INDEX(elecCnH,stdCSL+1,1)*allOnes,tpSurvCnH)</f>
        <v>0</v>
      </c>
      <c r="R153" s="39">
        <f ca="1">SUMPRODUCT(OFFSET(tConvElecCnH,0,13,1,_maxLT),INDEX(elecCnH,stdCSL+1,1)*allOnes,tpSurvCnH)</f>
        <v>0</v>
      </c>
      <c r="S153" s="39">
        <f ca="1">SUMPRODUCT(OFFSET(tConvElecCnH,0,14,1,_maxLT),INDEX(elecCnH,stdCSL+1,1)*allOnes,tpSurvCnH)</f>
        <v>0</v>
      </c>
      <c r="T153" s="39">
        <f ca="1">SUMPRODUCT(OFFSET(tConvElecCnH,0,15,1,_maxLT),INDEX(elecCnH,stdCSL+1,1)*allOnes,tpSurvCnH)</f>
        <v>0</v>
      </c>
      <c r="U153" s="39">
        <f ca="1">SUMPRODUCT(OFFSET(tConvElecCnH,0,16,1,_maxLT),INDEX(elecCnH,stdCSL+1,1)*allOnes,tpSurvCnH)</f>
        <v>0</v>
      </c>
      <c r="V153" s="39">
        <f ca="1">SUMPRODUCT(OFFSET(tConvElecCnH,0,17,1,_maxLT),INDEX(elecCnH,stdCSL+1,1)*allOnes,tpSurvCnH)</f>
        <v>0</v>
      </c>
      <c r="W153" s="39">
        <f ca="1">SUMPRODUCT(OFFSET(tConvElecCnH,0,18,1,_maxLT),INDEX(elecCnH,stdCSL+1,1)*allOnes,tpSurvCnH)</f>
        <v>0</v>
      </c>
      <c r="X153" s="39">
        <f ca="1">SUMPRODUCT(OFFSET(tConvElecCnH,0,19,1,_maxLT),INDEX(elecCnH,stdCSL+1,1)*allOnes,tpSurvCnH)</f>
        <v>0</v>
      </c>
      <c r="Y153" s="39">
        <f ca="1">SUMPRODUCT(OFFSET(tConvElecCnH,0,20,1,_maxLT),INDEX(elecCnH,stdCSL+1,1)*allOnes,tpSurvCnH)</f>
        <v>0</v>
      </c>
      <c r="Z153" s="39">
        <f ca="1">SUMPRODUCT(OFFSET(tConvElecCnH,0,21,1,_maxLT),INDEX(elecCnH,stdCSL+1,1)*allOnes,tpSurvCnH)</f>
        <v>0</v>
      </c>
      <c r="AA153" s="39">
        <f ca="1">SUMPRODUCT(OFFSET(tConvElecCnH,0,22,1,_maxLT),INDEX(elecCnH,stdCSL+1,1)*allOnes,tpSurvCnH)</f>
        <v>0</v>
      </c>
      <c r="AB153" s="39">
        <f ca="1">SUMPRODUCT(OFFSET(tConvElecCnH,0,23,1,_maxLT),INDEX(elecCnH,stdCSL+1,1)*allOnes,tpSurvCnH)</f>
        <v>0</v>
      </c>
      <c r="AC153" s="39">
        <f ca="1">SUMPRODUCT(OFFSET(tConvElecCnH,0,24,1,_maxLT),INDEX(elecCnH,stdCSL+1,1)*allOnes,tpSurvCnH)</f>
        <v>0</v>
      </c>
      <c r="AD153" s="39">
        <f ca="1">SUMPRODUCT(OFFSET(tConvElecCnH,0,25,1,_maxLT),INDEX(elecCnH,stdCSL+1,1)*allOnes,tpSurvCnH)</f>
        <v>0</v>
      </c>
      <c r="AE153" s="39">
        <f ca="1">SUMPRODUCT(OFFSET(tConvElecCnH,0,26,1,_maxLT),INDEX(elecCnH,stdCSL+1,1)*allOnes,tpSurvCnH)</f>
        <v>0</v>
      </c>
      <c r="AF153" s="39">
        <f ca="1">SUMPRODUCT(OFFSET(tConvElecCnH,0,27,1,_maxLT),INDEX(elecCnH,stdCSL+1,1)*allOnes,tpSurvCnH)</f>
        <v>0</v>
      </c>
      <c r="AG153" s="39">
        <f ca="1">SUMPRODUCT(OFFSET(tConvElecCnH,0,28,1,_maxLT),INDEX(elecCnH,stdCSL+1,1)*allOnes,tpSurvCnH)</f>
        <v>0</v>
      </c>
      <c r="AH153" s="39">
        <f ca="1">SUMPRODUCT(OFFSET(tConvElecCnH,0,29,1,_maxLT),INDEX(elecCnH,stdCSL+1,1)*allOnes,tpSurvCnH)</f>
        <v>0</v>
      </c>
      <c r="AI153" s="39">
        <f ca="1">SUMPRODUCT(OFFSET(tConvElecCnH,0,30,1,_maxLT),INDEX(elecCnH,stdCSL+1,1)*allOnes,tpSurvCnH)</f>
        <v>0</v>
      </c>
      <c r="AJ153" s="39">
        <f ca="1">SUMPRODUCT(OFFSET(tConvElecCnH,0,31,1,_maxLT),INDEX(elecCnH,stdCSL+1,1)*allOnes,tpSurvCnH)</f>
        <v>0</v>
      </c>
      <c r="AK153" s="39">
        <f ca="1">SUMPRODUCT(OFFSET(tConvElecCnH,0,32,1,_maxLT),INDEX(elecCnH,stdCSL+1,1)*allOnes,tpSurvCnH)</f>
        <v>0</v>
      </c>
      <c r="AL153" s="40">
        <f ca="1">SUMPRODUCT(OFFSET(tConvElecCnH,0,33,1,_maxLT),INDEX(elecCnH,stdCSL+1,1)*allOnes,tpSurvCnH)</f>
        <v>0</v>
      </c>
      <c r="AM153" s="10"/>
    </row>
    <row r="154" spans="2:39">
      <c r="B154" s="10"/>
      <c r="C154" s="57" t="str">
        <f>"EL 1: " &amp; INDEX(_doName,3,2)</f>
        <v>EL 1: EL 1</v>
      </c>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3"/>
      <c r="AM154" s="10"/>
    </row>
    <row r="155" spans="2:39">
      <c r="B155" s="10"/>
      <c r="C155" s="16" t="s">
        <v>69</v>
      </c>
      <c r="D155" s="12" t="str">
        <f>_yearDol &amp; "$"</f>
        <v>2015$</v>
      </c>
      <c r="E155" s="13">
        <f t="array" aca="1" ref="E155:AL155" ca="1">INDEX(mspCnH,stdCSL+1,2)*tPIdxAll + INDEX(instCnH,stdCSL+1,2) + IF(bESav,SUMPRODUCT(dFactor,tpSurvCnH,INDEX(mrCnH,stdCSL+1,2)*allOnes),0)</f>
        <v>0</v>
      </c>
      <c r="F155" s="13">
        <f ca="1"/>
        <v>0</v>
      </c>
      <c r="G155" s="13">
        <f ca="1"/>
        <v>0</v>
      </c>
      <c r="H155" s="13">
        <f ca="1"/>
        <v>0</v>
      </c>
      <c r="I155" s="13">
        <f ca="1"/>
        <v>0</v>
      </c>
      <c r="J155" s="13">
        <f ca="1"/>
        <v>0</v>
      </c>
      <c r="K155" s="13">
        <f ca="1"/>
        <v>0</v>
      </c>
      <c r="L155" s="13">
        <f ca="1"/>
        <v>0</v>
      </c>
      <c r="M155" s="13">
        <f ca="1"/>
        <v>0</v>
      </c>
      <c r="N155" s="13">
        <f ca="1"/>
        <v>0</v>
      </c>
      <c r="O155" s="13">
        <f ca="1"/>
        <v>0</v>
      </c>
      <c r="P155" s="13">
        <f ca="1"/>
        <v>0</v>
      </c>
      <c r="Q155" s="13">
        <f ca="1"/>
        <v>0</v>
      </c>
      <c r="R155" s="13">
        <f ca="1"/>
        <v>0</v>
      </c>
      <c r="S155" s="13">
        <f ca="1"/>
        <v>0</v>
      </c>
      <c r="T155" s="13">
        <f ca="1"/>
        <v>0</v>
      </c>
      <c r="U155" s="13">
        <f ca="1"/>
        <v>0</v>
      </c>
      <c r="V155" s="13">
        <f ca="1"/>
        <v>0</v>
      </c>
      <c r="W155" s="13">
        <f ca="1"/>
        <v>0</v>
      </c>
      <c r="X155" s="13">
        <f ca="1"/>
        <v>0</v>
      </c>
      <c r="Y155" s="13">
        <f ca="1"/>
        <v>0</v>
      </c>
      <c r="Z155" s="13">
        <f ca="1"/>
        <v>0</v>
      </c>
      <c r="AA155" s="13">
        <f ca="1"/>
        <v>0</v>
      </c>
      <c r="AB155" s="13">
        <f ca="1"/>
        <v>0</v>
      </c>
      <c r="AC155" s="13">
        <f ca="1"/>
        <v>0</v>
      </c>
      <c r="AD155" s="13">
        <f ca="1"/>
        <v>0</v>
      </c>
      <c r="AE155" s="13">
        <f ca="1"/>
        <v>0</v>
      </c>
      <c r="AF155" s="13">
        <f ca="1"/>
        <v>0</v>
      </c>
      <c r="AG155" s="13">
        <f ca="1"/>
        <v>0</v>
      </c>
      <c r="AH155" s="13">
        <f ca="1"/>
        <v>0</v>
      </c>
      <c r="AI155" s="13">
        <f ca="1"/>
        <v>0</v>
      </c>
      <c r="AJ155" s="13">
        <f ca="1"/>
        <v>0</v>
      </c>
      <c r="AK155" s="13">
        <f ca="1"/>
        <v>0</v>
      </c>
      <c r="AL155" s="56">
        <f ca="1"/>
        <v>0</v>
      </c>
      <c r="AM155" s="10"/>
    </row>
    <row r="156" spans="2:39">
      <c r="B156" s="10"/>
      <c r="C156" s="16" t="str">
        <f>zEO&amp;" Costs"</f>
        <v>Operating Costs</v>
      </c>
      <c r="D156" s="12" t="str">
        <f>_yearDol &amp; "$"</f>
        <v>2015$</v>
      </c>
      <c r="E156" s="13">
        <f t="array" aca="1" ref="E156:AL156" ca="1">(tlccEFuElecpol1) + IF(bOSav,SUMPRODUCT(dFactor,tpSurvCnH,INDEX(mrCnH,stdCSL+1,2)*allOnes),0)</f>
        <v>0</v>
      </c>
      <c r="F156" s="13">
        <f ca="1"/>
        <v>0</v>
      </c>
      <c r="G156" s="13">
        <f ca="1"/>
        <v>0</v>
      </c>
      <c r="H156" s="13">
        <f ca="1"/>
        <v>0</v>
      </c>
      <c r="I156" s="13">
        <f ca="1"/>
        <v>0</v>
      </c>
      <c r="J156" s="13">
        <f ca="1"/>
        <v>0</v>
      </c>
      <c r="K156" s="13">
        <f ca="1"/>
        <v>0</v>
      </c>
      <c r="L156" s="13">
        <f ca="1"/>
        <v>0</v>
      </c>
      <c r="M156" s="13">
        <f ca="1"/>
        <v>0</v>
      </c>
      <c r="N156" s="13">
        <f ca="1"/>
        <v>0</v>
      </c>
      <c r="O156" s="13">
        <f ca="1"/>
        <v>0</v>
      </c>
      <c r="P156" s="13">
        <f ca="1"/>
        <v>0</v>
      </c>
      <c r="Q156" s="13">
        <f ca="1"/>
        <v>0</v>
      </c>
      <c r="R156" s="13">
        <f ca="1"/>
        <v>0</v>
      </c>
      <c r="S156" s="13">
        <f ca="1"/>
        <v>0</v>
      </c>
      <c r="T156" s="13">
        <f ca="1"/>
        <v>0</v>
      </c>
      <c r="U156" s="13">
        <f ca="1"/>
        <v>0</v>
      </c>
      <c r="V156" s="13">
        <f ca="1"/>
        <v>0</v>
      </c>
      <c r="W156" s="13">
        <f ca="1"/>
        <v>0</v>
      </c>
      <c r="X156" s="13">
        <f ca="1"/>
        <v>0</v>
      </c>
      <c r="Y156" s="13">
        <f ca="1"/>
        <v>0</v>
      </c>
      <c r="Z156" s="13">
        <f ca="1"/>
        <v>0</v>
      </c>
      <c r="AA156" s="13">
        <f ca="1"/>
        <v>0</v>
      </c>
      <c r="AB156" s="13">
        <f ca="1"/>
        <v>0</v>
      </c>
      <c r="AC156" s="13">
        <f ca="1"/>
        <v>0</v>
      </c>
      <c r="AD156" s="13">
        <f ca="1"/>
        <v>0</v>
      </c>
      <c r="AE156" s="13">
        <f ca="1"/>
        <v>0</v>
      </c>
      <c r="AF156" s="13">
        <f ca="1"/>
        <v>0</v>
      </c>
      <c r="AG156" s="13">
        <f ca="1"/>
        <v>0</v>
      </c>
      <c r="AH156" s="13">
        <f ca="1"/>
        <v>0</v>
      </c>
      <c r="AI156" s="13">
        <f ca="1"/>
        <v>0</v>
      </c>
      <c r="AJ156" s="13">
        <f ca="1"/>
        <v>0</v>
      </c>
      <c r="AK156" s="13">
        <f ca="1"/>
        <v>0</v>
      </c>
      <c r="AL156" s="56">
        <f ca="1"/>
        <v>0</v>
      </c>
      <c r="AM156" s="10"/>
    </row>
    <row r="157" spans="2:39">
      <c r="B157" s="10"/>
      <c r="C157" s="28" t="str">
        <f>INDEX(_fuel,1)</f>
        <v>Electricity</v>
      </c>
      <c r="D157" s="12" t="str">
        <f>_yearDol &amp; "$"</f>
        <v>2015$</v>
      </c>
      <c r="E157" s="13">
        <f ca="1">SUMPRODUCT(dFactor,tpSurvCnH,INDEX(elecCnH,stdCSL+1,2)*allOnes,OFFSET(tPrcElec,0,0,1,_maxLT))</f>
        <v>0</v>
      </c>
      <c r="F157" s="13">
        <f ca="1">SUMPRODUCT(dFactor,tpSurvCnH,INDEX(elecCnH,stdCSL+1,2)*allOnes,OFFSET(tPrcElec,0,1,1,_maxLT))</f>
        <v>0</v>
      </c>
      <c r="G157" s="13">
        <f ca="1">SUMPRODUCT(dFactor,tpSurvCnH,INDEX(elecCnH,stdCSL+1,2)*allOnes,OFFSET(tPrcElec,0,2,1,_maxLT))</f>
        <v>0</v>
      </c>
      <c r="H157" s="13">
        <f ca="1">SUMPRODUCT(dFactor,tpSurvCnH,INDEX(elecCnH,stdCSL+1,2)*allOnes,OFFSET(tPrcElec,0,3,1,_maxLT))</f>
        <v>0</v>
      </c>
      <c r="I157" s="13">
        <f ca="1">SUMPRODUCT(dFactor,tpSurvCnH,INDEX(elecCnH,stdCSL+1,2)*allOnes,OFFSET(tPrcElec,0,4,1,_maxLT))</f>
        <v>0</v>
      </c>
      <c r="J157" s="13">
        <f ca="1">SUMPRODUCT(dFactor,tpSurvCnH,INDEX(elecCnH,stdCSL+1,2)*allOnes,OFFSET(tPrcElec,0,5,1,_maxLT))</f>
        <v>0</v>
      </c>
      <c r="K157" s="13">
        <f ca="1">SUMPRODUCT(dFactor,tpSurvCnH,INDEX(elecCnH,stdCSL+1,2)*allOnes,OFFSET(tPrcElec,0,6,1,_maxLT))</f>
        <v>0</v>
      </c>
      <c r="L157" s="13">
        <f ca="1">SUMPRODUCT(dFactor,tpSurvCnH,INDEX(elecCnH,stdCSL+1,2)*allOnes,OFFSET(tPrcElec,0,7,1,_maxLT))</f>
        <v>0</v>
      </c>
      <c r="M157" s="13">
        <f ca="1">SUMPRODUCT(dFactor,tpSurvCnH,INDEX(elecCnH,stdCSL+1,2)*allOnes,OFFSET(tPrcElec,0,8,1,_maxLT))</f>
        <v>0</v>
      </c>
      <c r="N157" s="13">
        <f ca="1">SUMPRODUCT(dFactor,tpSurvCnH,INDEX(elecCnH,stdCSL+1,2)*allOnes,OFFSET(tPrcElec,0,9,1,_maxLT))</f>
        <v>0</v>
      </c>
      <c r="O157" s="13">
        <f ca="1">SUMPRODUCT(dFactor,tpSurvCnH,INDEX(elecCnH,stdCSL+1,2)*allOnes,OFFSET(tPrcElec,0,10,1,_maxLT))</f>
        <v>0</v>
      </c>
      <c r="P157" s="13">
        <f ca="1">SUMPRODUCT(dFactor,tpSurvCnH,INDEX(elecCnH,stdCSL+1,2)*allOnes,OFFSET(tPrcElec,0,11,1,_maxLT))</f>
        <v>0</v>
      </c>
      <c r="Q157" s="13">
        <f ca="1">SUMPRODUCT(dFactor,tpSurvCnH,INDEX(elecCnH,stdCSL+1,2)*allOnes,OFFSET(tPrcElec,0,12,1,_maxLT))</f>
        <v>0</v>
      </c>
      <c r="R157" s="13">
        <f ca="1">SUMPRODUCT(dFactor,tpSurvCnH,INDEX(elecCnH,stdCSL+1,2)*allOnes,OFFSET(tPrcElec,0,13,1,_maxLT))</f>
        <v>0</v>
      </c>
      <c r="S157" s="13">
        <f ca="1">SUMPRODUCT(dFactor,tpSurvCnH,INDEX(elecCnH,stdCSL+1,2)*allOnes,OFFSET(tPrcElec,0,14,1,_maxLT))</f>
        <v>0</v>
      </c>
      <c r="T157" s="13">
        <f ca="1">SUMPRODUCT(dFactor,tpSurvCnH,INDEX(elecCnH,stdCSL+1,2)*allOnes,OFFSET(tPrcElec,0,15,1,_maxLT))</f>
        <v>0</v>
      </c>
      <c r="U157" s="13">
        <f ca="1">SUMPRODUCT(dFactor,tpSurvCnH,INDEX(elecCnH,stdCSL+1,2)*allOnes,OFFSET(tPrcElec,0,16,1,_maxLT))</f>
        <v>0</v>
      </c>
      <c r="V157" s="13">
        <f ca="1">SUMPRODUCT(dFactor,tpSurvCnH,INDEX(elecCnH,stdCSL+1,2)*allOnes,OFFSET(tPrcElec,0,17,1,_maxLT))</f>
        <v>0</v>
      </c>
      <c r="W157" s="13">
        <f ca="1">SUMPRODUCT(dFactor,tpSurvCnH,INDEX(elecCnH,stdCSL+1,2)*allOnes,OFFSET(tPrcElec,0,18,1,_maxLT))</f>
        <v>0</v>
      </c>
      <c r="X157" s="13">
        <f ca="1">SUMPRODUCT(dFactor,tpSurvCnH,INDEX(elecCnH,stdCSL+1,2)*allOnes,OFFSET(tPrcElec,0,19,1,_maxLT))</f>
        <v>0</v>
      </c>
      <c r="Y157" s="13">
        <f ca="1">SUMPRODUCT(dFactor,tpSurvCnH,INDEX(elecCnH,stdCSL+1,2)*allOnes,OFFSET(tPrcElec,0,20,1,_maxLT))</f>
        <v>0</v>
      </c>
      <c r="Z157" s="13">
        <f ca="1">SUMPRODUCT(dFactor,tpSurvCnH,INDEX(elecCnH,stdCSL+1,2)*allOnes,OFFSET(tPrcElec,0,21,1,_maxLT))</f>
        <v>0</v>
      </c>
      <c r="AA157" s="13">
        <f ca="1">SUMPRODUCT(dFactor,tpSurvCnH,INDEX(elecCnH,stdCSL+1,2)*allOnes,OFFSET(tPrcElec,0,22,1,_maxLT))</f>
        <v>0</v>
      </c>
      <c r="AB157" s="13">
        <f ca="1">SUMPRODUCT(dFactor,tpSurvCnH,INDEX(elecCnH,stdCSL+1,2)*allOnes,OFFSET(tPrcElec,0,23,1,_maxLT))</f>
        <v>0</v>
      </c>
      <c r="AC157" s="13">
        <f ca="1">SUMPRODUCT(dFactor,tpSurvCnH,INDEX(elecCnH,stdCSL+1,2)*allOnes,OFFSET(tPrcElec,0,24,1,_maxLT))</f>
        <v>0</v>
      </c>
      <c r="AD157" s="13">
        <f ca="1">SUMPRODUCT(dFactor,tpSurvCnH,INDEX(elecCnH,stdCSL+1,2)*allOnes,OFFSET(tPrcElec,0,25,1,_maxLT))</f>
        <v>0</v>
      </c>
      <c r="AE157" s="13">
        <f ca="1">SUMPRODUCT(dFactor,tpSurvCnH,INDEX(elecCnH,stdCSL+1,2)*allOnes,OFFSET(tPrcElec,0,26,1,_maxLT))</f>
        <v>0</v>
      </c>
      <c r="AF157" s="13">
        <f ca="1">SUMPRODUCT(dFactor,tpSurvCnH,INDEX(elecCnH,stdCSL+1,2)*allOnes,OFFSET(tPrcElec,0,27,1,_maxLT))</f>
        <v>0</v>
      </c>
      <c r="AG157" s="13">
        <f ca="1">SUMPRODUCT(dFactor,tpSurvCnH,INDEX(elecCnH,stdCSL+1,2)*allOnes,OFFSET(tPrcElec,0,28,1,_maxLT))</f>
        <v>0</v>
      </c>
      <c r="AH157" s="13">
        <f ca="1">SUMPRODUCT(dFactor,tpSurvCnH,INDEX(elecCnH,stdCSL+1,2)*allOnes,OFFSET(tPrcElec,0,29,1,_maxLT))</f>
        <v>0</v>
      </c>
      <c r="AI157" s="13">
        <f ca="1">SUMPRODUCT(dFactor,tpSurvCnH,INDEX(elecCnH,stdCSL+1,2)*allOnes,OFFSET(tPrcElec,0,30,1,_maxLT))</f>
        <v>0</v>
      </c>
      <c r="AJ157" s="13">
        <f ca="1">SUMPRODUCT(dFactor,tpSurvCnH,INDEX(elecCnH,stdCSL+1,2)*allOnes,OFFSET(tPrcElec,0,31,1,_maxLT))</f>
        <v>0</v>
      </c>
      <c r="AK157" s="13">
        <f ca="1">SUMPRODUCT(dFactor,tpSurvCnH,INDEX(elecCnH,stdCSL+1,2)*allOnes,OFFSET(tPrcElec,0,32,1,_maxLT))</f>
        <v>0</v>
      </c>
      <c r="AL157" s="56">
        <f ca="1">SUMPRODUCT(dFactor,tpSurvCnH,INDEX(elecCnH,stdCSL+1,2)*allOnes,OFFSET(tPrcElec,0,33,1,_maxLT))</f>
        <v>0</v>
      </c>
      <c r="AM157" s="10"/>
    </row>
    <row r="158" spans="2:39">
      <c r="B158" s="10"/>
      <c r="C158" s="16" t="s">
        <v>79</v>
      </c>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5"/>
      <c r="AM158" s="10"/>
    </row>
    <row r="159" spans="2:39">
      <c r="B159" s="10"/>
      <c r="C159" s="28" t="str">
        <f>INDEX(_fuel,1)</f>
        <v>Electricity</v>
      </c>
      <c r="D159" s="12" t="s">
        <v>83</v>
      </c>
      <c r="E159" s="39">
        <f ca="1">SUMPRODUCT(OFFSET(tConvElecCnH,0,0,1,_maxLT),INDEX(elecCnH,stdCSL+1,2)*allOnes,tpSurvCnH)</f>
        <v>0</v>
      </c>
      <c r="F159" s="39">
        <f ca="1">SUMPRODUCT(OFFSET(tConvElecCnH,0,1,1,_maxLT),INDEX(elecCnH,stdCSL+1,2)*allOnes,tpSurvCnH)</f>
        <v>0</v>
      </c>
      <c r="G159" s="39">
        <f ca="1">SUMPRODUCT(OFFSET(tConvElecCnH,0,2,1,_maxLT),INDEX(elecCnH,stdCSL+1,2)*allOnes,tpSurvCnH)</f>
        <v>0</v>
      </c>
      <c r="H159" s="39">
        <f ca="1">SUMPRODUCT(OFFSET(tConvElecCnH,0,3,1,_maxLT),INDEX(elecCnH,stdCSL+1,2)*allOnes,tpSurvCnH)</f>
        <v>0</v>
      </c>
      <c r="I159" s="39">
        <f ca="1">SUMPRODUCT(OFFSET(tConvElecCnH,0,4,1,_maxLT),INDEX(elecCnH,stdCSL+1,2)*allOnes,tpSurvCnH)</f>
        <v>0</v>
      </c>
      <c r="J159" s="39">
        <f ca="1">SUMPRODUCT(OFFSET(tConvElecCnH,0,5,1,_maxLT),INDEX(elecCnH,stdCSL+1,2)*allOnes,tpSurvCnH)</f>
        <v>0</v>
      </c>
      <c r="K159" s="39">
        <f ca="1">SUMPRODUCT(OFFSET(tConvElecCnH,0,6,1,_maxLT),INDEX(elecCnH,stdCSL+1,2)*allOnes,tpSurvCnH)</f>
        <v>0</v>
      </c>
      <c r="L159" s="39">
        <f ca="1">SUMPRODUCT(OFFSET(tConvElecCnH,0,7,1,_maxLT),INDEX(elecCnH,stdCSL+1,2)*allOnes,tpSurvCnH)</f>
        <v>0</v>
      </c>
      <c r="M159" s="39">
        <f ca="1">SUMPRODUCT(OFFSET(tConvElecCnH,0,8,1,_maxLT),INDEX(elecCnH,stdCSL+1,2)*allOnes,tpSurvCnH)</f>
        <v>0</v>
      </c>
      <c r="N159" s="39">
        <f ca="1">SUMPRODUCT(OFFSET(tConvElecCnH,0,9,1,_maxLT),INDEX(elecCnH,stdCSL+1,2)*allOnes,tpSurvCnH)</f>
        <v>0</v>
      </c>
      <c r="O159" s="39">
        <f ca="1">SUMPRODUCT(OFFSET(tConvElecCnH,0,10,1,_maxLT),INDEX(elecCnH,stdCSL+1,2)*allOnes,tpSurvCnH)</f>
        <v>0</v>
      </c>
      <c r="P159" s="39">
        <f ca="1">SUMPRODUCT(OFFSET(tConvElecCnH,0,11,1,_maxLT),INDEX(elecCnH,stdCSL+1,2)*allOnes,tpSurvCnH)</f>
        <v>0</v>
      </c>
      <c r="Q159" s="39">
        <f ca="1">SUMPRODUCT(OFFSET(tConvElecCnH,0,12,1,_maxLT),INDEX(elecCnH,stdCSL+1,2)*allOnes,tpSurvCnH)</f>
        <v>0</v>
      </c>
      <c r="R159" s="39">
        <f ca="1">SUMPRODUCT(OFFSET(tConvElecCnH,0,13,1,_maxLT),INDEX(elecCnH,stdCSL+1,2)*allOnes,tpSurvCnH)</f>
        <v>0</v>
      </c>
      <c r="S159" s="39">
        <f ca="1">SUMPRODUCT(OFFSET(tConvElecCnH,0,14,1,_maxLT),INDEX(elecCnH,stdCSL+1,2)*allOnes,tpSurvCnH)</f>
        <v>0</v>
      </c>
      <c r="T159" s="39">
        <f ca="1">SUMPRODUCT(OFFSET(tConvElecCnH,0,15,1,_maxLT),INDEX(elecCnH,stdCSL+1,2)*allOnes,tpSurvCnH)</f>
        <v>0</v>
      </c>
      <c r="U159" s="39">
        <f ca="1">SUMPRODUCT(OFFSET(tConvElecCnH,0,16,1,_maxLT),INDEX(elecCnH,stdCSL+1,2)*allOnes,tpSurvCnH)</f>
        <v>0</v>
      </c>
      <c r="V159" s="39">
        <f ca="1">SUMPRODUCT(OFFSET(tConvElecCnH,0,17,1,_maxLT),INDEX(elecCnH,stdCSL+1,2)*allOnes,tpSurvCnH)</f>
        <v>0</v>
      </c>
      <c r="W159" s="39">
        <f ca="1">SUMPRODUCT(OFFSET(tConvElecCnH,0,18,1,_maxLT),INDEX(elecCnH,stdCSL+1,2)*allOnes,tpSurvCnH)</f>
        <v>0</v>
      </c>
      <c r="X159" s="39">
        <f ca="1">SUMPRODUCT(OFFSET(tConvElecCnH,0,19,1,_maxLT),INDEX(elecCnH,stdCSL+1,2)*allOnes,tpSurvCnH)</f>
        <v>0</v>
      </c>
      <c r="Y159" s="39">
        <f ca="1">SUMPRODUCT(OFFSET(tConvElecCnH,0,20,1,_maxLT),INDEX(elecCnH,stdCSL+1,2)*allOnes,tpSurvCnH)</f>
        <v>0</v>
      </c>
      <c r="Z159" s="39">
        <f ca="1">SUMPRODUCT(OFFSET(tConvElecCnH,0,21,1,_maxLT),INDEX(elecCnH,stdCSL+1,2)*allOnes,tpSurvCnH)</f>
        <v>0</v>
      </c>
      <c r="AA159" s="39">
        <f ca="1">SUMPRODUCT(OFFSET(tConvElecCnH,0,22,1,_maxLT),INDEX(elecCnH,stdCSL+1,2)*allOnes,tpSurvCnH)</f>
        <v>0</v>
      </c>
      <c r="AB159" s="39">
        <f ca="1">SUMPRODUCT(OFFSET(tConvElecCnH,0,23,1,_maxLT),INDEX(elecCnH,stdCSL+1,2)*allOnes,tpSurvCnH)</f>
        <v>0</v>
      </c>
      <c r="AC159" s="39">
        <f ca="1">SUMPRODUCT(OFFSET(tConvElecCnH,0,24,1,_maxLT),INDEX(elecCnH,stdCSL+1,2)*allOnes,tpSurvCnH)</f>
        <v>0</v>
      </c>
      <c r="AD159" s="39">
        <f ca="1">SUMPRODUCT(OFFSET(tConvElecCnH,0,25,1,_maxLT),INDEX(elecCnH,stdCSL+1,2)*allOnes,tpSurvCnH)</f>
        <v>0</v>
      </c>
      <c r="AE159" s="39">
        <f ca="1">SUMPRODUCT(OFFSET(tConvElecCnH,0,26,1,_maxLT),INDEX(elecCnH,stdCSL+1,2)*allOnes,tpSurvCnH)</f>
        <v>0</v>
      </c>
      <c r="AF159" s="39">
        <f ca="1">SUMPRODUCT(OFFSET(tConvElecCnH,0,27,1,_maxLT),INDEX(elecCnH,stdCSL+1,2)*allOnes,tpSurvCnH)</f>
        <v>0</v>
      </c>
      <c r="AG159" s="39">
        <f ca="1">SUMPRODUCT(OFFSET(tConvElecCnH,0,28,1,_maxLT),INDEX(elecCnH,stdCSL+1,2)*allOnes,tpSurvCnH)</f>
        <v>0</v>
      </c>
      <c r="AH159" s="39">
        <f ca="1">SUMPRODUCT(OFFSET(tConvElecCnH,0,29,1,_maxLT),INDEX(elecCnH,stdCSL+1,2)*allOnes,tpSurvCnH)</f>
        <v>0</v>
      </c>
      <c r="AI159" s="39">
        <f ca="1">SUMPRODUCT(OFFSET(tConvElecCnH,0,30,1,_maxLT),INDEX(elecCnH,stdCSL+1,2)*allOnes,tpSurvCnH)</f>
        <v>0</v>
      </c>
      <c r="AJ159" s="39">
        <f ca="1">SUMPRODUCT(OFFSET(tConvElecCnH,0,31,1,_maxLT),INDEX(elecCnH,stdCSL+1,2)*allOnes,tpSurvCnH)</f>
        <v>0</v>
      </c>
      <c r="AK159" s="39">
        <f ca="1">SUMPRODUCT(OFFSET(tConvElecCnH,0,32,1,_maxLT),INDEX(elecCnH,stdCSL+1,2)*allOnes,tpSurvCnH)</f>
        <v>0</v>
      </c>
      <c r="AL159" s="40">
        <f ca="1">SUMPRODUCT(OFFSET(tConvElecCnH,0,33,1,_maxLT),INDEX(elecCnH,stdCSL+1,2)*allOnes,tpSurvCnH)</f>
        <v>0</v>
      </c>
      <c r="AM159" s="10"/>
    </row>
    <row r="160" spans="2:39">
      <c r="B160" s="10"/>
      <c r="C160" s="57" t="str">
        <f>"EL 2: " &amp; INDEX(_doName,3,3)</f>
        <v>EL 2: EL 2</v>
      </c>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3"/>
      <c r="AM160" s="10"/>
    </row>
    <row r="161" spans="2:39">
      <c r="B161" s="10"/>
      <c r="C161" s="16" t="s">
        <v>69</v>
      </c>
      <c r="D161" s="12" t="str">
        <f>_yearDol &amp; "$"</f>
        <v>2015$</v>
      </c>
      <c r="E161" s="13">
        <f t="array" aca="1" ref="E161:AL161" ca="1">INDEX(mspCnH,stdCSL+1,3)*tPIdxAll + INDEX(instCnH,stdCSL+1,3) + IF(bESav,SUMPRODUCT(dFactor,tpSurvCnH,INDEX(mrCnH,stdCSL+1,3)*allOnes),0)</f>
        <v>0</v>
      </c>
      <c r="F161" s="13">
        <f ca="1"/>
        <v>0</v>
      </c>
      <c r="G161" s="13">
        <f ca="1"/>
        <v>0</v>
      </c>
      <c r="H161" s="13">
        <f ca="1"/>
        <v>0</v>
      </c>
      <c r="I161" s="13">
        <f ca="1"/>
        <v>0</v>
      </c>
      <c r="J161" s="13">
        <f ca="1"/>
        <v>0</v>
      </c>
      <c r="K161" s="13">
        <f ca="1"/>
        <v>0</v>
      </c>
      <c r="L161" s="13">
        <f ca="1"/>
        <v>0</v>
      </c>
      <c r="M161" s="13">
        <f ca="1"/>
        <v>0</v>
      </c>
      <c r="N161" s="13">
        <f ca="1"/>
        <v>0</v>
      </c>
      <c r="O161" s="13">
        <f ca="1"/>
        <v>0</v>
      </c>
      <c r="P161" s="13">
        <f ca="1"/>
        <v>0</v>
      </c>
      <c r="Q161" s="13">
        <f ca="1"/>
        <v>0</v>
      </c>
      <c r="R161" s="13">
        <f ca="1"/>
        <v>0</v>
      </c>
      <c r="S161" s="13">
        <f ca="1"/>
        <v>0</v>
      </c>
      <c r="T161" s="13">
        <f ca="1"/>
        <v>0</v>
      </c>
      <c r="U161" s="13">
        <f ca="1"/>
        <v>0</v>
      </c>
      <c r="V161" s="13">
        <f ca="1"/>
        <v>0</v>
      </c>
      <c r="W161" s="13">
        <f ca="1"/>
        <v>0</v>
      </c>
      <c r="X161" s="13">
        <f ca="1"/>
        <v>0</v>
      </c>
      <c r="Y161" s="13">
        <f ca="1"/>
        <v>0</v>
      </c>
      <c r="Z161" s="13">
        <f ca="1"/>
        <v>0</v>
      </c>
      <c r="AA161" s="13">
        <f ca="1"/>
        <v>0</v>
      </c>
      <c r="AB161" s="13">
        <f ca="1"/>
        <v>0</v>
      </c>
      <c r="AC161" s="13">
        <f ca="1"/>
        <v>0</v>
      </c>
      <c r="AD161" s="13">
        <f ca="1"/>
        <v>0</v>
      </c>
      <c r="AE161" s="13">
        <f ca="1"/>
        <v>0</v>
      </c>
      <c r="AF161" s="13">
        <f ca="1"/>
        <v>0</v>
      </c>
      <c r="AG161" s="13">
        <f ca="1"/>
        <v>0</v>
      </c>
      <c r="AH161" s="13">
        <f ca="1"/>
        <v>0</v>
      </c>
      <c r="AI161" s="13">
        <f ca="1"/>
        <v>0</v>
      </c>
      <c r="AJ161" s="13">
        <f ca="1"/>
        <v>0</v>
      </c>
      <c r="AK161" s="13">
        <f ca="1"/>
        <v>0</v>
      </c>
      <c r="AL161" s="56">
        <f ca="1"/>
        <v>0</v>
      </c>
      <c r="AM161" s="10"/>
    </row>
    <row r="162" spans="2:39">
      <c r="B162" s="10"/>
      <c r="C162" s="16" t="str">
        <f>zEO&amp;" Costs"</f>
        <v>Operating Costs</v>
      </c>
      <c r="D162" s="12" t="str">
        <f>_yearDol &amp; "$"</f>
        <v>2015$</v>
      </c>
      <c r="E162" s="13">
        <f t="array" aca="1" ref="E162:AL162" ca="1">(tlccEFuElecpol2) + IF(bOSav,SUMPRODUCT(dFactor,tpSurvCnH,INDEX(mrCnH,stdCSL+1,3)*allOnes),0)</f>
        <v>0</v>
      </c>
      <c r="F162" s="13">
        <f ca="1"/>
        <v>0</v>
      </c>
      <c r="G162" s="13">
        <f ca="1"/>
        <v>0</v>
      </c>
      <c r="H162" s="13">
        <f ca="1"/>
        <v>0</v>
      </c>
      <c r="I162" s="13">
        <f ca="1"/>
        <v>0</v>
      </c>
      <c r="J162" s="13">
        <f ca="1"/>
        <v>0</v>
      </c>
      <c r="K162" s="13">
        <f ca="1"/>
        <v>0</v>
      </c>
      <c r="L162" s="13">
        <f ca="1"/>
        <v>0</v>
      </c>
      <c r="M162" s="13">
        <f ca="1"/>
        <v>0</v>
      </c>
      <c r="N162" s="13">
        <f ca="1"/>
        <v>0</v>
      </c>
      <c r="O162" s="13">
        <f ca="1"/>
        <v>0</v>
      </c>
      <c r="P162" s="13">
        <f ca="1"/>
        <v>0</v>
      </c>
      <c r="Q162" s="13">
        <f ca="1"/>
        <v>0</v>
      </c>
      <c r="R162" s="13">
        <f ca="1"/>
        <v>0</v>
      </c>
      <c r="S162" s="13">
        <f ca="1"/>
        <v>0</v>
      </c>
      <c r="T162" s="13">
        <f ca="1"/>
        <v>0</v>
      </c>
      <c r="U162" s="13">
        <f ca="1"/>
        <v>0</v>
      </c>
      <c r="V162" s="13">
        <f ca="1"/>
        <v>0</v>
      </c>
      <c r="W162" s="13">
        <f ca="1"/>
        <v>0</v>
      </c>
      <c r="X162" s="13">
        <f ca="1"/>
        <v>0</v>
      </c>
      <c r="Y162" s="13">
        <f ca="1"/>
        <v>0</v>
      </c>
      <c r="Z162" s="13">
        <f ca="1"/>
        <v>0</v>
      </c>
      <c r="AA162" s="13">
        <f ca="1"/>
        <v>0</v>
      </c>
      <c r="AB162" s="13">
        <f ca="1"/>
        <v>0</v>
      </c>
      <c r="AC162" s="13">
        <f ca="1"/>
        <v>0</v>
      </c>
      <c r="AD162" s="13">
        <f ca="1"/>
        <v>0</v>
      </c>
      <c r="AE162" s="13">
        <f ca="1"/>
        <v>0</v>
      </c>
      <c r="AF162" s="13">
        <f ca="1"/>
        <v>0</v>
      </c>
      <c r="AG162" s="13">
        <f ca="1"/>
        <v>0</v>
      </c>
      <c r="AH162" s="13">
        <f ca="1"/>
        <v>0</v>
      </c>
      <c r="AI162" s="13">
        <f ca="1"/>
        <v>0</v>
      </c>
      <c r="AJ162" s="13">
        <f ca="1"/>
        <v>0</v>
      </c>
      <c r="AK162" s="13">
        <f ca="1"/>
        <v>0</v>
      </c>
      <c r="AL162" s="56">
        <f ca="1"/>
        <v>0</v>
      </c>
      <c r="AM162" s="10"/>
    </row>
    <row r="163" spans="2:39">
      <c r="B163" s="10"/>
      <c r="C163" s="28" t="str">
        <f>INDEX(_fuel,1)</f>
        <v>Electricity</v>
      </c>
      <c r="D163" s="12" t="str">
        <f>_yearDol &amp; "$"</f>
        <v>2015$</v>
      </c>
      <c r="E163" s="13">
        <f ca="1">SUMPRODUCT(dFactor,tpSurvCnH,INDEX(elecCnH,stdCSL+1,3)*allOnes,OFFSET(tPrcElec,0,0,1,_maxLT))</f>
        <v>0</v>
      </c>
      <c r="F163" s="13">
        <f ca="1">SUMPRODUCT(dFactor,tpSurvCnH,INDEX(elecCnH,stdCSL+1,3)*allOnes,OFFSET(tPrcElec,0,1,1,_maxLT))</f>
        <v>0</v>
      </c>
      <c r="G163" s="13">
        <f ca="1">SUMPRODUCT(dFactor,tpSurvCnH,INDEX(elecCnH,stdCSL+1,3)*allOnes,OFFSET(tPrcElec,0,2,1,_maxLT))</f>
        <v>0</v>
      </c>
      <c r="H163" s="13">
        <f ca="1">SUMPRODUCT(dFactor,tpSurvCnH,INDEX(elecCnH,stdCSL+1,3)*allOnes,OFFSET(tPrcElec,0,3,1,_maxLT))</f>
        <v>0</v>
      </c>
      <c r="I163" s="13">
        <f ca="1">SUMPRODUCT(dFactor,tpSurvCnH,INDEX(elecCnH,stdCSL+1,3)*allOnes,OFFSET(tPrcElec,0,4,1,_maxLT))</f>
        <v>0</v>
      </c>
      <c r="J163" s="13">
        <f ca="1">SUMPRODUCT(dFactor,tpSurvCnH,INDEX(elecCnH,stdCSL+1,3)*allOnes,OFFSET(tPrcElec,0,5,1,_maxLT))</f>
        <v>0</v>
      </c>
      <c r="K163" s="13">
        <f ca="1">SUMPRODUCT(dFactor,tpSurvCnH,INDEX(elecCnH,stdCSL+1,3)*allOnes,OFFSET(tPrcElec,0,6,1,_maxLT))</f>
        <v>0</v>
      </c>
      <c r="L163" s="13">
        <f ca="1">SUMPRODUCT(dFactor,tpSurvCnH,INDEX(elecCnH,stdCSL+1,3)*allOnes,OFFSET(tPrcElec,0,7,1,_maxLT))</f>
        <v>0</v>
      </c>
      <c r="M163" s="13">
        <f ca="1">SUMPRODUCT(dFactor,tpSurvCnH,INDEX(elecCnH,stdCSL+1,3)*allOnes,OFFSET(tPrcElec,0,8,1,_maxLT))</f>
        <v>0</v>
      </c>
      <c r="N163" s="13">
        <f ca="1">SUMPRODUCT(dFactor,tpSurvCnH,INDEX(elecCnH,stdCSL+1,3)*allOnes,OFFSET(tPrcElec,0,9,1,_maxLT))</f>
        <v>0</v>
      </c>
      <c r="O163" s="13">
        <f ca="1">SUMPRODUCT(dFactor,tpSurvCnH,INDEX(elecCnH,stdCSL+1,3)*allOnes,OFFSET(tPrcElec,0,10,1,_maxLT))</f>
        <v>0</v>
      </c>
      <c r="P163" s="13">
        <f ca="1">SUMPRODUCT(dFactor,tpSurvCnH,INDEX(elecCnH,stdCSL+1,3)*allOnes,OFFSET(tPrcElec,0,11,1,_maxLT))</f>
        <v>0</v>
      </c>
      <c r="Q163" s="13">
        <f ca="1">SUMPRODUCT(dFactor,tpSurvCnH,INDEX(elecCnH,stdCSL+1,3)*allOnes,OFFSET(tPrcElec,0,12,1,_maxLT))</f>
        <v>0</v>
      </c>
      <c r="R163" s="13">
        <f ca="1">SUMPRODUCT(dFactor,tpSurvCnH,INDEX(elecCnH,stdCSL+1,3)*allOnes,OFFSET(tPrcElec,0,13,1,_maxLT))</f>
        <v>0</v>
      </c>
      <c r="S163" s="13">
        <f ca="1">SUMPRODUCT(dFactor,tpSurvCnH,INDEX(elecCnH,stdCSL+1,3)*allOnes,OFFSET(tPrcElec,0,14,1,_maxLT))</f>
        <v>0</v>
      </c>
      <c r="T163" s="13">
        <f ca="1">SUMPRODUCT(dFactor,tpSurvCnH,INDEX(elecCnH,stdCSL+1,3)*allOnes,OFFSET(tPrcElec,0,15,1,_maxLT))</f>
        <v>0</v>
      </c>
      <c r="U163" s="13">
        <f ca="1">SUMPRODUCT(dFactor,tpSurvCnH,INDEX(elecCnH,stdCSL+1,3)*allOnes,OFFSET(tPrcElec,0,16,1,_maxLT))</f>
        <v>0</v>
      </c>
      <c r="V163" s="13">
        <f ca="1">SUMPRODUCT(dFactor,tpSurvCnH,INDEX(elecCnH,stdCSL+1,3)*allOnes,OFFSET(tPrcElec,0,17,1,_maxLT))</f>
        <v>0</v>
      </c>
      <c r="W163" s="13">
        <f ca="1">SUMPRODUCT(dFactor,tpSurvCnH,INDEX(elecCnH,stdCSL+1,3)*allOnes,OFFSET(tPrcElec,0,18,1,_maxLT))</f>
        <v>0</v>
      </c>
      <c r="X163" s="13">
        <f ca="1">SUMPRODUCT(dFactor,tpSurvCnH,INDEX(elecCnH,stdCSL+1,3)*allOnes,OFFSET(tPrcElec,0,19,1,_maxLT))</f>
        <v>0</v>
      </c>
      <c r="Y163" s="13">
        <f ca="1">SUMPRODUCT(dFactor,tpSurvCnH,INDEX(elecCnH,stdCSL+1,3)*allOnes,OFFSET(tPrcElec,0,20,1,_maxLT))</f>
        <v>0</v>
      </c>
      <c r="Z163" s="13">
        <f ca="1">SUMPRODUCT(dFactor,tpSurvCnH,INDEX(elecCnH,stdCSL+1,3)*allOnes,OFFSET(tPrcElec,0,21,1,_maxLT))</f>
        <v>0</v>
      </c>
      <c r="AA163" s="13">
        <f ca="1">SUMPRODUCT(dFactor,tpSurvCnH,INDEX(elecCnH,stdCSL+1,3)*allOnes,OFFSET(tPrcElec,0,22,1,_maxLT))</f>
        <v>0</v>
      </c>
      <c r="AB163" s="13">
        <f ca="1">SUMPRODUCT(dFactor,tpSurvCnH,INDEX(elecCnH,stdCSL+1,3)*allOnes,OFFSET(tPrcElec,0,23,1,_maxLT))</f>
        <v>0</v>
      </c>
      <c r="AC163" s="13">
        <f ca="1">SUMPRODUCT(dFactor,tpSurvCnH,INDEX(elecCnH,stdCSL+1,3)*allOnes,OFFSET(tPrcElec,0,24,1,_maxLT))</f>
        <v>0</v>
      </c>
      <c r="AD163" s="13">
        <f ca="1">SUMPRODUCT(dFactor,tpSurvCnH,INDEX(elecCnH,stdCSL+1,3)*allOnes,OFFSET(tPrcElec,0,25,1,_maxLT))</f>
        <v>0</v>
      </c>
      <c r="AE163" s="13">
        <f ca="1">SUMPRODUCT(dFactor,tpSurvCnH,INDEX(elecCnH,stdCSL+1,3)*allOnes,OFFSET(tPrcElec,0,26,1,_maxLT))</f>
        <v>0</v>
      </c>
      <c r="AF163" s="13">
        <f ca="1">SUMPRODUCT(dFactor,tpSurvCnH,INDEX(elecCnH,stdCSL+1,3)*allOnes,OFFSET(tPrcElec,0,27,1,_maxLT))</f>
        <v>0</v>
      </c>
      <c r="AG163" s="13">
        <f ca="1">SUMPRODUCT(dFactor,tpSurvCnH,INDEX(elecCnH,stdCSL+1,3)*allOnes,OFFSET(tPrcElec,0,28,1,_maxLT))</f>
        <v>0</v>
      </c>
      <c r="AH163" s="13">
        <f ca="1">SUMPRODUCT(dFactor,tpSurvCnH,INDEX(elecCnH,stdCSL+1,3)*allOnes,OFFSET(tPrcElec,0,29,1,_maxLT))</f>
        <v>0</v>
      </c>
      <c r="AI163" s="13">
        <f ca="1">SUMPRODUCT(dFactor,tpSurvCnH,INDEX(elecCnH,stdCSL+1,3)*allOnes,OFFSET(tPrcElec,0,30,1,_maxLT))</f>
        <v>0</v>
      </c>
      <c r="AJ163" s="13">
        <f ca="1">SUMPRODUCT(dFactor,tpSurvCnH,INDEX(elecCnH,stdCSL+1,3)*allOnes,OFFSET(tPrcElec,0,31,1,_maxLT))</f>
        <v>0</v>
      </c>
      <c r="AK163" s="13">
        <f ca="1">SUMPRODUCT(dFactor,tpSurvCnH,INDEX(elecCnH,stdCSL+1,3)*allOnes,OFFSET(tPrcElec,0,32,1,_maxLT))</f>
        <v>0</v>
      </c>
      <c r="AL163" s="56">
        <f ca="1">SUMPRODUCT(dFactor,tpSurvCnH,INDEX(elecCnH,stdCSL+1,3)*allOnes,OFFSET(tPrcElec,0,33,1,_maxLT))</f>
        <v>0</v>
      </c>
      <c r="AM163" s="10"/>
    </row>
    <row r="164" spans="2:39">
      <c r="B164" s="10"/>
      <c r="C164" s="16" t="s">
        <v>79</v>
      </c>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5"/>
      <c r="AM164" s="10"/>
    </row>
    <row r="165" spans="2:39">
      <c r="B165" s="10"/>
      <c r="C165" s="28" t="str">
        <f>INDEX(_fuel,1)</f>
        <v>Electricity</v>
      </c>
      <c r="D165" s="12" t="s">
        <v>83</v>
      </c>
      <c r="E165" s="39">
        <f ca="1">SUMPRODUCT(OFFSET(tConvElecCnH,0,0,1,_maxLT),INDEX(elecCnH,stdCSL+1,3)*allOnes,tpSurvCnH)</f>
        <v>0</v>
      </c>
      <c r="F165" s="39">
        <f ca="1">SUMPRODUCT(OFFSET(tConvElecCnH,0,1,1,_maxLT),INDEX(elecCnH,stdCSL+1,3)*allOnes,tpSurvCnH)</f>
        <v>0</v>
      </c>
      <c r="G165" s="39">
        <f ca="1">SUMPRODUCT(OFFSET(tConvElecCnH,0,2,1,_maxLT),INDEX(elecCnH,stdCSL+1,3)*allOnes,tpSurvCnH)</f>
        <v>0</v>
      </c>
      <c r="H165" s="39">
        <f ca="1">SUMPRODUCT(OFFSET(tConvElecCnH,0,3,1,_maxLT),INDEX(elecCnH,stdCSL+1,3)*allOnes,tpSurvCnH)</f>
        <v>0</v>
      </c>
      <c r="I165" s="39">
        <f ca="1">SUMPRODUCT(OFFSET(tConvElecCnH,0,4,1,_maxLT),INDEX(elecCnH,stdCSL+1,3)*allOnes,tpSurvCnH)</f>
        <v>0</v>
      </c>
      <c r="J165" s="39">
        <f ca="1">SUMPRODUCT(OFFSET(tConvElecCnH,0,5,1,_maxLT),INDEX(elecCnH,stdCSL+1,3)*allOnes,tpSurvCnH)</f>
        <v>0</v>
      </c>
      <c r="K165" s="39">
        <f ca="1">SUMPRODUCT(OFFSET(tConvElecCnH,0,6,1,_maxLT),INDEX(elecCnH,stdCSL+1,3)*allOnes,tpSurvCnH)</f>
        <v>0</v>
      </c>
      <c r="L165" s="39">
        <f ca="1">SUMPRODUCT(OFFSET(tConvElecCnH,0,7,1,_maxLT),INDEX(elecCnH,stdCSL+1,3)*allOnes,tpSurvCnH)</f>
        <v>0</v>
      </c>
      <c r="M165" s="39">
        <f ca="1">SUMPRODUCT(OFFSET(tConvElecCnH,0,8,1,_maxLT),INDEX(elecCnH,stdCSL+1,3)*allOnes,tpSurvCnH)</f>
        <v>0</v>
      </c>
      <c r="N165" s="39">
        <f ca="1">SUMPRODUCT(OFFSET(tConvElecCnH,0,9,1,_maxLT),INDEX(elecCnH,stdCSL+1,3)*allOnes,tpSurvCnH)</f>
        <v>0</v>
      </c>
      <c r="O165" s="39">
        <f ca="1">SUMPRODUCT(OFFSET(tConvElecCnH,0,10,1,_maxLT),INDEX(elecCnH,stdCSL+1,3)*allOnes,tpSurvCnH)</f>
        <v>0</v>
      </c>
      <c r="P165" s="39">
        <f ca="1">SUMPRODUCT(OFFSET(tConvElecCnH,0,11,1,_maxLT),INDEX(elecCnH,stdCSL+1,3)*allOnes,tpSurvCnH)</f>
        <v>0</v>
      </c>
      <c r="Q165" s="39">
        <f ca="1">SUMPRODUCT(OFFSET(tConvElecCnH,0,12,1,_maxLT),INDEX(elecCnH,stdCSL+1,3)*allOnes,tpSurvCnH)</f>
        <v>0</v>
      </c>
      <c r="R165" s="39">
        <f ca="1">SUMPRODUCT(OFFSET(tConvElecCnH,0,13,1,_maxLT),INDEX(elecCnH,stdCSL+1,3)*allOnes,tpSurvCnH)</f>
        <v>0</v>
      </c>
      <c r="S165" s="39">
        <f ca="1">SUMPRODUCT(OFFSET(tConvElecCnH,0,14,1,_maxLT),INDEX(elecCnH,stdCSL+1,3)*allOnes,tpSurvCnH)</f>
        <v>0</v>
      </c>
      <c r="T165" s="39">
        <f ca="1">SUMPRODUCT(OFFSET(tConvElecCnH,0,15,1,_maxLT),INDEX(elecCnH,stdCSL+1,3)*allOnes,tpSurvCnH)</f>
        <v>0</v>
      </c>
      <c r="U165" s="39">
        <f ca="1">SUMPRODUCT(OFFSET(tConvElecCnH,0,16,1,_maxLT),INDEX(elecCnH,stdCSL+1,3)*allOnes,tpSurvCnH)</f>
        <v>0</v>
      </c>
      <c r="V165" s="39">
        <f ca="1">SUMPRODUCT(OFFSET(tConvElecCnH,0,17,1,_maxLT),INDEX(elecCnH,stdCSL+1,3)*allOnes,tpSurvCnH)</f>
        <v>0</v>
      </c>
      <c r="W165" s="39">
        <f ca="1">SUMPRODUCT(OFFSET(tConvElecCnH,0,18,1,_maxLT),INDEX(elecCnH,stdCSL+1,3)*allOnes,tpSurvCnH)</f>
        <v>0</v>
      </c>
      <c r="X165" s="39">
        <f ca="1">SUMPRODUCT(OFFSET(tConvElecCnH,0,19,1,_maxLT),INDEX(elecCnH,stdCSL+1,3)*allOnes,tpSurvCnH)</f>
        <v>0</v>
      </c>
      <c r="Y165" s="39">
        <f ca="1">SUMPRODUCT(OFFSET(tConvElecCnH,0,20,1,_maxLT),INDEX(elecCnH,stdCSL+1,3)*allOnes,tpSurvCnH)</f>
        <v>0</v>
      </c>
      <c r="Z165" s="39">
        <f ca="1">SUMPRODUCT(OFFSET(tConvElecCnH,0,21,1,_maxLT),INDEX(elecCnH,stdCSL+1,3)*allOnes,tpSurvCnH)</f>
        <v>0</v>
      </c>
      <c r="AA165" s="39">
        <f ca="1">SUMPRODUCT(OFFSET(tConvElecCnH,0,22,1,_maxLT),INDEX(elecCnH,stdCSL+1,3)*allOnes,tpSurvCnH)</f>
        <v>0</v>
      </c>
      <c r="AB165" s="39">
        <f ca="1">SUMPRODUCT(OFFSET(tConvElecCnH,0,23,1,_maxLT),INDEX(elecCnH,stdCSL+1,3)*allOnes,tpSurvCnH)</f>
        <v>0</v>
      </c>
      <c r="AC165" s="39">
        <f ca="1">SUMPRODUCT(OFFSET(tConvElecCnH,0,24,1,_maxLT),INDEX(elecCnH,stdCSL+1,3)*allOnes,tpSurvCnH)</f>
        <v>0</v>
      </c>
      <c r="AD165" s="39">
        <f ca="1">SUMPRODUCT(OFFSET(tConvElecCnH,0,25,1,_maxLT),INDEX(elecCnH,stdCSL+1,3)*allOnes,tpSurvCnH)</f>
        <v>0</v>
      </c>
      <c r="AE165" s="39">
        <f ca="1">SUMPRODUCT(OFFSET(tConvElecCnH,0,26,1,_maxLT),INDEX(elecCnH,stdCSL+1,3)*allOnes,tpSurvCnH)</f>
        <v>0</v>
      </c>
      <c r="AF165" s="39">
        <f ca="1">SUMPRODUCT(OFFSET(tConvElecCnH,0,27,1,_maxLT),INDEX(elecCnH,stdCSL+1,3)*allOnes,tpSurvCnH)</f>
        <v>0</v>
      </c>
      <c r="AG165" s="39">
        <f ca="1">SUMPRODUCT(OFFSET(tConvElecCnH,0,28,1,_maxLT),INDEX(elecCnH,stdCSL+1,3)*allOnes,tpSurvCnH)</f>
        <v>0</v>
      </c>
      <c r="AH165" s="39">
        <f ca="1">SUMPRODUCT(OFFSET(tConvElecCnH,0,29,1,_maxLT),INDEX(elecCnH,stdCSL+1,3)*allOnes,tpSurvCnH)</f>
        <v>0</v>
      </c>
      <c r="AI165" s="39">
        <f ca="1">SUMPRODUCT(OFFSET(tConvElecCnH,0,30,1,_maxLT),INDEX(elecCnH,stdCSL+1,3)*allOnes,tpSurvCnH)</f>
        <v>0</v>
      </c>
      <c r="AJ165" s="39">
        <f ca="1">SUMPRODUCT(OFFSET(tConvElecCnH,0,31,1,_maxLT),INDEX(elecCnH,stdCSL+1,3)*allOnes,tpSurvCnH)</f>
        <v>0</v>
      </c>
      <c r="AK165" s="39">
        <f ca="1">SUMPRODUCT(OFFSET(tConvElecCnH,0,32,1,_maxLT),INDEX(elecCnH,stdCSL+1,3)*allOnes,tpSurvCnH)</f>
        <v>0</v>
      </c>
      <c r="AL165" s="40">
        <f ca="1">SUMPRODUCT(OFFSET(tConvElecCnH,0,33,1,_maxLT),INDEX(elecCnH,stdCSL+1,3)*allOnes,tpSurvCnH)</f>
        <v>0</v>
      </c>
      <c r="AM165" s="10"/>
    </row>
    <row r="166" spans="2:39">
      <c r="B166" s="10"/>
      <c r="C166" s="57" t="str">
        <f>"EL 3: " &amp; INDEX(_doName,3,4)</f>
        <v>EL 3: EL 3</v>
      </c>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3"/>
      <c r="AM166" s="10"/>
    </row>
    <row r="167" spans="2:39">
      <c r="B167" s="10"/>
      <c r="C167" s="16" t="s">
        <v>69</v>
      </c>
      <c r="D167" s="12" t="str">
        <f>_yearDol &amp; "$"</f>
        <v>2015$</v>
      </c>
      <c r="E167" s="13">
        <f t="array" aca="1" ref="E167:AL167" ca="1">INDEX(mspCnH,stdCSL+1,4)*tPIdxAll + INDEX(instCnH,stdCSL+1,4) + IF(bESav,SUMPRODUCT(dFactor,tpSurvCnH,INDEX(mrCnH,stdCSL+1,4)*allOnes),0)</f>
        <v>0</v>
      </c>
      <c r="F167" s="13">
        <f ca="1"/>
        <v>0</v>
      </c>
      <c r="G167" s="13">
        <f ca="1"/>
        <v>0</v>
      </c>
      <c r="H167" s="13">
        <f ca="1"/>
        <v>0</v>
      </c>
      <c r="I167" s="13">
        <f ca="1"/>
        <v>0</v>
      </c>
      <c r="J167" s="13">
        <f ca="1"/>
        <v>0</v>
      </c>
      <c r="K167" s="13">
        <f ca="1"/>
        <v>0</v>
      </c>
      <c r="L167" s="13">
        <f ca="1"/>
        <v>0</v>
      </c>
      <c r="M167" s="13">
        <f ca="1"/>
        <v>0</v>
      </c>
      <c r="N167" s="13">
        <f ca="1"/>
        <v>0</v>
      </c>
      <c r="O167" s="13">
        <f ca="1"/>
        <v>0</v>
      </c>
      <c r="P167" s="13">
        <f ca="1"/>
        <v>0</v>
      </c>
      <c r="Q167" s="13">
        <f ca="1"/>
        <v>0</v>
      </c>
      <c r="R167" s="13">
        <f ca="1"/>
        <v>0</v>
      </c>
      <c r="S167" s="13">
        <f ca="1"/>
        <v>0</v>
      </c>
      <c r="T167" s="13">
        <f ca="1"/>
        <v>0</v>
      </c>
      <c r="U167" s="13">
        <f ca="1"/>
        <v>0</v>
      </c>
      <c r="V167" s="13">
        <f ca="1"/>
        <v>0</v>
      </c>
      <c r="W167" s="13">
        <f ca="1"/>
        <v>0</v>
      </c>
      <c r="X167" s="13">
        <f ca="1"/>
        <v>0</v>
      </c>
      <c r="Y167" s="13">
        <f ca="1"/>
        <v>0</v>
      </c>
      <c r="Z167" s="13">
        <f ca="1"/>
        <v>0</v>
      </c>
      <c r="AA167" s="13">
        <f ca="1"/>
        <v>0</v>
      </c>
      <c r="AB167" s="13">
        <f ca="1"/>
        <v>0</v>
      </c>
      <c r="AC167" s="13">
        <f ca="1"/>
        <v>0</v>
      </c>
      <c r="AD167" s="13">
        <f ca="1"/>
        <v>0</v>
      </c>
      <c r="AE167" s="13">
        <f ca="1"/>
        <v>0</v>
      </c>
      <c r="AF167" s="13">
        <f ca="1"/>
        <v>0</v>
      </c>
      <c r="AG167" s="13">
        <f ca="1"/>
        <v>0</v>
      </c>
      <c r="AH167" s="13">
        <f ca="1"/>
        <v>0</v>
      </c>
      <c r="AI167" s="13">
        <f ca="1"/>
        <v>0</v>
      </c>
      <c r="AJ167" s="13">
        <f ca="1"/>
        <v>0</v>
      </c>
      <c r="AK167" s="13">
        <f ca="1"/>
        <v>0</v>
      </c>
      <c r="AL167" s="56">
        <f ca="1"/>
        <v>0</v>
      </c>
      <c r="AM167" s="10"/>
    </row>
    <row r="168" spans="2:39">
      <c r="B168" s="10"/>
      <c r="C168" s="16" t="str">
        <f>zEO&amp;" Costs"</f>
        <v>Operating Costs</v>
      </c>
      <c r="D168" s="12" t="str">
        <f>_yearDol &amp; "$"</f>
        <v>2015$</v>
      </c>
      <c r="E168" s="13">
        <f t="array" aca="1" ref="E168:AL168" ca="1">(tlccEFuElecpol3) + IF(bOSav,SUMPRODUCT(dFactor,tpSurvCnH,INDEX(mrCnH,stdCSL+1,4)*allOnes),0)</f>
        <v>0</v>
      </c>
      <c r="F168" s="13">
        <f ca="1"/>
        <v>0</v>
      </c>
      <c r="G168" s="13">
        <f ca="1"/>
        <v>0</v>
      </c>
      <c r="H168" s="13">
        <f ca="1"/>
        <v>0</v>
      </c>
      <c r="I168" s="13">
        <f ca="1"/>
        <v>0</v>
      </c>
      <c r="J168" s="13">
        <f ca="1"/>
        <v>0</v>
      </c>
      <c r="K168" s="13">
        <f ca="1"/>
        <v>0</v>
      </c>
      <c r="L168" s="13">
        <f ca="1"/>
        <v>0</v>
      </c>
      <c r="M168" s="13">
        <f ca="1"/>
        <v>0</v>
      </c>
      <c r="N168" s="13">
        <f ca="1"/>
        <v>0</v>
      </c>
      <c r="O168" s="13">
        <f ca="1"/>
        <v>0</v>
      </c>
      <c r="P168" s="13">
        <f ca="1"/>
        <v>0</v>
      </c>
      <c r="Q168" s="13">
        <f ca="1"/>
        <v>0</v>
      </c>
      <c r="R168" s="13">
        <f ca="1"/>
        <v>0</v>
      </c>
      <c r="S168" s="13">
        <f ca="1"/>
        <v>0</v>
      </c>
      <c r="T168" s="13">
        <f ca="1"/>
        <v>0</v>
      </c>
      <c r="U168" s="13">
        <f ca="1"/>
        <v>0</v>
      </c>
      <c r="V168" s="13">
        <f ca="1"/>
        <v>0</v>
      </c>
      <c r="W168" s="13">
        <f ca="1"/>
        <v>0</v>
      </c>
      <c r="X168" s="13">
        <f ca="1"/>
        <v>0</v>
      </c>
      <c r="Y168" s="13">
        <f ca="1"/>
        <v>0</v>
      </c>
      <c r="Z168" s="13">
        <f ca="1"/>
        <v>0</v>
      </c>
      <c r="AA168" s="13">
        <f ca="1"/>
        <v>0</v>
      </c>
      <c r="AB168" s="13">
        <f ca="1"/>
        <v>0</v>
      </c>
      <c r="AC168" s="13">
        <f ca="1"/>
        <v>0</v>
      </c>
      <c r="AD168" s="13">
        <f ca="1"/>
        <v>0</v>
      </c>
      <c r="AE168" s="13">
        <f ca="1"/>
        <v>0</v>
      </c>
      <c r="AF168" s="13">
        <f ca="1"/>
        <v>0</v>
      </c>
      <c r="AG168" s="13">
        <f ca="1"/>
        <v>0</v>
      </c>
      <c r="AH168" s="13">
        <f ca="1"/>
        <v>0</v>
      </c>
      <c r="AI168" s="13">
        <f ca="1"/>
        <v>0</v>
      </c>
      <c r="AJ168" s="13">
        <f ca="1"/>
        <v>0</v>
      </c>
      <c r="AK168" s="13">
        <f ca="1"/>
        <v>0</v>
      </c>
      <c r="AL168" s="56">
        <f ca="1"/>
        <v>0</v>
      </c>
      <c r="AM168" s="10"/>
    </row>
    <row r="169" spans="2:39">
      <c r="B169" s="10"/>
      <c r="C169" s="28" t="str">
        <f>INDEX(_fuel,1)</f>
        <v>Electricity</v>
      </c>
      <c r="D169" s="12" t="str">
        <f>_yearDol &amp; "$"</f>
        <v>2015$</v>
      </c>
      <c r="E169" s="13">
        <f ca="1">SUMPRODUCT(dFactor,tpSurvCnH,INDEX(elecCnH,stdCSL+1,4)*allOnes,OFFSET(tPrcElec,0,0,1,_maxLT))</f>
        <v>0</v>
      </c>
      <c r="F169" s="13">
        <f ca="1">SUMPRODUCT(dFactor,tpSurvCnH,INDEX(elecCnH,stdCSL+1,4)*allOnes,OFFSET(tPrcElec,0,1,1,_maxLT))</f>
        <v>0</v>
      </c>
      <c r="G169" s="13">
        <f ca="1">SUMPRODUCT(dFactor,tpSurvCnH,INDEX(elecCnH,stdCSL+1,4)*allOnes,OFFSET(tPrcElec,0,2,1,_maxLT))</f>
        <v>0</v>
      </c>
      <c r="H169" s="13">
        <f ca="1">SUMPRODUCT(dFactor,tpSurvCnH,INDEX(elecCnH,stdCSL+1,4)*allOnes,OFFSET(tPrcElec,0,3,1,_maxLT))</f>
        <v>0</v>
      </c>
      <c r="I169" s="13">
        <f ca="1">SUMPRODUCT(dFactor,tpSurvCnH,INDEX(elecCnH,stdCSL+1,4)*allOnes,OFFSET(tPrcElec,0,4,1,_maxLT))</f>
        <v>0</v>
      </c>
      <c r="J169" s="13">
        <f ca="1">SUMPRODUCT(dFactor,tpSurvCnH,INDEX(elecCnH,stdCSL+1,4)*allOnes,OFFSET(tPrcElec,0,5,1,_maxLT))</f>
        <v>0</v>
      </c>
      <c r="K169" s="13">
        <f ca="1">SUMPRODUCT(dFactor,tpSurvCnH,INDEX(elecCnH,stdCSL+1,4)*allOnes,OFFSET(tPrcElec,0,6,1,_maxLT))</f>
        <v>0</v>
      </c>
      <c r="L169" s="13">
        <f ca="1">SUMPRODUCT(dFactor,tpSurvCnH,INDEX(elecCnH,stdCSL+1,4)*allOnes,OFFSET(tPrcElec,0,7,1,_maxLT))</f>
        <v>0</v>
      </c>
      <c r="M169" s="13">
        <f ca="1">SUMPRODUCT(dFactor,tpSurvCnH,INDEX(elecCnH,stdCSL+1,4)*allOnes,OFFSET(tPrcElec,0,8,1,_maxLT))</f>
        <v>0</v>
      </c>
      <c r="N169" s="13">
        <f ca="1">SUMPRODUCT(dFactor,tpSurvCnH,INDEX(elecCnH,stdCSL+1,4)*allOnes,OFFSET(tPrcElec,0,9,1,_maxLT))</f>
        <v>0</v>
      </c>
      <c r="O169" s="13">
        <f ca="1">SUMPRODUCT(dFactor,tpSurvCnH,INDEX(elecCnH,stdCSL+1,4)*allOnes,OFFSET(tPrcElec,0,10,1,_maxLT))</f>
        <v>0</v>
      </c>
      <c r="P169" s="13">
        <f ca="1">SUMPRODUCT(dFactor,tpSurvCnH,INDEX(elecCnH,stdCSL+1,4)*allOnes,OFFSET(tPrcElec,0,11,1,_maxLT))</f>
        <v>0</v>
      </c>
      <c r="Q169" s="13">
        <f ca="1">SUMPRODUCT(dFactor,tpSurvCnH,INDEX(elecCnH,stdCSL+1,4)*allOnes,OFFSET(tPrcElec,0,12,1,_maxLT))</f>
        <v>0</v>
      </c>
      <c r="R169" s="13">
        <f ca="1">SUMPRODUCT(dFactor,tpSurvCnH,INDEX(elecCnH,stdCSL+1,4)*allOnes,OFFSET(tPrcElec,0,13,1,_maxLT))</f>
        <v>0</v>
      </c>
      <c r="S169" s="13">
        <f ca="1">SUMPRODUCT(dFactor,tpSurvCnH,INDEX(elecCnH,stdCSL+1,4)*allOnes,OFFSET(tPrcElec,0,14,1,_maxLT))</f>
        <v>0</v>
      </c>
      <c r="T169" s="13">
        <f ca="1">SUMPRODUCT(dFactor,tpSurvCnH,INDEX(elecCnH,stdCSL+1,4)*allOnes,OFFSET(tPrcElec,0,15,1,_maxLT))</f>
        <v>0</v>
      </c>
      <c r="U169" s="13">
        <f ca="1">SUMPRODUCT(dFactor,tpSurvCnH,INDEX(elecCnH,stdCSL+1,4)*allOnes,OFFSET(tPrcElec,0,16,1,_maxLT))</f>
        <v>0</v>
      </c>
      <c r="V169" s="13">
        <f ca="1">SUMPRODUCT(dFactor,tpSurvCnH,INDEX(elecCnH,stdCSL+1,4)*allOnes,OFFSET(tPrcElec,0,17,1,_maxLT))</f>
        <v>0</v>
      </c>
      <c r="W169" s="13">
        <f ca="1">SUMPRODUCT(dFactor,tpSurvCnH,INDEX(elecCnH,stdCSL+1,4)*allOnes,OFFSET(tPrcElec,0,18,1,_maxLT))</f>
        <v>0</v>
      </c>
      <c r="X169" s="13">
        <f ca="1">SUMPRODUCT(dFactor,tpSurvCnH,INDEX(elecCnH,stdCSL+1,4)*allOnes,OFFSET(tPrcElec,0,19,1,_maxLT))</f>
        <v>0</v>
      </c>
      <c r="Y169" s="13">
        <f ca="1">SUMPRODUCT(dFactor,tpSurvCnH,INDEX(elecCnH,stdCSL+1,4)*allOnes,OFFSET(tPrcElec,0,20,1,_maxLT))</f>
        <v>0</v>
      </c>
      <c r="Z169" s="13">
        <f ca="1">SUMPRODUCT(dFactor,tpSurvCnH,INDEX(elecCnH,stdCSL+1,4)*allOnes,OFFSET(tPrcElec,0,21,1,_maxLT))</f>
        <v>0</v>
      </c>
      <c r="AA169" s="13">
        <f ca="1">SUMPRODUCT(dFactor,tpSurvCnH,INDEX(elecCnH,stdCSL+1,4)*allOnes,OFFSET(tPrcElec,0,22,1,_maxLT))</f>
        <v>0</v>
      </c>
      <c r="AB169" s="13">
        <f ca="1">SUMPRODUCT(dFactor,tpSurvCnH,INDEX(elecCnH,stdCSL+1,4)*allOnes,OFFSET(tPrcElec,0,23,1,_maxLT))</f>
        <v>0</v>
      </c>
      <c r="AC169" s="13">
        <f ca="1">SUMPRODUCT(dFactor,tpSurvCnH,INDEX(elecCnH,stdCSL+1,4)*allOnes,OFFSET(tPrcElec,0,24,1,_maxLT))</f>
        <v>0</v>
      </c>
      <c r="AD169" s="13">
        <f ca="1">SUMPRODUCT(dFactor,tpSurvCnH,INDEX(elecCnH,stdCSL+1,4)*allOnes,OFFSET(tPrcElec,0,25,1,_maxLT))</f>
        <v>0</v>
      </c>
      <c r="AE169" s="13">
        <f ca="1">SUMPRODUCT(dFactor,tpSurvCnH,INDEX(elecCnH,stdCSL+1,4)*allOnes,OFFSET(tPrcElec,0,26,1,_maxLT))</f>
        <v>0</v>
      </c>
      <c r="AF169" s="13">
        <f ca="1">SUMPRODUCT(dFactor,tpSurvCnH,INDEX(elecCnH,stdCSL+1,4)*allOnes,OFFSET(tPrcElec,0,27,1,_maxLT))</f>
        <v>0</v>
      </c>
      <c r="AG169" s="13">
        <f ca="1">SUMPRODUCT(dFactor,tpSurvCnH,INDEX(elecCnH,stdCSL+1,4)*allOnes,OFFSET(tPrcElec,0,28,1,_maxLT))</f>
        <v>0</v>
      </c>
      <c r="AH169" s="13">
        <f ca="1">SUMPRODUCT(dFactor,tpSurvCnH,INDEX(elecCnH,stdCSL+1,4)*allOnes,OFFSET(tPrcElec,0,29,1,_maxLT))</f>
        <v>0</v>
      </c>
      <c r="AI169" s="13">
        <f ca="1">SUMPRODUCT(dFactor,tpSurvCnH,INDEX(elecCnH,stdCSL+1,4)*allOnes,OFFSET(tPrcElec,0,30,1,_maxLT))</f>
        <v>0</v>
      </c>
      <c r="AJ169" s="13">
        <f ca="1">SUMPRODUCT(dFactor,tpSurvCnH,INDEX(elecCnH,stdCSL+1,4)*allOnes,OFFSET(tPrcElec,0,31,1,_maxLT))</f>
        <v>0</v>
      </c>
      <c r="AK169" s="13">
        <f ca="1">SUMPRODUCT(dFactor,tpSurvCnH,INDEX(elecCnH,stdCSL+1,4)*allOnes,OFFSET(tPrcElec,0,32,1,_maxLT))</f>
        <v>0</v>
      </c>
      <c r="AL169" s="56">
        <f ca="1">SUMPRODUCT(dFactor,tpSurvCnH,INDEX(elecCnH,stdCSL+1,4)*allOnes,OFFSET(tPrcElec,0,33,1,_maxLT))</f>
        <v>0</v>
      </c>
      <c r="AM169" s="10"/>
    </row>
    <row r="170" spans="2:39">
      <c r="B170" s="10"/>
      <c r="C170" s="16" t="s">
        <v>79</v>
      </c>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5"/>
      <c r="AM170" s="10"/>
    </row>
    <row r="171" spans="2:39">
      <c r="B171" s="10"/>
      <c r="C171" s="28" t="str">
        <f>INDEX(_fuel,1)</f>
        <v>Electricity</v>
      </c>
      <c r="D171" s="12" t="s">
        <v>83</v>
      </c>
      <c r="E171" s="39">
        <f ca="1">SUMPRODUCT(OFFSET(tConvElecCnH,0,0,1,_maxLT),INDEX(elecCnH,stdCSL+1,4)*allOnes,tpSurvCnH)</f>
        <v>0</v>
      </c>
      <c r="F171" s="39">
        <f ca="1">SUMPRODUCT(OFFSET(tConvElecCnH,0,1,1,_maxLT),INDEX(elecCnH,stdCSL+1,4)*allOnes,tpSurvCnH)</f>
        <v>0</v>
      </c>
      <c r="G171" s="39">
        <f ca="1">SUMPRODUCT(OFFSET(tConvElecCnH,0,2,1,_maxLT),INDEX(elecCnH,stdCSL+1,4)*allOnes,tpSurvCnH)</f>
        <v>0</v>
      </c>
      <c r="H171" s="39">
        <f ca="1">SUMPRODUCT(OFFSET(tConvElecCnH,0,3,1,_maxLT),INDEX(elecCnH,stdCSL+1,4)*allOnes,tpSurvCnH)</f>
        <v>0</v>
      </c>
      <c r="I171" s="39">
        <f ca="1">SUMPRODUCT(OFFSET(tConvElecCnH,0,4,1,_maxLT),INDEX(elecCnH,stdCSL+1,4)*allOnes,tpSurvCnH)</f>
        <v>0</v>
      </c>
      <c r="J171" s="39">
        <f ca="1">SUMPRODUCT(OFFSET(tConvElecCnH,0,5,1,_maxLT),INDEX(elecCnH,stdCSL+1,4)*allOnes,tpSurvCnH)</f>
        <v>0</v>
      </c>
      <c r="K171" s="39">
        <f ca="1">SUMPRODUCT(OFFSET(tConvElecCnH,0,6,1,_maxLT),INDEX(elecCnH,stdCSL+1,4)*allOnes,tpSurvCnH)</f>
        <v>0</v>
      </c>
      <c r="L171" s="39">
        <f ca="1">SUMPRODUCT(OFFSET(tConvElecCnH,0,7,1,_maxLT),INDEX(elecCnH,stdCSL+1,4)*allOnes,tpSurvCnH)</f>
        <v>0</v>
      </c>
      <c r="M171" s="39">
        <f ca="1">SUMPRODUCT(OFFSET(tConvElecCnH,0,8,1,_maxLT),INDEX(elecCnH,stdCSL+1,4)*allOnes,tpSurvCnH)</f>
        <v>0</v>
      </c>
      <c r="N171" s="39">
        <f ca="1">SUMPRODUCT(OFFSET(tConvElecCnH,0,9,1,_maxLT),INDEX(elecCnH,stdCSL+1,4)*allOnes,tpSurvCnH)</f>
        <v>0</v>
      </c>
      <c r="O171" s="39">
        <f ca="1">SUMPRODUCT(OFFSET(tConvElecCnH,0,10,1,_maxLT),INDEX(elecCnH,stdCSL+1,4)*allOnes,tpSurvCnH)</f>
        <v>0</v>
      </c>
      <c r="P171" s="39">
        <f ca="1">SUMPRODUCT(OFFSET(tConvElecCnH,0,11,1,_maxLT),INDEX(elecCnH,stdCSL+1,4)*allOnes,tpSurvCnH)</f>
        <v>0</v>
      </c>
      <c r="Q171" s="39">
        <f ca="1">SUMPRODUCT(OFFSET(tConvElecCnH,0,12,1,_maxLT),INDEX(elecCnH,stdCSL+1,4)*allOnes,tpSurvCnH)</f>
        <v>0</v>
      </c>
      <c r="R171" s="39">
        <f ca="1">SUMPRODUCT(OFFSET(tConvElecCnH,0,13,1,_maxLT),INDEX(elecCnH,stdCSL+1,4)*allOnes,tpSurvCnH)</f>
        <v>0</v>
      </c>
      <c r="S171" s="39">
        <f ca="1">SUMPRODUCT(OFFSET(tConvElecCnH,0,14,1,_maxLT),INDEX(elecCnH,stdCSL+1,4)*allOnes,tpSurvCnH)</f>
        <v>0</v>
      </c>
      <c r="T171" s="39">
        <f ca="1">SUMPRODUCT(OFFSET(tConvElecCnH,0,15,1,_maxLT),INDEX(elecCnH,stdCSL+1,4)*allOnes,tpSurvCnH)</f>
        <v>0</v>
      </c>
      <c r="U171" s="39">
        <f ca="1">SUMPRODUCT(OFFSET(tConvElecCnH,0,16,1,_maxLT),INDEX(elecCnH,stdCSL+1,4)*allOnes,tpSurvCnH)</f>
        <v>0</v>
      </c>
      <c r="V171" s="39">
        <f ca="1">SUMPRODUCT(OFFSET(tConvElecCnH,0,17,1,_maxLT),INDEX(elecCnH,stdCSL+1,4)*allOnes,tpSurvCnH)</f>
        <v>0</v>
      </c>
      <c r="W171" s="39">
        <f ca="1">SUMPRODUCT(OFFSET(tConvElecCnH,0,18,1,_maxLT),INDEX(elecCnH,stdCSL+1,4)*allOnes,tpSurvCnH)</f>
        <v>0</v>
      </c>
      <c r="X171" s="39">
        <f ca="1">SUMPRODUCT(OFFSET(tConvElecCnH,0,19,1,_maxLT),INDEX(elecCnH,stdCSL+1,4)*allOnes,tpSurvCnH)</f>
        <v>0</v>
      </c>
      <c r="Y171" s="39">
        <f ca="1">SUMPRODUCT(OFFSET(tConvElecCnH,0,20,1,_maxLT),INDEX(elecCnH,stdCSL+1,4)*allOnes,tpSurvCnH)</f>
        <v>0</v>
      </c>
      <c r="Z171" s="39">
        <f ca="1">SUMPRODUCT(OFFSET(tConvElecCnH,0,21,1,_maxLT),INDEX(elecCnH,stdCSL+1,4)*allOnes,tpSurvCnH)</f>
        <v>0</v>
      </c>
      <c r="AA171" s="39">
        <f ca="1">SUMPRODUCT(OFFSET(tConvElecCnH,0,22,1,_maxLT),INDEX(elecCnH,stdCSL+1,4)*allOnes,tpSurvCnH)</f>
        <v>0</v>
      </c>
      <c r="AB171" s="39">
        <f ca="1">SUMPRODUCT(OFFSET(tConvElecCnH,0,23,1,_maxLT),INDEX(elecCnH,stdCSL+1,4)*allOnes,tpSurvCnH)</f>
        <v>0</v>
      </c>
      <c r="AC171" s="39">
        <f ca="1">SUMPRODUCT(OFFSET(tConvElecCnH,0,24,1,_maxLT),INDEX(elecCnH,stdCSL+1,4)*allOnes,tpSurvCnH)</f>
        <v>0</v>
      </c>
      <c r="AD171" s="39">
        <f ca="1">SUMPRODUCT(OFFSET(tConvElecCnH,0,25,1,_maxLT),INDEX(elecCnH,stdCSL+1,4)*allOnes,tpSurvCnH)</f>
        <v>0</v>
      </c>
      <c r="AE171" s="39">
        <f ca="1">SUMPRODUCT(OFFSET(tConvElecCnH,0,26,1,_maxLT),INDEX(elecCnH,stdCSL+1,4)*allOnes,tpSurvCnH)</f>
        <v>0</v>
      </c>
      <c r="AF171" s="39">
        <f ca="1">SUMPRODUCT(OFFSET(tConvElecCnH,0,27,1,_maxLT),INDEX(elecCnH,stdCSL+1,4)*allOnes,tpSurvCnH)</f>
        <v>0</v>
      </c>
      <c r="AG171" s="39">
        <f ca="1">SUMPRODUCT(OFFSET(tConvElecCnH,0,28,1,_maxLT),INDEX(elecCnH,stdCSL+1,4)*allOnes,tpSurvCnH)</f>
        <v>0</v>
      </c>
      <c r="AH171" s="39">
        <f ca="1">SUMPRODUCT(OFFSET(tConvElecCnH,0,29,1,_maxLT),INDEX(elecCnH,stdCSL+1,4)*allOnes,tpSurvCnH)</f>
        <v>0</v>
      </c>
      <c r="AI171" s="39">
        <f ca="1">SUMPRODUCT(OFFSET(tConvElecCnH,0,30,1,_maxLT),INDEX(elecCnH,stdCSL+1,4)*allOnes,tpSurvCnH)</f>
        <v>0</v>
      </c>
      <c r="AJ171" s="39">
        <f ca="1">SUMPRODUCT(OFFSET(tConvElecCnH,0,31,1,_maxLT),INDEX(elecCnH,stdCSL+1,4)*allOnes,tpSurvCnH)</f>
        <v>0</v>
      </c>
      <c r="AK171" s="39">
        <f ca="1">SUMPRODUCT(OFFSET(tConvElecCnH,0,32,1,_maxLT),INDEX(elecCnH,stdCSL+1,4)*allOnes,tpSurvCnH)</f>
        <v>0</v>
      </c>
      <c r="AL171" s="40">
        <f ca="1">SUMPRODUCT(OFFSET(tConvElecCnH,0,33,1,_maxLT),INDEX(elecCnH,stdCSL+1,4)*allOnes,tpSurvCnH)</f>
        <v>0</v>
      </c>
      <c r="AM171" s="10"/>
    </row>
    <row r="172" spans="2:39">
      <c r="B172" s="10"/>
      <c r="C172" s="57" t="str">
        <f>"EL 4: " &amp; INDEX(_doName,3,5)</f>
        <v>EL 4: EL 4</v>
      </c>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3"/>
      <c r="AM172" s="10"/>
    </row>
    <row r="173" spans="2:39">
      <c r="B173" s="10"/>
      <c r="C173" s="16" t="s">
        <v>69</v>
      </c>
      <c r="D173" s="12" t="str">
        <f>_yearDol &amp; "$"</f>
        <v>2015$</v>
      </c>
      <c r="E173" s="13">
        <f t="array" aca="1" ref="E173:AL173" ca="1">INDEX(mspCnH,stdCSL+1,5)*tPIdxAll + INDEX(instCnH,stdCSL+1,5) + IF(bESav,SUMPRODUCT(dFactor,tpSurvCnH,INDEX(mrCnH,stdCSL+1,5)*allOnes),0)</f>
        <v>0</v>
      </c>
      <c r="F173" s="13">
        <f ca="1"/>
        <v>0</v>
      </c>
      <c r="G173" s="13">
        <f ca="1"/>
        <v>0</v>
      </c>
      <c r="H173" s="13">
        <f ca="1"/>
        <v>0</v>
      </c>
      <c r="I173" s="13">
        <f ca="1"/>
        <v>0</v>
      </c>
      <c r="J173" s="13">
        <f ca="1"/>
        <v>0</v>
      </c>
      <c r="K173" s="13">
        <f ca="1"/>
        <v>0</v>
      </c>
      <c r="L173" s="13">
        <f ca="1"/>
        <v>0</v>
      </c>
      <c r="M173" s="13">
        <f ca="1"/>
        <v>0</v>
      </c>
      <c r="N173" s="13">
        <f ca="1"/>
        <v>0</v>
      </c>
      <c r="O173" s="13">
        <f ca="1"/>
        <v>0</v>
      </c>
      <c r="P173" s="13">
        <f ca="1"/>
        <v>0</v>
      </c>
      <c r="Q173" s="13">
        <f ca="1"/>
        <v>0</v>
      </c>
      <c r="R173" s="13">
        <f ca="1"/>
        <v>0</v>
      </c>
      <c r="S173" s="13">
        <f ca="1"/>
        <v>0</v>
      </c>
      <c r="T173" s="13">
        <f ca="1"/>
        <v>0</v>
      </c>
      <c r="U173" s="13">
        <f ca="1"/>
        <v>0</v>
      </c>
      <c r="V173" s="13">
        <f ca="1"/>
        <v>0</v>
      </c>
      <c r="W173" s="13">
        <f ca="1"/>
        <v>0</v>
      </c>
      <c r="X173" s="13">
        <f ca="1"/>
        <v>0</v>
      </c>
      <c r="Y173" s="13">
        <f ca="1"/>
        <v>0</v>
      </c>
      <c r="Z173" s="13">
        <f ca="1"/>
        <v>0</v>
      </c>
      <c r="AA173" s="13">
        <f ca="1"/>
        <v>0</v>
      </c>
      <c r="AB173" s="13">
        <f ca="1"/>
        <v>0</v>
      </c>
      <c r="AC173" s="13">
        <f ca="1"/>
        <v>0</v>
      </c>
      <c r="AD173" s="13">
        <f ca="1"/>
        <v>0</v>
      </c>
      <c r="AE173" s="13">
        <f ca="1"/>
        <v>0</v>
      </c>
      <c r="AF173" s="13">
        <f ca="1"/>
        <v>0</v>
      </c>
      <c r="AG173" s="13">
        <f ca="1"/>
        <v>0</v>
      </c>
      <c r="AH173" s="13">
        <f ca="1"/>
        <v>0</v>
      </c>
      <c r="AI173" s="13">
        <f ca="1"/>
        <v>0</v>
      </c>
      <c r="AJ173" s="13">
        <f ca="1"/>
        <v>0</v>
      </c>
      <c r="AK173" s="13">
        <f ca="1"/>
        <v>0</v>
      </c>
      <c r="AL173" s="56">
        <f ca="1"/>
        <v>0</v>
      </c>
      <c r="AM173" s="10"/>
    </row>
    <row r="174" spans="2:39">
      <c r="B174" s="10"/>
      <c r="C174" s="16" t="str">
        <f>zEO&amp;" Costs"</f>
        <v>Operating Costs</v>
      </c>
      <c r="D174" s="12" t="str">
        <f>_yearDol &amp; "$"</f>
        <v>2015$</v>
      </c>
      <c r="E174" s="13">
        <f t="array" aca="1" ref="E174:AL174" ca="1">(tlccEFuElecpol4) + IF(bOSav,SUMPRODUCT(dFactor,tpSurvCnH,INDEX(mrCnH,stdCSL+1,5)*allOnes),0)</f>
        <v>0</v>
      </c>
      <c r="F174" s="13">
        <f ca="1"/>
        <v>0</v>
      </c>
      <c r="G174" s="13">
        <f ca="1"/>
        <v>0</v>
      </c>
      <c r="H174" s="13">
        <f ca="1"/>
        <v>0</v>
      </c>
      <c r="I174" s="13">
        <f ca="1"/>
        <v>0</v>
      </c>
      <c r="J174" s="13">
        <f ca="1"/>
        <v>0</v>
      </c>
      <c r="K174" s="13">
        <f ca="1"/>
        <v>0</v>
      </c>
      <c r="L174" s="13">
        <f ca="1"/>
        <v>0</v>
      </c>
      <c r="M174" s="13">
        <f ca="1"/>
        <v>0</v>
      </c>
      <c r="N174" s="13">
        <f ca="1"/>
        <v>0</v>
      </c>
      <c r="O174" s="13">
        <f ca="1"/>
        <v>0</v>
      </c>
      <c r="P174" s="13">
        <f ca="1"/>
        <v>0</v>
      </c>
      <c r="Q174" s="13">
        <f ca="1"/>
        <v>0</v>
      </c>
      <c r="R174" s="13">
        <f ca="1"/>
        <v>0</v>
      </c>
      <c r="S174" s="13">
        <f ca="1"/>
        <v>0</v>
      </c>
      <c r="T174" s="13">
        <f ca="1"/>
        <v>0</v>
      </c>
      <c r="U174" s="13">
        <f ca="1"/>
        <v>0</v>
      </c>
      <c r="V174" s="13">
        <f ca="1"/>
        <v>0</v>
      </c>
      <c r="W174" s="13">
        <f ca="1"/>
        <v>0</v>
      </c>
      <c r="X174" s="13">
        <f ca="1"/>
        <v>0</v>
      </c>
      <c r="Y174" s="13">
        <f ca="1"/>
        <v>0</v>
      </c>
      <c r="Z174" s="13">
        <f ca="1"/>
        <v>0</v>
      </c>
      <c r="AA174" s="13">
        <f ca="1"/>
        <v>0</v>
      </c>
      <c r="AB174" s="13">
        <f ca="1"/>
        <v>0</v>
      </c>
      <c r="AC174" s="13">
        <f ca="1"/>
        <v>0</v>
      </c>
      <c r="AD174" s="13">
        <f ca="1"/>
        <v>0</v>
      </c>
      <c r="AE174" s="13">
        <f ca="1"/>
        <v>0</v>
      </c>
      <c r="AF174" s="13">
        <f ca="1"/>
        <v>0</v>
      </c>
      <c r="AG174" s="13">
        <f ca="1"/>
        <v>0</v>
      </c>
      <c r="AH174" s="13">
        <f ca="1"/>
        <v>0</v>
      </c>
      <c r="AI174" s="13">
        <f ca="1"/>
        <v>0</v>
      </c>
      <c r="AJ174" s="13">
        <f ca="1"/>
        <v>0</v>
      </c>
      <c r="AK174" s="13">
        <f ca="1"/>
        <v>0</v>
      </c>
      <c r="AL174" s="56">
        <f ca="1"/>
        <v>0</v>
      </c>
      <c r="AM174" s="10"/>
    </row>
    <row r="175" spans="2:39">
      <c r="B175" s="10"/>
      <c r="C175" s="28" t="str">
        <f>INDEX(_fuel,1)</f>
        <v>Electricity</v>
      </c>
      <c r="D175" s="12" t="str">
        <f>_yearDol &amp; "$"</f>
        <v>2015$</v>
      </c>
      <c r="E175" s="13">
        <f ca="1">SUMPRODUCT(dFactor,tpSurvCnH,INDEX(elecCnH,stdCSL+1,5)*allOnes,OFFSET(tPrcElec,0,0,1,_maxLT))</f>
        <v>0</v>
      </c>
      <c r="F175" s="13">
        <f ca="1">SUMPRODUCT(dFactor,tpSurvCnH,INDEX(elecCnH,stdCSL+1,5)*allOnes,OFFSET(tPrcElec,0,1,1,_maxLT))</f>
        <v>0</v>
      </c>
      <c r="G175" s="13">
        <f ca="1">SUMPRODUCT(dFactor,tpSurvCnH,INDEX(elecCnH,stdCSL+1,5)*allOnes,OFFSET(tPrcElec,0,2,1,_maxLT))</f>
        <v>0</v>
      </c>
      <c r="H175" s="13">
        <f ca="1">SUMPRODUCT(dFactor,tpSurvCnH,INDEX(elecCnH,stdCSL+1,5)*allOnes,OFFSET(tPrcElec,0,3,1,_maxLT))</f>
        <v>0</v>
      </c>
      <c r="I175" s="13">
        <f ca="1">SUMPRODUCT(dFactor,tpSurvCnH,INDEX(elecCnH,stdCSL+1,5)*allOnes,OFFSET(tPrcElec,0,4,1,_maxLT))</f>
        <v>0</v>
      </c>
      <c r="J175" s="13">
        <f ca="1">SUMPRODUCT(dFactor,tpSurvCnH,INDEX(elecCnH,stdCSL+1,5)*allOnes,OFFSET(tPrcElec,0,5,1,_maxLT))</f>
        <v>0</v>
      </c>
      <c r="K175" s="13">
        <f ca="1">SUMPRODUCT(dFactor,tpSurvCnH,INDEX(elecCnH,stdCSL+1,5)*allOnes,OFFSET(tPrcElec,0,6,1,_maxLT))</f>
        <v>0</v>
      </c>
      <c r="L175" s="13">
        <f ca="1">SUMPRODUCT(dFactor,tpSurvCnH,INDEX(elecCnH,stdCSL+1,5)*allOnes,OFFSET(tPrcElec,0,7,1,_maxLT))</f>
        <v>0</v>
      </c>
      <c r="M175" s="13">
        <f ca="1">SUMPRODUCT(dFactor,tpSurvCnH,INDEX(elecCnH,stdCSL+1,5)*allOnes,OFFSET(tPrcElec,0,8,1,_maxLT))</f>
        <v>0</v>
      </c>
      <c r="N175" s="13">
        <f ca="1">SUMPRODUCT(dFactor,tpSurvCnH,INDEX(elecCnH,stdCSL+1,5)*allOnes,OFFSET(tPrcElec,0,9,1,_maxLT))</f>
        <v>0</v>
      </c>
      <c r="O175" s="13">
        <f ca="1">SUMPRODUCT(dFactor,tpSurvCnH,INDEX(elecCnH,stdCSL+1,5)*allOnes,OFFSET(tPrcElec,0,10,1,_maxLT))</f>
        <v>0</v>
      </c>
      <c r="P175" s="13">
        <f ca="1">SUMPRODUCT(dFactor,tpSurvCnH,INDEX(elecCnH,stdCSL+1,5)*allOnes,OFFSET(tPrcElec,0,11,1,_maxLT))</f>
        <v>0</v>
      </c>
      <c r="Q175" s="13">
        <f ca="1">SUMPRODUCT(dFactor,tpSurvCnH,INDEX(elecCnH,stdCSL+1,5)*allOnes,OFFSET(tPrcElec,0,12,1,_maxLT))</f>
        <v>0</v>
      </c>
      <c r="R175" s="13">
        <f ca="1">SUMPRODUCT(dFactor,tpSurvCnH,INDEX(elecCnH,stdCSL+1,5)*allOnes,OFFSET(tPrcElec,0,13,1,_maxLT))</f>
        <v>0</v>
      </c>
      <c r="S175" s="13">
        <f ca="1">SUMPRODUCT(dFactor,tpSurvCnH,INDEX(elecCnH,stdCSL+1,5)*allOnes,OFFSET(tPrcElec,0,14,1,_maxLT))</f>
        <v>0</v>
      </c>
      <c r="T175" s="13">
        <f ca="1">SUMPRODUCT(dFactor,tpSurvCnH,INDEX(elecCnH,stdCSL+1,5)*allOnes,OFFSET(tPrcElec,0,15,1,_maxLT))</f>
        <v>0</v>
      </c>
      <c r="U175" s="13">
        <f ca="1">SUMPRODUCT(dFactor,tpSurvCnH,INDEX(elecCnH,stdCSL+1,5)*allOnes,OFFSET(tPrcElec,0,16,1,_maxLT))</f>
        <v>0</v>
      </c>
      <c r="V175" s="13">
        <f ca="1">SUMPRODUCT(dFactor,tpSurvCnH,INDEX(elecCnH,stdCSL+1,5)*allOnes,OFFSET(tPrcElec,0,17,1,_maxLT))</f>
        <v>0</v>
      </c>
      <c r="W175" s="13">
        <f ca="1">SUMPRODUCT(dFactor,tpSurvCnH,INDEX(elecCnH,stdCSL+1,5)*allOnes,OFFSET(tPrcElec,0,18,1,_maxLT))</f>
        <v>0</v>
      </c>
      <c r="X175" s="13">
        <f ca="1">SUMPRODUCT(dFactor,tpSurvCnH,INDEX(elecCnH,stdCSL+1,5)*allOnes,OFFSET(tPrcElec,0,19,1,_maxLT))</f>
        <v>0</v>
      </c>
      <c r="Y175" s="13">
        <f ca="1">SUMPRODUCT(dFactor,tpSurvCnH,INDEX(elecCnH,stdCSL+1,5)*allOnes,OFFSET(tPrcElec,0,20,1,_maxLT))</f>
        <v>0</v>
      </c>
      <c r="Z175" s="13">
        <f ca="1">SUMPRODUCT(dFactor,tpSurvCnH,INDEX(elecCnH,stdCSL+1,5)*allOnes,OFFSET(tPrcElec,0,21,1,_maxLT))</f>
        <v>0</v>
      </c>
      <c r="AA175" s="13">
        <f ca="1">SUMPRODUCT(dFactor,tpSurvCnH,INDEX(elecCnH,stdCSL+1,5)*allOnes,OFFSET(tPrcElec,0,22,1,_maxLT))</f>
        <v>0</v>
      </c>
      <c r="AB175" s="13">
        <f ca="1">SUMPRODUCT(dFactor,tpSurvCnH,INDEX(elecCnH,stdCSL+1,5)*allOnes,OFFSET(tPrcElec,0,23,1,_maxLT))</f>
        <v>0</v>
      </c>
      <c r="AC175" s="13">
        <f ca="1">SUMPRODUCT(dFactor,tpSurvCnH,INDEX(elecCnH,stdCSL+1,5)*allOnes,OFFSET(tPrcElec,0,24,1,_maxLT))</f>
        <v>0</v>
      </c>
      <c r="AD175" s="13">
        <f ca="1">SUMPRODUCT(dFactor,tpSurvCnH,INDEX(elecCnH,stdCSL+1,5)*allOnes,OFFSET(tPrcElec,0,25,1,_maxLT))</f>
        <v>0</v>
      </c>
      <c r="AE175" s="13">
        <f ca="1">SUMPRODUCT(dFactor,tpSurvCnH,INDEX(elecCnH,stdCSL+1,5)*allOnes,OFFSET(tPrcElec,0,26,1,_maxLT))</f>
        <v>0</v>
      </c>
      <c r="AF175" s="13">
        <f ca="1">SUMPRODUCT(dFactor,tpSurvCnH,INDEX(elecCnH,stdCSL+1,5)*allOnes,OFFSET(tPrcElec,0,27,1,_maxLT))</f>
        <v>0</v>
      </c>
      <c r="AG175" s="13">
        <f ca="1">SUMPRODUCT(dFactor,tpSurvCnH,INDEX(elecCnH,stdCSL+1,5)*allOnes,OFFSET(tPrcElec,0,28,1,_maxLT))</f>
        <v>0</v>
      </c>
      <c r="AH175" s="13">
        <f ca="1">SUMPRODUCT(dFactor,tpSurvCnH,INDEX(elecCnH,stdCSL+1,5)*allOnes,OFFSET(tPrcElec,0,29,1,_maxLT))</f>
        <v>0</v>
      </c>
      <c r="AI175" s="13">
        <f ca="1">SUMPRODUCT(dFactor,tpSurvCnH,INDEX(elecCnH,stdCSL+1,5)*allOnes,OFFSET(tPrcElec,0,30,1,_maxLT))</f>
        <v>0</v>
      </c>
      <c r="AJ175" s="13">
        <f ca="1">SUMPRODUCT(dFactor,tpSurvCnH,INDEX(elecCnH,stdCSL+1,5)*allOnes,OFFSET(tPrcElec,0,31,1,_maxLT))</f>
        <v>0</v>
      </c>
      <c r="AK175" s="13">
        <f ca="1">SUMPRODUCT(dFactor,tpSurvCnH,INDEX(elecCnH,stdCSL+1,5)*allOnes,OFFSET(tPrcElec,0,32,1,_maxLT))</f>
        <v>0</v>
      </c>
      <c r="AL175" s="56">
        <f ca="1">SUMPRODUCT(dFactor,tpSurvCnH,INDEX(elecCnH,stdCSL+1,5)*allOnes,OFFSET(tPrcElec,0,33,1,_maxLT))</f>
        <v>0</v>
      </c>
      <c r="AM175" s="10"/>
    </row>
    <row r="176" spans="2:39">
      <c r="B176" s="10"/>
      <c r="C176" s="16" t="s">
        <v>79</v>
      </c>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5"/>
      <c r="AM176" s="10"/>
    </row>
    <row r="177" spans="2:39">
      <c r="B177" s="10"/>
      <c r="C177" s="28" t="str">
        <f>INDEX(_fuel,1)</f>
        <v>Electricity</v>
      </c>
      <c r="D177" s="12" t="s">
        <v>83</v>
      </c>
      <c r="E177" s="39">
        <f ca="1">SUMPRODUCT(OFFSET(tConvElecCnH,0,0,1,_maxLT),INDEX(elecCnH,stdCSL+1,5)*allOnes,tpSurvCnH)</f>
        <v>0</v>
      </c>
      <c r="F177" s="39">
        <f ca="1">SUMPRODUCT(OFFSET(tConvElecCnH,0,1,1,_maxLT),INDEX(elecCnH,stdCSL+1,5)*allOnes,tpSurvCnH)</f>
        <v>0</v>
      </c>
      <c r="G177" s="39">
        <f ca="1">SUMPRODUCT(OFFSET(tConvElecCnH,0,2,1,_maxLT),INDEX(elecCnH,stdCSL+1,5)*allOnes,tpSurvCnH)</f>
        <v>0</v>
      </c>
      <c r="H177" s="39">
        <f ca="1">SUMPRODUCT(OFFSET(tConvElecCnH,0,3,1,_maxLT),INDEX(elecCnH,stdCSL+1,5)*allOnes,tpSurvCnH)</f>
        <v>0</v>
      </c>
      <c r="I177" s="39">
        <f ca="1">SUMPRODUCT(OFFSET(tConvElecCnH,0,4,1,_maxLT),INDEX(elecCnH,stdCSL+1,5)*allOnes,tpSurvCnH)</f>
        <v>0</v>
      </c>
      <c r="J177" s="39">
        <f ca="1">SUMPRODUCT(OFFSET(tConvElecCnH,0,5,1,_maxLT),INDEX(elecCnH,stdCSL+1,5)*allOnes,tpSurvCnH)</f>
        <v>0</v>
      </c>
      <c r="K177" s="39">
        <f ca="1">SUMPRODUCT(OFFSET(tConvElecCnH,0,6,1,_maxLT),INDEX(elecCnH,stdCSL+1,5)*allOnes,tpSurvCnH)</f>
        <v>0</v>
      </c>
      <c r="L177" s="39">
        <f ca="1">SUMPRODUCT(OFFSET(tConvElecCnH,0,7,1,_maxLT),INDEX(elecCnH,stdCSL+1,5)*allOnes,tpSurvCnH)</f>
        <v>0</v>
      </c>
      <c r="M177" s="39">
        <f ca="1">SUMPRODUCT(OFFSET(tConvElecCnH,0,8,1,_maxLT),INDEX(elecCnH,stdCSL+1,5)*allOnes,tpSurvCnH)</f>
        <v>0</v>
      </c>
      <c r="N177" s="39">
        <f ca="1">SUMPRODUCT(OFFSET(tConvElecCnH,0,9,1,_maxLT),INDEX(elecCnH,stdCSL+1,5)*allOnes,tpSurvCnH)</f>
        <v>0</v>
      </c>
      <c r="O177" s="39">
        <f ca="1">SUMPRODUCT(OFFSET(tConvElecCnH,0,10,1,_maxLT),INDEX(elecCnH,stdCSL+1,5)*allOnes,tpSurvCnH)</f>
        <v>0</v>
      </c>
      <c r="P177" s="39">
        <f ca="1">SUMPRODUCT(OFFSET(tConvElecCnH,0,11,1,_maxLT),INDEX(elecCnH,stdCSL+1,5)*allOnes,tpSurvCnH)</f>
        <v>0</v>
      </c>
      <c r="Q177" s="39">
        <f ca="1">SUMPRODUCT(OFFSET(tConvElecCnH,0,12,1,_maxLT),INDEX(elecCnH,stdCSL+1,5)*allOnes,tpSurvCnH)</f>
        <v>0</v>
      </c>
      <c r="R177" s="39">
        <f ca="1">SUMPRODUCT(OFFSET(tConvElecCnH,0,13,1,_maxLT),INDEX(elecCnH,stdCSL+1,5)*allOnes,tpSurvCnH)</f>
        <v>0</v>
      </c>
      <c r="S177" s="39">
        <f ca="1">SUMPRODUCT(OFFSET(tConvElecCnH,0,14,1,_maxLT),INDEX(elecCnH,stdCSL+1,5)*allOnes,tpSurvCnH)</f>
        <v>0</v>
      </c>
      <c r="T177" s="39">
        <f ca="1">SUMPRODUCT(OFFSET(tConvElecCnH,0,15,1,_maxLT),INDEX(elecCnH,stdCSL+1,5)*allOnes,tpSurvCnH)</f>
        <v>0</v>
      </c>
      <c r="U177" s="39">
        <f ca="1">SUMPRODUCT(OFFSET(tConvElecCnH,0,16,1,_maxLT),INDEX(elecCnH,stdCSL+1,5)*allOnes,tpSurvCnH)</f>
        <v>0</v>
      </c>
      <c r="V177" s="39">
        <f ca="1">SUMPRODUCT(OFFSET(tConvElecCnH,0,17,1,_maxLT),INDEX(elecCnH,stdCSL+1,5)*allOnes,tpSurvCnH)</f>
        <v>0</v>
      </c>
      <c r="W177" s="39">
        <f ca="1">SUMPRODUCT(OFFSET(tConvElecCnH,0,18,1,_maxLT),INDEX(elecCnH,stdCSL+1,5)*allOnes,tpSurvCnH)</f>
        <v>0</v>
      </c>
      <c r="X177" s="39">
        <f ca="1">SUMPRODUCT(OFFSET(tConvElecCnH,0,19,1,_maxLT),INDEX(elecCnH,stdCSL+1,5)*allOnes,tpSurvCnH)</f>
        <v>0</v>
      </c>
      <c r="Y177" s="39">
        <f ca="1">SUMPRODUCT(OFFSET(tConvElecCnH,0,20,1,_maxLT),INDEX(elecCnH,stdCSL+1,5)*allOnes,tpSurvCnH)</f>
        <v>0</v>
      </c>
      <c r="Z177" s="39">
        <f ca="1">SUMPRODUCT(OFFSET(tConvElecCnH,0,21,1,_maxLT),INDEX(elecCnH,stdCSL+1,5)*allOnes,tpSurvCnH)</f>
        <v>0</v>
      </c>
      <c r="AA177" s="39">
        <f ca="1">SUMPRODUCT(OFFSET(tConvElecCnH,0,22,1,_maxLT),INDEX(elecCnH,stdCSL+1,5)*allOnes,tpSurvCnH)</f>
        <v>0</v>
      </c>
      <c r="AB177" s="39">
        <f ca="1">SUMPRODUCT(OFFSET(tConvElecCnH,0,23,1,_maxLT),INDEX(elecCnH,stdCSL+1,5)*allOnes,tpSurvCnH)</f>
        <v>0</v>
      </c>
      <c r="AC177" s="39">
        <f ca="1">SUMPRODUCT(OFFSET(tConvElecCnH,0,24,1,_maxLT),INDEX(elecCnH,stdCSL+1,5)*allOnes,tpSurvCnH)</f>
        <v>0</v>
      </c>
      <c r="AD177" s="39">
        <f ca="1">SUMPRODUCT(OFFSET(tConvElecCnH,0,25,1,_maxLT),INDEX(elecCnH,stdCSL+1,5)*allOnes,tpSurvCnH)</f>
        <v>0</v>
      </c>
      <c r="AE177" s="39">
        <f ca="1">SUMPRODUCT(OFFSET(tConvElecCnH,0,26,1,_maxLT),INDEX(elecCnH,stdCSL+1,5)*allOnes,tpSurvCnH)</f>
        <v>0</v>
      </c>
      <c r="AF177" s="39">
        <f ca="1">SUMPRODUCT(OFFSET(tConvElecCnH,0,27,1,_maxLT),INDEX(elecCnH,stdCSL+1,5)*allOnes,tpSurvCnH)</f>
        <v>0</v>
      </c>
      <c r="AG177" s="39">
        <f ca="1">SUMPRODUCT(OFFSET(tConvElecCnH,0,28,1,_maxLT),INDEX(elecCnH,stdCSL+1,5)*allOnes,tpSurvCnH)</f>
        <v>0</v>
      </c>
      <c r="AH177" s="39">
        <f ca="1">SUMPRODUCT(OFFSET(tConvElecCnH,0,29,1,_maxLT),INDEX(elecCnH,stdCSL+1,5)*allOnes,tpSurvCnH)</f>
        <v>0</v>
      </c>
      <c r="AI177" s="39">
        <f ca="1">SUMPRODUCT(OFFSET(tConvElecCnH,0,30,1,_maxLT),INDEX(elecCnH,stdCSL+1,5)*allOnes,tpSurvCnH)</f>
        <v>0</v>
      </c>
      <c r="AJ177" s="39">
        <f ca="1">SUMPRODUCT(OFFSET(tConvElecCnH,0,31,1,_maxLT),INDEX(elecCnH,stdCSL+1,5)*allOnes,tpSurvCnH)</f>
        <v>0</v>
      </c>
      <c r="AK177" s="39">
        <f ca="1">SUMPRODUCT(OFFSET(tConvElecCnH,0,32,1,_maxLT),INDEX(elecCnH,stdCSL+1,5)*allOnes,tpSurvCnH)</f>
        <v>0</v>
      </c>
      <c r="AL177" s="40">
        <f ca="1">SUMPRODUCT(OFFSET(tConvElecCnH,0,33,1,_maxLT),INDEX(elecCnH,stdCSL+1,5)*allOnes,tpSurvCnH)</f>
        <v>0</v>
      </c>
      <c r="AM177" s="10"/>
    </row>
    <row r="178" spans="2:39">
      <c r="B178" s="10"/>
      <c r="C178" s="57" t="str">
        <f>"EL 5: " &amp; INDEX(_doName,3,6)</f>
        <v>EL 5: EL 5</v>
      </c>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3"/>
      <c r="AM178" s="10"/>
    </row>
    <row r="179" spans="2:39">
      <c r="B179" s="10"/>
      <c r="C179" s="16" t="s">
        <v>69</v>
      </c>
      <c r="D179" s="12" t="str">
        <f>_yearDol &amp; "$"</f>
        <v>2015$</v>
      </c>
      <c r="E179" s="13">
        <f t="array" aca="1" ref="E179:AL179" ca="1">INDEX(mspCnH,stdCSL+1,6)*tPIdxAll + INDEX(instCnH,stdCSL+1,6) + IF(bESav,SUMPRODUCT(dFactor,tpSurvCnH,INDEX(mrCnH,stdCSL+1,6)*allOnes),0)</f>
        <v>2154.9125241215802</v>
      </c>
      <c r="F179" s="13">
        <f ca="1"/>
        <v>2154.9125241215802</v>
      </c>
      <c r="G179" s="13">
        <f ca="1"/>
        <v>2154.9125241215802</v>
      </c>
      <c r="H179" s="13">
        <f ca="1"/>
        <v>2154.9125241215802</v>
      </c>
      <c r="I179" s="13">
        <f ca="1"/>
        <v>2154.9125241215802</v>
      </c>
      <c r="J179" s="13">
        <f ca="1"/>
        <v>2154.9125241215802</v>
      </c>
      <c r="K179" s="13">
        <f ca="1"/>
        <v>2154.9125241215802</v>
      </c>
      <c r="L179" s="13">
        <f ca="1"/>
        <v>2154.9125241215802</v>
      </c>
      <c r="M179" s="13">
        <f ca="1"/>
        <v>2154.9125241215802</v>
      </c>
      <c r="N179" s="13">
        <f ca="1"/>
        <v>2154.9125241215802</v>
      </c>
      <c r="O179" s="13">
        <f ca="1"/>
        <v>2154.9125241215802</v>
      </c>
      <c r="P179" s="13">
        <f ca="1"/>
        <v>2154.9125241215802</v>
      </c>
      <c r="Q179" s="13">
        <f ca="1"/>
        <v>2154.9125241215802</v>
      </c>
      <c r="R179" s="13">
        <f ca="1"/>
        <v>2154.9125241215802</v>
      </c>
      <c r="S179" s="13">
        <f ca="1"/>
        <v>2154.9125241215802</v>
      </c>
      <c r="T179" s="13">
        <f ca="1"/>
        <v>2154.9125241215802</v>
      </c>
      <c r="U179" s="13">
        <f ca="1"/>
        <v>2154.9125241215802</v>
      </c>
      <c r="V179" s="13">
        <f ca="1"/>
        <v>2154.9125241215802</v>
      </c>
      <c r="W179" s="13">
        <f ca="1"/>
        <v>2154.9125241215802</v>
      </c>
      <c r="X179" s="13">
        <f ca="1"/>
        <v>2154.9125241215802</v>
      </c>
      <c r="Y179" s="13">
        <f ca="1"/>
        <v>2154.9125241215802</v>
      </c>
      <c r="Z179" s="13">
        <f ca="1"/>
        <v>2154.9125241215802</v>
      </c>
      <c r="AA179" s="13">
        <f ca="1"/>
        <v>2154.9125241215802</v>
      </c>
      <c r="AB179" s="13">
        <f ca="1"/>
        <v>2154.9125241215802</v>
      </c>
      <c r="AC179" s="13">
        <f ca="1"/>
        <v>2154.9125241215802</v>
      </c>
      <c r="AD179" s="13">
        <f ca="1"/>
        <v>2154.9125241215802</v>
      </c>
      <c r="AE179" s="13">
        <f ca="1"/>
        <v>2154.9125241215802</v>
      </c>
      <c r="AF179" s="13">
        <f ca="1"/>
        <v>2154.9125241215802</v>
      </c>
      <c r="AG179" s="13">
        <f ca="1"/>
        <v>2154.9125241215802</v>
      </c>
      <c r="AH179" s="13">
        <f ca="1"/>
        <v>2154.9125241215802</v>
      </c>
      <c r="AI179" s="13">
        <f ca="1"/>
        <v>2154.9125241215802</v>
      </c>
      <c r="AJ179" s="13">
        <f ca="1"/>
        <v>2154.9125241215802</v>
      </c>
      <c r="AK179" s="13">
        <f ca="1"/>
        <v>2154.9125241215802</v>
      </c>
      <c r="AL179" s="56">
        <f ca="1"/>
        <v>2154.9125241215802</v>
      </c>
      <c r="AM179" s="10"/>
    </row>
    <row r="180" spans="2:39">
      <c r="B180" s="10"/>
      <c r="C180" s="16" t="str">
        <f>zEO&amp;" Costs"</f>
        <v>Operating Costs</v>
      </c>
      <c r="D180" s="12" t="str">
        <f>_yearDol &amp; "$"</f>
        <v>2015$</v>
      </c>
      <c r="E180" s="13">
        <f t="array" aca="1" ref="E180:AL180" ca="1">(tlccEFuElecpol5) + IF(bOSav,SUMPRODUCT(dFactor,tpSurvCnH,INDEX(mrCnH,stdCSL+1,6)*allOnes),0)</f>
        <v>19761.643178723505</v>
      </c>
      <c r="F180" s="13">
        <f ca="1"/>
        <v>19928.508583527637</v>
      </c>
      <c r="G180" s="13">
        <f ca="1"/>
        <v>20089.550344511135</v>
      </c>
      <c r="H180" s="13">
        <f ca="1"/>
        <v>20232.472065771446</v>
      </c>
      <c r="I180" s="13">
        <f ca="1"/>
        <v>20359.876777983493</v>
      </c>
      <c r="J180" s="13">
        <f ca="1"/>
        <v>20488.100834252306</v>
      </c>
      <c r="K180" s="13">
        <f ca="1"/>
        <v>20617.149628369032</v>
      </c>
      <c r="L180" s="13">
        <f ca="1"/>
        <v>20747.02859052243</v>
      </c>
      <c r="M180" s="13">
        <f ca="1"/>
        <v>20877.743187550663</v>
      </c>
      <c r="N180" s="13">
        <f ca="1"/>
        <v>21009.298923194914</v>
      </c>
      <c r="O180" s="13">
        <f ca="1"/>
        <v>21141.701338354738</v>
      </c>
      <c r="P180" s="13">
        <f ca="1"/>
        <v>21274.956011345406</v>
      </c>
      <c r="Q180" s="13">
        <f ca="1"/>
        <v>21409.068558156858</v>
      </c>
      <c r="R180" s="13">
        <f ca="1"/>
        <v>21544.044632714515</v>
      </c>
      <c r="S180" s="13">
        <f ca="1"/>
        <v>21679.889927142154</v>
      </c>
      <c r="T180" s="13">
        <f ca="1"/>
        <v>21816.610172026405</v>
      </c>
      <c r="U180" s="13">
        <f ca="1"/>
        <v>21954.211136683218</v>
      </c>
      <c r="V180" s="13">
        <f ca="1"/>
        <v>22092.698629426319</v>
      </c>
      <c r="W180" s="13">
        <f ca="1"/>
        <v>22232.078497837276</v>
      </c>
      <c r="X180" s="13">
        <f ca="1"/>
        <v>22372.356629037931</v>
      </c>
      <c r="Y180" s="13">
        <f ca="1"/>
        <v>22513.538949964313</v>
      </c>
      <c r="Z180" s="13">
        <f ca="1"/>
        <v>22655.63142764278</v>
      </c>
      <c r="AA180" s="13">
        <f ca="1"/>
        <v>22798.640069468027</v>
      </c>
      <c r="AB180" s="13">
        <f ca="1"/>
        <v>22942.570923483134</v>
      </c>
      <c r="AC180" s="13">
        <f ca="1"/>
        <v>23087.430078661419</v>
      </c>
      <c r="AD180" s="13">
        <f ca="1"/>
        <v>23233.223665190559</v>
      </c>
      <c r="AE180" s="13">
        <f ca="1"/>
        <v>23379.957854758537</v>
      </c>
      <c r="AF180" s="13">
        <f ca="1"/>
        <v>23527.638860841675</v>
      </c>
      <c r="AG180" s="13">
        <f ca="1"/>
        <v>23676.27293899472</v>
      </c>
      <c r="AH180" s="13">
        <f ca="1"/>
        <v>23825.866387143022</v>
      </c>
      <c r="AI180" s="13">
        <f ca="1"/>
        <v>23976.425545876704</v>
      </c>
      <c r="AJ180" s="13">
        <f ca="1"/>
        <v>24127.956798747011</v>
      </c>
      <c r="AK180" s="13">
        <f ca="1"/>
        <v>24280.466572564761</v>
      </c>
      <c r="AL180" s="56">
        <f ca="1"/>
        <v>24433.961337700799</v>
      </c>
      <c r="AM180" s="10"/>
    </row>
    <row r="181" spans="2:39">
      <c r="B181" s="10"/>
      <c r="C181" s="28" t="str">
        <f>INDEX(_fuel,1)</f>
        <v>Electricity</v>
      </c>
      <c r="D181" s="12" t="str">
        <f>_yearDol &amp; "$"</f>
        <v>2015$</v>
      </c>
      <c r="E181" s="13">
        <f ca="1">SUMPRODUCT(dFactor,tpSurvCnH,INDEX(elecCnH,stdCSL+1,6)*allOnes,OFFSET(tPrcElec,0,0,1,_maxLT))</f>
        <v>19761.643178723505</v>
      </c>
      <c r="F181" s="13">
        <f ca="1">SUMPRODUCT(dFactor,tpSurvCnH,INDEX(elecCnH,stdCSL+1,6)*allOnes,OFFSET(tPrcElec,0,1,1,_maxLT))</f>
        <v>19928.508583527637</v>
      </c>
      <c r="G181" s="13">
        <f ca="1">SUMPRODUCT(dFactor,tpSurvCnH,INDEX(elecCnH,stdCSL+1,6)*allOnes,OFFSET(tPrcElec,0,2,1,_maxLT))</f>
        <v>20089.550344511135</v>
      </c>
      <c r="H181" s="13">
        <f ca="1">SUMPRODUCT(dFactor,tpSurvCnH,INDEX(elecCnH,stdCSL+1,6)*allOnes,OFFSET(tPrcElec,0,3,1,_maxLT))</f>
        <v>20232.472065771446</v>
      </c>
      <c r="I181" s="13">
        <f ca="1">SUMPRODUCT(dFactor,tpSurvCnH,INDEX(elecCnH,stdCSL+1,6)*allOnes,OFFSET(tPrcElec,0,4,1,_maxLT))</f>
        <v>20359.876777983493</v>
      </c>
      <c r="J181" s="13">
        <f ca="1">SUMPRODUCT(dFactor,tpSurvCnH,INDEX(elecCnH,stdCSL+1,6)*allOnes,OFFSET(tPrcElec,0,5,1,_maxLT))</f>
        <v>20488.100834252306</v>
      </c>
      <c r="K181" s="13">
        <f ca="1">SUMPRODUCT(dFactor,tpSurvCnH,INDEX(elecCnH,stdCSL+1,6)*allOnes,OFFSET(tPrcElec,0,6,1,_maxLT))</f>
        <v>20617.149628369032</v>
      </c>
      <c r="L181" s="13">
        <f ca="1">SUMPRODUCT(dFactor,tpSurvCnH,INDEX(elecCnH,stdCSL+1,6)*allOnes,OFFSET(tPrcElec,0,7,1,_maxLT))</f>
        <v>20747.02859052243</v>
      </c>
      <c r="M181" s="13">
        <f ca="1">SUMPRODUCT(dFactor,tpSurvCnH,INDEX(elecCnH,stdCSL+1,6)*allOnes,OFFSET(tPrcElec,0,8,1,_maxLT))</f>
        <v>20877.743187550663</v>
      </c>
      <c r="N181" s="13">
        <f ca="1">SUMPRODUCT(dFactor,tpSurvCnH,INDEX(elecCnH,stdCSL+1,6)*allOnes,OFFSET(tPrcElec,0,9,1,_maxLT))</f>
        <v>21009.298923194914</v>
      </c>
      <c r="O181" s="13">
        <f ca="1">SUMPRODUCT(dFactor,tpSurvCnH,INDEX(elecCnH,stdCSL+1,6)*allOnes,OFFSET(tPrcElec,0,10,1,_maxLT))</f>
        <v>21141.701338354738</v>
      </c>
      <c r="P181" s="13">
        <f ca="1">SUMPRODUCT(dFactor,tpSurvCnH,INDEX(elecCnH,stdCSL+1,6)*allOnes,OFFSET(tPrcElec,0,11,1,_maxLT))</f>
        <v>21274.956011345406</v>
      </c>
      <c r="Q181" s="13">
        <f ca="1">SUMPRODUCT(dFactor,tpSurvCnH,INDEX(elecCnH,stdCSL+1,6)*allOnes,OFFSET(tPrcElec,0,12,1,_maxLT))</f>
        <v>21409.068558156858</v>
      </c>
      <c r="R181" s="13">
        <f ca="1">SUMPRODUCT(dFactor,tpSurvCnH,INDEX(elecCnH,stdCSL+1,6)*allOnes,OFFSET(tPrcElec,0,13,1,_maxLT))</f>
        <v>21544.044632714515</v>
      </c>
      <c r="S181" s="13">
        <f ca="1">SUMPRODUCT(dFactor,tpSurvCnH,INDEX(elecCnH,stdCSL+1,6)*allOnes,OFFSET(tPrcElec,0,14,1,_maxLT))</f>
        <v>21679.889927142154</v>
      </c>
      <c r="T181" s="13">
        <f ca="1">SUMPRODUCT(dFactor,tpSurvCnH,INDEX(elecCnH,stdCSL+1,6)*allOnes,OFFSET(tPrcElec,0,15,1,_maxLT))</f>
        <v>21816.610172026405</v>
      </c>
      <c r="U181" s="13">
        <f ca="1">SUMPRODUCT(dFactor,tpSurvCnH,INDEX(elecCnH,stdCSL+1,6)*allOnes,OFFSET(tPrcElec,0,16,1,_maxLT))</f>
        <v>21954.211136683218</v>
      </c>
      <c r="V181" s="13">
        <f ca="1">SUMPRODUCT(dFactor,tpSurvCnH,INDEX(elecCnH,stdCSL+1,6)*allOnes,OFFSET(tPrcElec,0,17,1,_maxLT))</f>
        <v>22092.698629426319</v>
      </c>
      <c r="W181" s="13">
        <f ca="1">SUMPRODUCT(dFactor,tpSurvCnH,INDEX(elecCnH,stdCSL+1,6)*allOnes,OFFSET(tPrcElec,0,18,1,_maxLT))</f>
        <v>22232.078497837276</v>
      </c>
      <c r="X181" s="13">
        <f ca="1">SUMPRODUCT(dFactor,tpSurvCnH,INDEX(elecCnH,stdCSL+1,6)*allOnes,OFFSET(tPrcElec,0,19,1,_maxLT))</f>
        <v>22372.356629037931</v>
      </c>
      <c r="Y181" s="13">
        <f ca="1">SUMPRODUCT(dFactor,tpSurvCnH,INDEX(elecCnH,stdCSL+1,6)*allOnes,OFFSET(tPrcElec,0,20,1,_maxLT))</f>
        <v>22513.538949964313</v>
      </c>
      <c r="Z181" s="13">
        <f ca="1">SUMPRODUCT(dFactor,tpSurvCnH,INDEX(elecCnH,stdCSL+1,6)*allOnes,OFFSET(tPrcElec,0,21,1,_maxLT))</f>
        <v>22655.63142764278</v>
      </c>
      <c r="AA181" s="13">
        <f ca="1">SUMPRODUCT(dFactor,tpSurvCnH,INDEX(elecCnH,stdCSL+1,6)*allOnes,OFFSET(tPrcElec,0,22,1,_maxLT))</f>
        <v>22798.640069468027</v>
      </c>
      <c r="AB181" s="13">
        <f ca="1">SUMPRODUCT(dFactor,tpSurvCnH,INDEX(elecCnH,stdCSL+1,6)*allOnes,OFFSET(tPrcElec,0,23,1,_maxLT))</f>
        <v>22942.570923483134</v>
      </c>
      <c r="AC181" s="13">
        <f ca="1">SUMPRODUCT(dFactor,tpSurvCnH,INDEX(elecCnH,stdCSL+1,6)*allOnes,OFFSET(tPrcElec,0,24,1,_maxLT))</f>
        <v>23087.430078661419</v>
      </c>
      <c r="AD181" s="13">
        <f ca="1">SUMPRODUCT(dFactor,tpSurvCnH,INDEX(elecCnH,stdCSL+1,6)*allOnes,OFFSET(tPrcElec,0,25,1,_maxLT))</f>
        <v>23233.223665190559</v>
      </c>
      <c r="AE181" s="13">
        <f ca="1">SUMPRODUCT(dFactor,tpSurvCnH,INDEX(elecCnH,stdCSL+1,6)*allOnes,OFFSET(tPrcElec,0,26,1,_maxLT))</f>
        <v>23379.957854758537</v>
      </c>
      <c r="AF181" s="13">
        <f ca="1">SUMPRODUCT(dFactor,tpSurvCnH,INDEX(elecCnH,stdCSL+1,6)*allOnes,OFFSET(tPrcElec,0,27,1,_maxLT))</f>
        <v>23527.638860841675</v>
      </c>
      <c r="AG181" s="13">
        <f ca="1">SUMPRODUCT(dFactor,tpSurvCnH,INDEX(elecCnH,stdCSL+1,6)*allOnes,OFFSET(tPrcElec,0,28,1,_maxLT))</f>
        <v>23676.27293899472</v>
      </c>
      <c r="AH181" s="13">
        <f ca="1">SUMPRODUCT(dFactor,tpSurvCnH,INDEX(elecCnH,stdCSL+1,6)*allOnes,OFFSET(tPrcElec,0,29,1,_maxLT))</f>
        <v>23825.866387143022</v>
      </c>
      <c r="AI181" s="13">
        <f ca="1">SUMPRODUCT(dFactor,tpSurvCnH,INDEX(elecCnH,stdCSL+1,6)*allOnes,OFFSET(tPrcElec,0,30,1,_maxLT))</f>
        <v>23976.425545876704</v>
      </c>
      <c r="AJ181" s="13">
        <f ca="1">SUMPRODUCT(dFactor,tpSurvCnH,INDEX(elecCnH,stdCSL+1,6)*allOnes,OFFSET(tPrcElec,0,31,1,_maxLT))</f>
        <v>24127.956798747011</v>
      </c>
      <c r="AK181" s="13">
        <f ca="1">SUMPRODUCT(dFactor,tpSurvCnH,INDEX(elecCnH,stdCSL+1,6)*allOnes,OFFSET(tPrcElec,0,32,1,_maxLT))</f>
        <v>24280.466572564761</v>
      </c>
      <c r="AL181" s="56">
        <f ca="1">SUMPRODUCT(dFactor,tpSurvCnH,INDEX(elecCnH,stdCSL+1,6)*allOnes,OFFSET(tPrcElec,0,33,1,_maxLT))</f>
        <v>24433.961337700799</v>
      </c>
      <c r="AM181" s="10"/>
    </row>
    <row r="182" spans="2:39">
      <c r="B182" s="10"/>
      <c r="C182" s="16" t="s">
        <v>79</v>
      </c>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5"/>
      <c r="AM182" s="10"/>
    </row>
    <row r="183" spans="2:39">
      <c r="B183" s="10"/>
      <c r="C183" s="28" t="str">
        <f>INDEX(_fuel,1)</f>
        <v>Electricity</v>
      </c>
      <c r="D183" s="12" t="s">
        <v>83</v>
      </c>
      <c r="E183" s="39">
        <f ca="1">SUMPRODUCT(OFFSET(tConvElecCnH,0,0,1,_maxLT),INDEX(elecCnH,stdCSL+1,6)*allOnes,tpSurvCnH)</f>
        <v>3403.4217900085187</v>
      </c>
      <c r="F183" s="39">
        <f ca="1">SUMPRODUCT(OFFSET(tConvElecCnH,0,1,1,_maxLT),INDEX(elecCnH,stdCSL+1,6)*allOnes,tpSurvCnH)</f>
        <v>3371.8529295184799</v>
      </c>
      <c r="G183" s="39">
        <f ca="1">SUMPRODUCT(OFFSET(tConvElecCnH,0,2,1,_maxLT),INDEX(elecCnH,stdCSL+1,6)*allOnes,tpSurvCnH)</f>
        <v>3343.8257053394113</v>
      </c>
      <c r="H183" s="39">
        <f ca="1">SUMPRODUCT(OFFSET(tConvElecCnH,0,3,1,_maxLT),INDEX(elecCnH,stdCSL+1,6)*allOnes,tpSurvCnH)</f>
        <v>3316.9781259329502</v>
      </c>
      <c r="I183" s="39">
        <f ca="1">SUMPRODUCT(OFFSET(tConvElecCnH,0,4,1,_maxLT),INDEX(elecCnH,stdCSL+1,6)*allOnes,tpSurvCnH)</f>
        <v>3293.3212260434839</v>
      </c>
      <c r="J183" s="39">
        <f ca="1">SUMPRODUCT(OFFSET(tConvElecCnH,0,5,1,_maxLT),INDEX(elecCnH,stdCSL+1,6)*allOnes,tpSurvCnH)</f>
        <v>3274.7820478923209</v>
      </c>
      <c r="K183" s="39">
        <f ca="1">SUMPRODUCT(OFFSET(tConvElecCnH,0,6,1,_maxLT),INDEX(elecCnH,stdCSL+1,6)*allOnes,tpSurvCnH)</f>
        <v>3259.2107113567317</v>
      </c>
      <c r="L183" s="39">
        <f ca="1">SUMPRODUCT(OFFSET(tConvElecCnH,0,7,1,_maxLT),INDEX(elecCnH,stdCSL+1,6)*allOnes,tpSurvCnH)</f>
        <v>3243.452885880783</v>
      </c>
      <c r="M183" s="39">
        <f ca="1">SUMPRODUCT(OFFSET(tConvElecCnH,0,8,1,_maxLT),INDEX(elecCnH,stdCSL+1,6)*allOnes,tpSurvCnH)</f>
        <v>3230.6920552493361</v>
      </c>
      <c r="N183" s="39">
        <f ca="1">SUMPRODUCT(OFFSET(tConvElecCnH,0,9,1,_maxLT),INDEX(elecCnH,stdCSL+1,6)*allOnes,tpSurvCnH)</f>
        <v>3221.7065005214267</v>
      </c>
      <c r="O183" s="39">
        <f ca="1">SUMPRODUCT(OFFSET(tConvElecCnH,0,10,1,_maxLT),INDEX(elecCnH,stdCSL+1,6)*allOnes,tpSurvCnH)</f>
        <v>3215.0169856119905</v>
      </c>
      <c r="P183" s="39">
        <f ca="1">SUMPRODUCT(OFFSET(tConvElecCnH,0,11,1,_maxLT),INDEX(elecCnH,stdCSL+1,6)*allOnes,tpSurvCnH)</f>
        <v>3209.3107093710046</v>
      </c>
      <c r="Q183" s="39">
        <f ca="1">SUMPRODUCT(OFFSET(tConvElecCnH,0,12,1,_maxLT),INDEX(elecCnH,stdCSL+1,6)*allOnes,tpSurvCnH)</f>
        <v>3205.0269685630287</v>
      </c>
      <c r="R183" s="39">
        <f ca="1">SUMPRODUCT(OFFSET(tConvElecCnH,0,13,1,_maxLT),INDEX(elecCnH,stdCSL+1,6)*allOnes,tpSurvCnH)</f>
        <v>3201.7015611288234</v>
      </c>
      <c r="S183" s="39">
        <f ca="1">SUMPRODUCT(OFFSET(tConvElecCnH,0,14,1,_maxLT),INDEX(elecCnH,stdCSL+1,6)*allOnes,tpSurvCnH)</f>
        <v>3201.029332614924</v>
      </c>
      <c r="T183" s="39">
        <f ca="1">SUMPRODUCT(OFFSET(tConvElecCnH,0,15,1,_maxLT),INDEX(elecCnH,stdCSL+1,6)*allOnes,tpSurvCnH)</f>
        <v>3201.5704199032007</v>
      </c>
      <c r="U183" s="39">
        <f ca="1">SUMPRODUCT(OFFSET(tConvElecCnH,0,16,1,_maxLT),INDEX(elecCnH,stdCSL+1,6)*allOnes,tpSurvCnH)</f>
        <v>3202.5177453879587</v>
      </c>
      <c r="V183" s="39">
        <f ca="1">SUMPRODUCT(OFFSET(tConvElecCnH,0,17,1,_maxLT),INDEX(elecCnH,stdCSL+1,6)*allOnes,tpSurvCnH)</f>
        <v>3203.9783294597087</v>
      </c>
      <c r="W183" s="39">
        <f ca="1">SUMPRODUCT(OFFSET(tConvElecCnH,0,18,1,_maxLT),INDEX(elecCnH,stdCSL+1,6)*allOnes,tpSurvCnH)</f>
        <v>3205.3818763288405</v>
      </c>
      <c r="X183" s="39">
        <f ca="1">SUMPRODUCT(OFFSET(tConvElecCnH,0,19,1,_maxLT),INDEX(elecCnH,stdCSL+1,6)*allOnes,tpSurvCnH)</f>
        <v>3206.5464070329299</v>
      </c>
      <c r="Y183" s="39">
        <f ca="1">SUMPRODUCT(OFFSET(tConvElecCnH,0,20,1,_maxLT),INDEX(elecCnH,stdCSL+1,6)*allOnes,tpSurvCnH)</f>
        <v>3207.3271450457191</v>
      </c>
      <c r="Z183" s="39">
        <f ca="1">SUMPRODUCT(OFFSET(tConvElecCnH,0,21,1,_maxLT),INDEX(elecCnH,stdCSL+1,6)*allOnes,tpSurvCnH)</f>
        <v>3207.8652427484644</v>
      </c>
      <c r="AA183" s="39">
        <f ca="1">SUMPRODUCT(OFFSET(tConvElecCnH,0,22,1,_maxLT),INDEX(elecCnH,stdCSL+1,6)*allOnes,tpSurvCnH)</f>
        <v>3207.8652427484644</v>
      </c>
      <c r="AB183" s="39">
        <f ca="1">SUMPRODUCT(OFFSET(tConvElecCnH,0,23,1,_maxLT),INDEX(elecCnH,stdCSL+1,6)*allOnes,tpSurvCnH)</f>
        <v>3207.8652427484644</v>
      </c>
      <c r="AC183" s="39">
        <f ca="1">SUMPRODUCT(OFFSET(tConvElecCnH,0,24,1,_maxLT),INDEX(elecCnH,stdCSL+1,6)*allOnes,tpSurvCnH)</f>
        <v>3207.8652427484644</v>
      </c>
      <c r="AD183" s="39">
        <f ca="1">SUMPRODUCT(OFFSET(tConvElecCnH,0,25,1,_maxLT),INDEX(elecCnH,stdCSL+1,6)*allOnes,tpSurvCnH)</f>
        <v>3207.8652427484644</v>
      </c>
      <c r="AE183" s="39">
        <f ca="1">SUMPRODUCT(OFFSET(tConvElecCnH,0,26,1,_maxLT),INDEX(elecCnH,stdCSL+1,6)*allOnes,tpSurvCnH)</f>
        <v>3207.8652427484644</v>
      </c>
      <c r="AF183" s="39">
        <f ca="1">SUMPRODUCT(OFFSET(tConvElecCnH,0,27,1,_maxLT),INDEX(elecCnH,stdCSL+1,6)*allOnes,tpSurvCnH)</f>
        <v>3207.8652427484644</v>
      </c>
      <c r="AG183" s="39">
        <f ca="1">SUMPRODUCT(OFFSET(tConvElecCnH,0,28,1,_maxLT),INDEX(elecCnH,stdCSL+1,6)*allOnes,tpSurvCnH)</f>
        <v>3207.8652427484644</v>
      </c>
      <c r="AH183" s="39">
        <f ca="1">SUMPRODUCT(OFFSET(tConvElecCnH,0,29,1,_maxLT),INDEX(elecCnH,stdCSL+1,6)*allOnes,tpSurvCnH)</f>
        <v>3207.8652427484644</v>
      </c>
      <c r="AI183" s="39">
        <f ca="1">SUMPRODUCT(OFFSET(tConvElecCnH,0,30,1,_maxLT),INDEX(elecCnH,stdCSL+1,6)*allOnes,tpSurvCnH)</f>
        <v>3207.8652427484644</v>
      </c>
      <c r="AJ183" s="39">
        <f ca="1">SUMPRODUCT(OFFSET(tConvElecCnH,0,31,1,_maxLT),INDEX(elecCnH,stdCSL+1,6)*allOnes,tpSurvCnH)</f>
        <v>3207.8652427484644</v>
      </c>
      <c r="AK183" s="39">
        <f ca="1">SUMPRODUCT(OFFSET(tConvElecCnH,0,32,1,_maxLT),INDEX(elecCnH,stdCSL+1,6)*allOnes,tpSurvCnH)</f>
        <v>3207.8652427484644</v>
      </c>
      <c r="AL183" s="40">
        <f ca="1">SUMPRODUCT(OFFSET(tConvElecCnH,0,33,1,_maxLT),INDEX(elecCnH,stdCSL+1,6)*allOnes,tpSurvCnH)</f>
        <v>3207.8652427484644</v>
      </c>
      <c r="AM183" s="284">
        <f ca="1">SUM(tlccFupolElec5)</f>
        <v>109920.89961392159</v>
      </c>
    </row>
    <row r="184" spans="2:39">
      <c r="B184" s="10"/>
      <c r="C184" s="57" t="str">
        <f>"EL 6: " &amp; INDEX(_doName,3,7)</f>
        <v>EL 6: EL 6</v>
      </c>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3"/>
      <c r="AM184" s="10"/>
    </row>
    <row r="185" spans="2:39">
      <c r="B185" s="10"/>
      <c r="C185" s="16" t="s">
        <v>69</v>
      </c>
      <c r="D185" s="12" t="str">
        <f>_yearDol &amp; "$"</f>
        <v>2015$</v>
      </c>
      <c r="E185" s="13">
        <f t="array" aca="1" ref="E185:AL185" ca="1">INDEX(mspCnH,stdCSL+1,7)*tPIdxAll + INDEX(instCnH,stdCSL+1,7) + IF(bESav,SUMPRODUCT(dFactor,tpSurvCnH,INDEX(mrCnH,stdCSL+1,7)*allOnes),0)</f>
        <v>3332.3279476880298</v>
      </c>
      <c r="F185" s="13">
        <f ca="1"/>
        <v>3332.3279476880298</v>
      </c>
      <c r="G185" s="13">
        <f ca="1"/>
        <v>3332.3279476880298</v>
      </c>
      <c r="H185" s="13">
        <f ca="1"/>
        <v>3332.3279476880298</v>
      </c>
      <c r="I185" s="13">
        <f ca="1"/>
        <v>3332.3279476880298</v>
      </c>
      <c r="J185" s="13">
        <f ca="1"/>
        <v>3332.3279476880298</v>
      </c>
      <c r="K185" s="13">
        <f ca="1"/>
        <v>3332.3279476880298</v>
      </c>
      <c r="L185" s="13">
        <f ca="1"/>
        <v>3332.3279476880298</v>
      </c>
      <c r="M185" s="13">
        <f ca="1"/>
        <v>3332.3279476880298</v>
      </c>
      <c r="N185" s="13">
        <f ca="1"/>
        <v>3332.3279476880298</v>
      </c>
      <c r="O185" s="13">
        <f ca="1"/>
        <v>3332.3279476880298</v>
      </c>
      <c r="P185" s="13">
        <f ca="1"/>
        <v>3332.3279476880298</v>
      </c>
      <c r="Q185" s="13">
        <f ca="1"/>
        <v>3332.3279476880298</v>
      </c>
      <c r="R185" s="13">
        <f ca="1"/>
        <v>3332.3279476880298</v>
      </c>
      <c r="S185" s="13">
        <f ca="1"/>
        <v>3332.3279476880298</v>
      </c>
      <c r="T185" s="13">
        <f ca="1"/>
        <v>3332.3279476880298</v>
      </c>
      <c r="U185" s="13">
        <f ca="1"/>
        <v>3332.3279476880298</v>
      </c>
      <c r="V185" s="13">
        <f ca="1"/>
        <v>3332.3279476880298</v>
      </c>
      <c r="W185" s="13">
        <f ca="1"/>
        <v>3332.3279476880298</v>
      </c>
      <c r="X185" s="13">
        <f ca="1"/>
        <v>3332.3279476880298</v>
      </c>
      <c r="Y185" s="13">
        <f ca="1"/>
        <v>3332.3279476880298</v>
      </c>
      <c r="Z185" s="13">
        <f ca="1"/>
        <v>3332.3279476880298</v>
      </c>
      <c r="AA185" s="13">
        <f ca="1"/>
        <v>3332.3279476880298</v>
      </c>
      <c r="AB185" s="13">
        <f ca="1"/>
        <v>3332.3279476880298</v>
      </c>
      <c r="AC185" s="13">
        <f ca="1"/>
        <v>3332.3279476880298</v>
      </c>
      <c r="AD185" s="13">
        <f ca="1"/>
        <v>3332.3279476880298</v>
      </c>
      <c r="AE185" s="13">
        <f ca="1"/>
        <v>3332.3279476880298</v>
      </c>
      <c r="AF185" s="13">
        <f ca="1"/>
        <v>3332.3279476880298</v>
      </c>
      <c r="AG185" s="13">
        <f ca="1"/>
        <v>3332.3279476880298</v>
      </c>
      <c r="AH185" s="13">
        <f ca="1"/>
        <v>3332.3279476880298</v>
      </c>
      <c r="AI185" s="13">
        <f ca="1"/>
        <v>3332.3279476880298</v>
      </c>
      <c r="AJ185" s="13">
        <f ca="1"/>
        <v>3332.3279476880298</v>
      </c>
      <c r="AK185" s="13">
        <f ca="1"/>
        <v>3332.3279476880298</v>
      </c>
      <c r="AL185" s="56">
        <f ca="1"/>
        <v>3332.3279476880298</v>
      </c>
      <c r="AM185" s="10"/>
    </row>
    <row r="186" spans="2:39">
      <c r="B186" s="10"/>
      <c r="C186" s="16" t="str">
        <f>zEO&amp;" Costs"</f>
        <v>Operating Costs</v>
      </c>
      <c r="D186" s="12" t="str">
        <f>_yearDol &amp; "$"</f>
        <v>2015$</v>
      </c>
      <c r="E186" s="13">
        <f t="array" aca="1" ref="E186:AL186" ca="1">(tlccEFuElecpol6) + IF(bOSav,SUMPRODUCT(dFactor,tpSurvCnH,INDEX(mrCnH,stdCSL+1,7)*allOnes),0)</f>
        <v>35193.762839901494</v>
      </c>
      <c r="F186" s="13">
        <f ca="1"/>
        <v>35490.935571427384</v>
      </c>
      <c r="G186" s="13">
        <f ca="1"/>
        <v>35777.736901261931</v>
      </c>
      <c r="H186" s="13">
        <f ca="1"/>
        <v>36032.268020825933</v>
      </c>
      <c r="I186" s="13">
        <f ca="1"/>
        <v>36259.164700708548</v>
      </c>
      <c r="J186" s="13">
        <f ca="1"/>
        <v>36487.520560890945</v>
      </c>
      <c r="K186" s="13">
        <f ca="1"/>
        <v>36717.345207244725</v>
      </c>
      <c r="L186" s="13">
        <f ca="1"/>
        <v>36948.648310462369</v>
      </c>
      <c r="M186" s="13">
        <f ca="1"/>
        <v>37181.439606505905</v>
      </c>
      <c r="N186" s="13">
        <f ca="1"/>
        <v>37415.728897058267</v>
      </c>
      <c r="O186" s="13">
        <f ca="1"/>
        <v>37651.526049978369</v>
      </c>
      <c r="P186" s="13">
        <f ca="1"/>
        <v>37888.840999759057</v>
      </c>
      <c r="Q186" s="13">
        <f ca="1"/>
        <v>38127.683747988507</v>
      </c>
      <c r="R186" s="13">
        <f ca="1"/>
        <v>38368.064363814956</v>
      </c>
      <c r="S186" s="13">
        <f ca="1"/>
        <v>38609.992984414195</v>
      </c>
      <c r="T186" s="13">
        <f ca="1"/>
        <v>38853.479815461222</v>
      </c>
      <c r="U186" s="13">
        <f ca="1"/>
        <v>39098.535131604527</v>
      </c>
      <c r="V186" s="13">
        <f ca="1"/>
        <v>39345.169276944274</v>
      </c>
      <c r="W186" s="13">
        <f ca="1"/>
        <v>39593.392665513173</v>
      </c>
      <c r="X186" s="13">
        <f ca="1"/>
        <v>39843.215781761704</v>
      </c>
      <c r="Y186" s="13">
        <f ca="1"/>
        <v>40094.649181046007</v>
      </c>
      <c r="Z186" s="13">
        <f ca="1"/>
        <v>40347.703490119544</v>
      </c>
      <c r="AA186" s="13">
        <f ca="1"/>
        <v>40602.389407628332</v>
      </c>
      <c r="AB186" s="13">
        <f ca="1"/>
        <v>40858.717704609509</v>
      </c>
      <c r="AC186" s="13">
        <f ca="1"/>
        <v>41116.699224993499</v>
      </c>
      <c r="AD186" s="13">
        <f ca="1"/>
        <v>41376.344886109837</v>
      </c>
      <c r="AE186" s="13">
        <f ca="1"/>
        <v>41637.665679196565</v>
      </c>
      <c r="AF186" s="13">
        <f ca="1"/>
        <v>41900.672669913016</v>
      </c>
      <c r="AG186" s="13">
        <f ca="1"/>
        <v>42165.376998856584</v>
      </c>
      <c r="AH186" s="13">
        <f ca="1"/>
        <v>42431.789882082958</v>
      </c>
      <c r="AI186" s="13">
        <f ca="1"/>
        <v>42699.922611630078</v>
      </c>
      <c r="AJ186" s="13">
        <f ca="1"/>
        <v>42969.78655604602</v>
      </c>
      <c r="AK186" s="13">
        <f ca="1"/>
        <v>43241.393160920241</v>
      </c>
      <c r="AL186" s="56">
        <f ca="1"/>
        <v>43514.753949418882</v>
      </c>
      <c r="AM186" s="10"/>
    </row>
    <row r="187" spans="2:39">
      <c r="B187" s="10"/>
      <c r="C187" s="28" t="str">
        <f>INDEX(_fuel,1)</f>
        <v>Electricity</v>
      </c>
      <c r="D187" s="12" t="str">
        <f>_yearDol &amp; "$"</f>
        <v>2015$</v>
      </c>
      <c r="E187" s="13">
        <f ca="1">SUMPRODUCT(dFactor,tpSurvCnH,INDEX(elecCnH,stdCSL+1,7)*allOnes,OFFSET(tPrcElec,0,0,1,_maxLT))</f>
        <v>35193.762839901494</v>
      </c>
      <c r="F187" s="13">
        <f ca="1">SUMPRODUCT(dFactor,tpSurvCnH,INDEX(elecCnH,stdCSL+1,7)*allOnes,OFFSET(tPrcElec,0,1,1,_maxLT))</f>
        <v>35490.935571427384</v>
      </c>
      <c r="G187" s="13">
        <f ca="1">SUMPRODUCT(dFactor,tpSurvCnH,INDEX(elecCnH,stdCSL+1,7)*allOnes,OFFSET(tPrcElec,0,2,1,_maxLT))</f>
        <v>35777.736901261931</v>
      </c>
      <c r="H187" s="13">
        <f ca="1">SUMPRODUCT(dFactor,tpSurvCnH,INDEX(elecCnH,stdCSL+1,7)*allOnes,OFFSET(tPrcElec,0,3,1,_maxLT))</f>
        <v>36032.268020825933</v>
      </c>
      <c r="I187" s="13">
        <f ca="1">SUMPRODUCT(dFactor,tpSurvCnH,INDEX(elecCnH,stdCSL+1,7)*allOnes,OFFSET(tPrcElec,0,4,1,_maxLT))</f>
        <v>36259.164700708548</v>
      </c>
      <c r="J187" s="13">
        <f ca="1">SUMPRODUCT(dFactor,tpSurvCnH,INDEX(elecCnH,stdCSL+1,7)*allOnes,OFFSET(tPrcElec,0,5,1,_maxLT))</f>
        <v>36487.520560890945</v>
      </c>
      <c r="K187" s="13">
        <f ca="1">SUMPRODUCT(dFactor,tpSurvCnH,INDEX(elecCnH,stdCSL+1,7)*allOnes,OFFSET(tPrcElec,0,6,1,_maxLT))</f>
        <v>36717.345207244725</v>
      </c>
      <c r="L187" s="13">
        <f ca="1">SUMPRODUCT(dFactor,tpSurvCnH,INDEX(elecCnH,stdCSL+1,7)*allOnes,OFFSET(tPrcElec,0,7,1,_maxLT))</f>
        <v>36948.648310462369</v>
      </c>
      <c r="M187" s="13">
        <f ca="1">SUMPRODUCT(dFactor,tpSurvCnH,INDEX(elecCnH,stdCSL+1,7)*allOnes,OFFSET(tPrcElec,0,8,1,_maxLT))</f>
        <v>37181.439606505905</v>
      </c>
      <c r="N187" s="13">
        <f ca="1">SUMPRODUCT(dFactor,tpSurvCnH,INDEX(elecCnH,stdCSL+1,7)*allOnes,OFFSET(tPrcElec,0,9,1,_maxLT))</f>
        <v>37415.728897058267</v>
      </c>
      <c r="O187" s="13">
        <f ca="1">SUMPRODUCT(dFactor,tpSurvCnH,INDEX(elecCnH,stdCSL+1,7)*allOnes,OFFSET(tPrcElec,0,10,1,_maxLT))</f>
        <v>37651.526049978369</v>
      </c>
      <c r="P187" s="13">
        <f ca="1">SUMPRODUCT(dFactor,tpSurvCnH,INDEX(elecCnH,stdCSL+1,7)*allOnes,OFFSET(tPrcElec,0,11,1,_maxLT))</f>
        <v>37888.840999759057</v>
      </c>
      <c r="Q187" s="13">
        <f ca="1">SUMPRODUCT(dFactor,tpSurvCnH,INDEX(elecCnH,stdCSL+1,7)*allOnes,OFFSET(tPrcElec,0,12,1,_maxLT))</f>
        <v>38127.683747988507</v>
      </c>
      <c r="R187" s="13">
        <f ca="1">SUMPRODUCT(dFactor,tpSurvCnH,INDEX(elecCnH,stdCSL+1,7)*allOnes,OFFSET(tPrcElec,0,13,1,_maxLT))</f>
        <v>38368.064363814956</v>
      </c>
      <c r="S187" s="13">
        <f ca="1">SUMPRODUCT(dFactor,tpSurvCnH,INDEX(elecCnH,stdCSL+1,7)*allOnes,OFFSET(tPrcElec,0,14,1,_maxLT))</f>
        <v>38609.992984414195</v>
      </c>
      <c r="T187" s="13">
        <f ca="1">SUMPRODUCT(dFactor,tpSurvCnH,INDEX(elecCnH,stdCSL+1,7)*allOnes,OFFSET(tPrcElec,0,15,1,_maxLT))</f>
        <v>38853.479815461222</v>
      </c>
      <c r="U187" s="13">
        <f ca="1">SUMPRODUCT(dFactor,tpSurvCnH,INDEX(elecCnH,stdCSL+1,7)*allOnes,OFFSET(tPrcElec,0,16,1,_maxLT))</f>
        <v>39098.535131604527</v>
      </c>
      <c r="V187" s="13">
        <f ca="1">SUMPRODUCT(dFactor,tpSurvCnH,INDEX(elecCnH,stdCSL+1,7)*allOnes,OFFSET(tPrcElec,0,17,1,_maxLT))</f>
        <v>39345.169276944274</v>
      </c>
      <c r="W187" s="13">
        <f ca="1">SUMPRODUCT(dFactor,tpSurvCnH,INDEX(elecCnH,stdCSL+1,7)*allOnes,OFFSET(tPrcElec,0,18,1,_maxLT))</f>
        <v>39593.392665513173</v>
      </c>
      <c r="X187" s="13">
        <f ca="1">SUMPRODUCT(dFactor,tpSurvCnH,INDEX(elecCnH,stdCSL+1,7)*allOnes,OFFSET(tPrcElec,0,19,1,_maxLT))</f>
        <v>39843.215781761704</v>
      </c>
      <c r="Y187" s="13">
        <f ca="1">SUMPRODUCT(dFactor,tpSurvCnH,INDEX(elecCnH,stdCSL+1,7)*allOnes,OFFSET(tPrcElec,0,20,1,_maxLT))</f>
        <v>40094.649181046007</v>
      </c>
      <c r="Z187" s="13">
        <f ca="1">SUMPRODUCT(dFactor,tpSurvCnH,INDEX(elecCnH,stdCSL+1,7)*allOnes,OFFSET(tPrcElec,0,21,1,_maxLT))</f>
        <v>40347.703490119544</v>
      </c>
      <c r="AA187" s="13">
        <f ca="1">SUMPRODUCT(dFactor,tpSurvCnH,INDEX(elecCnH,stdCSL+1,7)*allOnes,OFFSET(tPrcElec,0,22,1,_maxLT))</f>
        <v>40602.389407628332</v>
      </c>
      <c r="AB187" s="13">
        <f ca="1">SUMPRODUCT(dFactor,tpSurvCnH,INDEX(elecCnH,stdCSL+1,7)*allOnes,OFFSET(tPrcElec,0,23,1,_maxLT))</f>
        <v>40858.717704609509</v>
      </c>
      <c r="AC187" s="13">
        <f ca="1">SUMPRODUCT(dFactor,tpSurvCnH,INDEX(elecCnH,stdCSL+1,7)*allOnes,OFFSET(tPrcElec,0,24,1,_maxLT))</f>
        <v>41116.699224993499</v>
      </c>
      <c r="AD187" s="13">
        <f ca="1">SUMPRODUCT(dFactor,tpSurvCnH,INDEX(elecCnH,stdCSL+1,7)*allOnes,OFFSET(tPrcElec,0,25,1,_maxLT))</f>
        <v>41376.344886109837</v>
      </c>
      <c r="AE187" s="13">
        <f ca="1">SUMPRODUCT(dFactor,tpSurvCnH,INDEX(elecCnH,stdCSL+1,7)*allOnes,OFFSET(tPrcElec,0,26,1,_maxLT))</f>
        <v>41637.665679196565</v>
      </c>
      <c r="AF187" s="13">
        <f ca="1">SUMPRODUCT(dFactor,tpSurvCnH,INDEX(elecCnH,stdCSL+1,7)*allOnes,OFFSET(tPrcElec,0,27,1,_maxLT))</f>
        <v>41900.672669913016</v>
      </c>
      <c r="AG187" s="13">
        <f ca="1">SUMPRODUCT(dFactor,tpSurvCnH,INDEX(elecCnH,stdCSL+1,7)*allOnes,OFFSET(tPrcElec,0,28,1,_maxLT))</f>
        <v>42165.376998856584</v>
      </c>
      <c r="AH187" s="13">
        <f ca="1">SUMPRODUCT(dFactor,tpSurvCnH,INDEX(elecCnH,stdCSL+1,7)*allOnes,OFFSET(tPrcElec,0,29,1,_maxLT))</f>
        <v>42431.789882082958</v>
      </c>
      <c r="AI187" s="13">
        <f ca="1">SUMPRODUCT(dFactor,tpSurvCnH,INDEX(elecCnH,stdCSL+1,7)*allOnes,OFFSET(tPrcElec,0,30,1,_maxLT))</f>
        <v>42699.922611630078</v>
      </c>
      <c r="AJ187" s="13">
        <f ca="1">SUMPRODUCT(dFactor,tpSurvCnH,INDEX(elecCnH,stdCSL+1,7)*allOnes,OFFSET(tPrcElec,0,31,1,_maxLT))</f>
        <v>42969.78655604602</v>
      </c>
      <c r="AK187" s="13">
        <f ca="1">SUMPRODUCT(dFactor,tpSurvCnH,INDEX(elecCnH,stdCSL+1,7)*allOnes,OFFSET(tPrcElec,0,32,1,_maxLT))</f>
        <v>43241.393160920241</v>
      </c>
      <c r="AL187" s="56">
        <f ca="1">SUMPRODUCT(dFactor,tpSurvCnH,INDEX(elecCnH,stdCSL+1,7)*allOnes,OFFSET(tPrcElec,0,33,1,_maxLT))</f>
        <v>43514.753949418882</v>
      </c>
      <c r="AM187" s="10"/>
    </row>
    <row r="188" spans="2:39">
      <c r="B188" s="10"/>
      <c r="C188" s="16" t="s">
        <v>79</v>
      </c>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5"/>
      <c r="AM188" s="10"/>
    </row>
    <row r="189" spans="2:39">
      <c r="B189" s="10"/>
      <c r="C189" s="45" t="str">
        <f>INDEX(_fuel,1)</f>
        <v>Electricity</v>
      </c>
      <c r="D189" s="18" t="s">
        <v>83</v>
      </c>
      <c r="E189" s="49">
        <f ca="1">SUMPRODUCT(OFFSET(tConvElecCnH,0,0,1,_maxLT),INDEX(elecCnH,stdCSL+1,7)*allOnes,tpSurvCnH)</f>
        <v>6061.1973527927021</v>
      </c>
      <c r="F189" s="49">
        <f ca="1">SUMPRODUCT(OFFSET(tConvElecCnH,0,1,1,_maxLT),INDEX(elecCnH,stdCSL+1,7)*allOnes,tpSurvCnH)</f>
        <v>6004.9759657772483</v>
      </c>
      <c r="G189" s="49">
        <f ca="1">SUMPRODUCT(OFFSET(tConvElecCnH,0,2,1,_maxLT),INDEX(elecCnH,stdCSL+1,7)*allOnes,tpSurvCnH)</f>
        <v>5955.0619241209906</v>
      </c>
      <c r="H189" s="49">
        <f ca="1">SUMPRODUCT(OFFSET(tConvElecCnH,0,3,1,_maxLT),INDEX(elecCnH,stdCSL+1,7)*allOnes,tpSurvCnH)</f>
        <v>5907.2487269130906</v>
      </c>
      <c r="I189" s="49">
        <f ca="1">SUMPRODUCT(OFFSET(tConvElecCnH,0,4,1,_maxLT),INDEX(elecCnH,stdCSL+1,7)*allOnes,tpSurvCnH)</f>
        <v>5865.1178516256768</v>
      </c>
      <c r="J189" s="49">
        <f ca="1">SUMPRODUCT(OFFSET(tConvElecCnH,0,5,1,_maxLT),INDEX(elecCnH,stdCSL+1,7)*allOnes,tpSurvCnH)</f>
        <v>5832.101192373314</v>
      </c>
      <c r="K189" s="49">
        <f ca="1">SUMPRODUCT(OFFSET(tConvElecCnH,0,6,1,_maxLT),INDEX(elecCnH,stdCSL+1,7)*allOnes,tpSurvCnH)</f>
        <v>5804.3700001755014</v>
      </c>
      <c r="L189" s="49">
        <f ca="1">SUMPRODUCT(OFFSET(tConvElecCnH,0,7,1,_maxLT),INDEX(elecCnH,stdCSL+1,7)*allOnes,tpSurvCnH)</f>
        <v>5776.3066874409515</v>
      </c>
      <c r="M189" s="49">
        <f ca="1">SUMPRODUCT(OFFSET(tConvElecCnH,0,8,1,_maxLT),INDEX(elecCnH,stdCSL+1,7)*allOnes,tpSurvCnH)</f>
        <v>5753.5807611188511</v>
      </c>
      <c r="N189" s="49">
        <f ca="1">SUMPRODUCT(OFFSET(tConvElecCnH,0,9,1,_maxLT),INDEX(elecCnH,stdCSL+1,7)*allOnes,tpSurvCnH)</f>
        <v>5737.5782718916653</v>
      </c>
      <c r="O189" s="49">
        <f ca="1">SUMPRODUCT(OFFSET(tConvElecCnH,0,10,1,_maxLT),INDEX(elecCnH,stdCSL+1,7)*allOnes,tpSurvCnH)</f>
        <v>5725.6648293146754</v>
      </c>
      <c r="P189" s="49">
        <f ca="1">SUMPRODUCT(OFFSET(tConvElecCnH,0,11,1,_maxLT),INDEX(elecCnH,stdCSL+1,7)*allOnes,tpSurvCnH)</f>
        <v>5715.502449045588</v>
      </c>
      <c r="Q189" s="49">
        <f ca="1">SUMPRODUCT(OFFSET(tConvElecCnH,0,12,1,_maxLT),INDEX(elecCnH,stdCSL+1,7)*allOnes,tpSurvCnH)</f>
        <v>5707.8734803054876</v>
      </c>
      <c r="R189" s="49">
        <f ca="1">SUMPRODUCT(OFFSET(tConvElecCnH,0,13,1,_maxLT),INDEX(elecCnH,stdCSL+1,7)*allOnes,tpSurvCnH)</f>
        <v>5701.9512197157674</v>
      </c>
      <c r="S189" s="49">
        <f ca="1">SUMPRODUCT(OFFSET(tConvElecCnH,0,14,1,_maxLT),INDEX(elecCnH,stdCSL+1,7)*allOnes,tpSurvCnH)</f>
        <v>5700.7540393660138</v>
      </c>
      <c r="T189" s="49">
        <f ca="1">SUMPRODUCT(OFFSET(tConvElecCnH,0,15,1,_maxLT),INDEX(elecCnH,stdCSL+1,7)*allOnes,tpSurvCnH)</f>
        <v>5701.7176686314087</v>
      </c>
      <c r="U189" s="49">
        <f ca="1">SUMPRODUCT(OFFSET(tConvElecCnH,0,16,1,_maxLT),INDEX(elecCnH,stdCSL+1,7)*allOnes,tpSurvCnH)</f>
        <v>5703.4047726915942</v>
      </c>
      <c r="V189" s="49">
        <f ca="1">SUMPRODUCT(OFFSET(tConvElecCnH,0,17,1,_maxLT),INDEX(elecCnH,stdCSL+1,7)*allOnes,tpSurvCnH)</f>
        <v>5706.0059455274768</v>
      </c>
      <c r="W189" s="49">
        <f ca="1">SUMPRODUCT(OFFSET(tConvElecCnH,0,18,1,_maxLT),INDEX(elecCnH,stdCSL+1,7)*allOnes,tpSurvCnH)</f>
        <v>5708.5055400804295</v>
      </c>
      <c r="X189" s="49">
        <f ca="1">SUMPRODUCT(OFFSET(tConvElecCnH,0,19,1,_maxLT),INDEX(elecCnH,stdCSL+1,7)*allOnes,tpSurvCnH)</f>
        <v>5710.5794676910455</v>
      </c>
      <c r="Y189" s="49">
        <f ca="1">SUMPRODUCT(OFFSET(tConvElecCnH,0,20,1,_maxLT),INDEX(elecCnH,stdCSL+1,7)*allOnes,tpSurvCnH)</f>
        <v>5711.9698939938426</v>
      </c>
      <c r="Z189" s="49">
        <f ca="1">SUMPRODUCT(OFFSET(tConvElecCnH,0,21,1,_maxLT),INDEX(elecCnH,stdCSL+1,7)*allOnes,tpSurvCnH)</f>
        <v>5712.9281990681657</v>
      </c>
      <c r="AA189" s="49">
        <f ca="1">SUMPRODUCT(OFFSET(tConvElecCnH,0,22,1,_maxLT),INDEX(elecCnH,stdCSL+1,7)*allOnes,tpSurvCnH)</f>
        <v>5712.9281990681657</v>
      </c>
      <c r="AB189" s="49">
        <f ca="1">SUMPRODUCT(OFFSET(tConvElecCnH,0,23,1,_maxLT),INDEX(elecCnH,stdCSL+1,7)*allOnes,tpSurvCnH)</f>
        <v>5712.9281990681657</v>
      </c>
      <c r="AC189" s="49">
        <f ca="1">SUMPRODUCT(OFFSET(tConvElecCnH,0,24,1,_maxLT),INDEX(elecCnH,stdCSL+1,7)*allOnes,tpSurvCnH)</f>
        <v>5712.9281990681657</v>
      </c>
      <c r="AD189" s="49">
        <f ca="1">SUMPRODUCT(OFFSET(tConvElecCnH,0,25,1,_maxLT),INDEX(elecCnH,stdCSL+1,7)*allOnes,tpSurvCnH)</f>
        <v>5712.9281990681657</v>
      </c>
      <c r="AE189" s="49">
        <f ca="1">SUMPRODUCT(OFFSET(tConvElecCnH,0,26,1,_maxLT),INDEX(elecCnH,stdCSL+1,7)*allOnes,tpSurvCnH)</f>
        <v>5712.9281990681657</v>
      </c>
      <c r="AF189" s="49">
        <f ca="1">SUMPRODUCT(OFFSET(tConvElecCnH,0,27,1,_maxLT),INDEX(elecCnH,stdCSL+1,7)*allOnes,tpSurvCnH)</f>
        <v>5712.9281990681657</v>
      </c>
      <c r="AG189" s="49">
        <f ca="1">SUMPRODUCT(OFFSET(tConvElecCnH,0,28,1,_maxLT),INDEX(elecCnH,stdCSL+1,7)*allOnes,tpSurvCnH)</f>
        <v>5712.9281990681657</v>
      </c>
      <c r="AH189" s="49">
        <f ca="1">SUMPRODUCT(OFFSET(tConvElecCnH,0,29,1,_maxLT),INDEX(elecCnH,stdCSL+1,7)*allOnes,tpSurvCnH)</f>
        <v>5712.9281990681657</v>
      </c>
      <c r="AI189" s="49">
        <f ca="1">SUMPRODUCT(OFFSET(tConvElecCnH,0,30,1,_maxLT),INDEX(elecCnH,stdCSL+1,7)*allOnes,tpSurvCnH)</f>
        <v>5712.9281990681657</v>
      </c>
      <c r="AJ189" s="49">
        <f ca="1">SUMPRODUCT(OFFSET(tConvElecCnH,0,31,1,_maxLT),INDEX(elecCnH,stdCSL+1,7)*allOnes,tpSurvCnH)</f>
        <v>5712.9281990681657</v>
      </c>
      <c r="AK189" s="49">
        <f ca="1">SUMPRODUCT(OFFSET(tConvElecCnH,0,32,1,_maxLT),INDEX(elecCnH,stdCSL+1,7)*allOnes,tpSurvCnH)</f>
        <v>5712.9281990681657</v>
      </c>
      <c r="AL189" s="50">
        <f ca="1">SUMPRODUCT(OFFSET(tConvElecCnH,0,33,1,_maxLT),INDEX(elecCnH,stdCSL+1,7)*allOnes,tpSurvCnH)</f>
        <v>5712.9281990681657</v>
      </c>
      <c r="AM189" s="10"/>
    </row>
    <row r="190" spans="2:39">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row>
  </sheetData>
  <conditionalFormatting sqref="E106:AL106">
    <cfRule type="containsBlanks" dxfId="2708" priority="1" stopIfTrue="1">
      <formula>LEN(TRIM(E106))=0</formula>
    </cfRule>
    <cfRule type="notContainsBlanks" dxfId="2707" priority="2" stopIfTrue="1">
      <formula>LEN(TRIM(E106))&gt;0</formula>
    </cfRule>
  </conditionalFormatting>
  <conditionalFormatting sqref="E107:AL107">
    <cfRule type="containsBlanks" dxfId="2706" priority="3" stopIfTrue="1">
      <formula>LEN(TRIM(E107))=0</formula>
    </cfRule>
    <cfRule type="notContainsBlanks" dxfId="2705" priority="4" stopIfTrue="1">
      <formula>LEN(TRIM(E107))&gt;0</formula>
    </cfRule>
  </conditionalFormatting>
  <conditionalFormatting sqref="E108:AL108">
    <cfRule type="containsBlanks" dxfId="2704" priority="5" stopIfTrue="1">
      <formula>LEN(TRIM(E108))=0</formula>
    </cfRule>
    <cfRule type="notContainsBlanks" dxfId="2703" priority="6" stopIfTrue="1">
      <formula>LEN(TRIM(E108))&gt;0</formula>
    </cfRule>
  </conditionalFormatting>
  <conditionalFormatting sqref="E110:AL110">
    <cfRule type="containsBlanks" dxfId="2702" priority="7" stopIfTrue="1">
      <formula>LEN(TRIM(E110))=0</formula>
    </cfRule>
    <cfRule type="notContainsBlanks" dxfId="2701" priority="8" stopIfTrue="1">
      <formula>LEN(TRIM(E110))&gt;0</formula>
    </cfRule>
  </conditionalFormatting>
  <conditionalFormatting sqref="E112:AL112">
    <cfRule type="containsBlanks" dxfId="2700" priority="9" stopIfTrue="1">
      <formula>LEN(TRIM(E112))=0</formula>
    </cfRule>
    <cfRule type="notContainsBlanks" dxfId="2699" priority="10" stopIfTrue="1">
      <formula>LEN(TRIM(E112))&gt;0</formula>
    </cfRule>
  </conditionalFormatting>
  <conditionalFormatting sqref="E113:AL113">
    <cfRule type="containsBlanks" dxfId="2698" priority="11" stopIfTrue="1">
      <formula>LEN(TRIM(E113))=0</formula>
    </cfRule>
    <cfRule type="notContainsBlanks" dxfId="2697" priority="12" stopIfTrue="1">
      <formula>LEN(TRIM(E113))&gt;0</formula>
    </cfRule>
  </conditionalFormatting>
  <conditionalFormatting sqref="E114:AL114">
    <cfRule type="containsBlanks" dxfId="2696" priority="13" stopIfTrue="1">
      <formula>LEN(TRIM(E114))=0</formula>
    </cfRule>
    <cfRule type="notContainsBlanks" dxfId="2695" priority="14" stopIfTrue="1">
      <formula>LEN(TRIM(E114))&gt;0</formula>
    </cfRule>
  </conditionalFormatting>
  <conditionalFormatting sqref="E116:AL116">
    <cfRule type="containsBlanks" dxfId="2694" priority="15" stopIfTrue="1">
      <formula>LEN(TRIM(E116))=0</formula>
    </cfRule>
    <cfRule type="notContainsBlanks" dxfId="2693" priority="16" stopIfTrue="1">
      <formula>LEN(TRIM(E116))&gt;0</formula>
    </cfRule>
  </conditionalFormatting>
  <conditionalFormatting sqref="E118:AL118">
    <cfRule type="containsBlanks" dxfId="2692" priority="17" stopIfTrue="1">
      <formula>LEN(TRIM(E118))=0</formula>
    </cfRule>
    <cfRule type="notContainsBlanks" dxfId="2691" priority="18" stopIfTrue="1">
      <formula>LEN(TRIM(E118))&gt;0</formula>
    </cfRule>
  </conditionalFormatting>
  <conditionalFormatting sqref="E119:AL119">
    <cfRule type="containsBlanks" dxfId="2690" priority="19" stopIfTrue="1">
      <formula>LEN(TRIM(E119))=0</formula>
    </cfRule>
    <cfRule type="notContainsBlanks" dxfId="2689" priority="20" stopIfTrue="1">
      <formula>LEN(TRIM(E119))&gt;0</formula>
    </cfRule>
  </conditionalFormatting>
  <conditionalFormatting sqref="E120:AL120">
    <cfRule type="containsBlanks" dxfId="2688" priority="21" stopIfTrue="1">
      <formula>LEN(TRIM(E120))=0</formula>
    </cfRule>
    <cfRule type="notContainsBlanks" dxfId="2687" priority="22" stopIfTrue="1">
      <formula>LEN(TRIM(E120))&gt;0</formula>
    </cfRule>
  </conditionalFormatting>
  <conditionalFormatting sqref="E122:AL122">
    <cfRule type="containsBlanks" dxfId="2686" priority="23" stopIfTrue="1">
      <formula>LEN(TRIM(E122))=0</formula>
    </cfRule>
    <cfRule type="notContainsBlanks" dxfId="2685" priority="24" stopIfTrue="1">
      <formula>LEN(TRIM(E122))&gt;0</formula>
    </cfRule>
  </conditionalFormatting>
  <conditionalFormatting sqref="E124:AL124">
    <cfRule type="containsBlanks" dxfId="2684" priority="25" stopIfTrue="1">
      <formula>LEN(TRIM(E124))=0</formula>
    </cfRule>
    <cfRule type="notContainsBlanks" dxfId="2683" priority="26" stopIfTrue="1">
      <formula>LEN(TRIM(E124))&gt;0</formula>
    </cfRule>
  </conditionalFormatting>
  <conditionalFormatting sqref="E125:AL125">
    <cfRule type="containsBlanks" dxfId="2682" priority="27" stopIfTrue="1">
      <formula>LEN(TRIM(E125))=0</formula>
    </cfRule>
    <cfRule type="notContainsBlanks" dxfId="2681" priority="28" stopIfTrue="1">
      <formula>LEN(TRIM(E125))&gt;0</formula>
    </cfRule>
  </conditionalFormatting>
  <conditionalFormatting sqref="E126:AL126">
    <cfRule type="containsBlanks" dxfId="2680" priority="29" stopIfTrue="1">
      <formula>LEN(TRIM(E126))=0</formula>
    </cfRule>
    <cfRule type="notContainsBlanks" dxfId="2679" priority="30" stopIfTrue="1">
      <formula>LEN(TRIM(E126))&gt;0</formula>
    </cfRule>
  </conditionalFormatting>
  <conditionalFormatting sqref="E128:AL128">
    <cfRule type="containsBlanks" dxfId="2678" priority="31" stopIfTrue="1">
      <formula>LEN(TRIM(E128))=0</formula>
    </cfRule>
    <cfRule type="notContainsBlanks" dxfId="2677" priority="32" stopIfTrue="1">
      <formula>LEN(TRIM(E128))&gt;0</formula>
    </cfRule>
  </conditionalFormatting>
  <conditionalFormatting sqref="E130:AL130">
    <cfRule type="containsBlanks" dxfId="2676" priority="33" stopIfTrue="1">
      <formula>LEN(TRIM(E130))=0</formula>
    </cfRule>
    <cfRule type="notContainsBlanks" dxfId="2675" priority="34" stopIfTrue="1">
      <formula>LEN(TRIM(E130))&gt;0</formula>
    </cfRule>
  </conditionalFormatting>
  <conditionalFormatting sqref="E131:AL131">
    <cfRule type="containsBlanks" dxfId="2674" priority="35" stopIfTrue="1">
      <formula>LEN(TRIM(E131))=0</formula>
    </cfRule>
    <cfRule type="notContainsBlanks" dxfId="2673" priority="36" stopIfTrue="1">
      <formula>LEN(TRIM(E131))&gt;0</formula>
    </cfRule>
  </conditionalFormatting>
  <conditionalFormatting sqref="E132:AL132">
    <cfRule type="containsBlanks" dxfId="2672" priority="37" stopIfTrue="1">
      <formula>LEN(TRIM(E132))=0</formula>
    </cfRule>
    <cfRule type="notContainsBlanks" dxfId="2671" priority="38" stopIfTrue="1">
      <formula>LEN(TRIM(E132))&gt;0</formula>
    </cfRule>
  </conditionalFormatting>
  <conditionalFormatting sqref="E134:AL134">
    <cfRule type="containsBlanks" dxfId="2670" priority="39" stopIfTrue="1">
      <formula>LEN(TRIM(E134))=0</formula>
    </cfRule>
    <cfRule type="notContainsBlanks" dxfId="2669" priority="40" stopIfTrue="1">
      <formula>LEN(TRIM(E134))&gt;0</formula>
    </cfRule>
  </conditionalFormatting>
  <conditionalFormatting sqref="E136:AL136">
    <cfRule type="containsBlanks" dxfId="2668" priority="41" stopIfTrue="1">
      <formula>LEN(TRIM(E136))=0</formula>
    </cfRule>
  </conditionalFormatting>
  <conditionalFormatting sqref="E136:AL136">
    <cfRule type="notContainsBlanks" dxfId="2667" priority="42" stopIfTrue="1">
      <formula>LEN(TRIM(E136))&gt;0</formula>
    </cfRule>
  </conditionalFormatting>
  <conditionalFormatting sqref="E137:AL137">
    <cfRule type="containsBlanks" dxfId="2666" priority="43" stopIfTrue="1">
      <formula>LEN(TRIM(E137))=0</formula>
    </cfRule>
  </conditionalFormatting>
  <conditionalFormatting sqref="E137:AL137">
    <cfRule type="notContainsBlanks" dxfId="2665" priority="44" stopIfTrue="1">
      <formula>LEN(TRIM(E137))&gt;0</formula>
    </cfRule>
  </conditionalFormatting>
  <conditionalFormatting sqref="E138:AL138">
    <cfRule type="containsBlanks" dxfId="2664" priority="45" stopIfTrue="1">
      <formula>LEN(TRIM(E138))=0</formula>
    </cfRule>
  </conditionalFormatting>
  <conditionalFormatting sqref="E138:AL138">
    <cfRule type="notContainsBlanks" dxfId="2663" priority="46" stopIfTrue="1">
      <formula>LEN(TRIM(E138))&gt;0</formula>
    </cfRule>
  </conditionalFormatting>
  <conditionalFormatting sqref="E140:AL140">
    <cfRule type="containsBlanks" dxfId="2662" priority="47" stopIfTrue="1">
      <formula>LEN(TRIM(E140))=0</formula>
    </cfRule>
  </conditionalFormatting>
  <conditionalFormatting sqref="E140:AL140">
    <cfRule type="notContainsBlanks" dxfId="2661" priority="48" stopIfTrue="1">
      <formula>LEN(TRIM(E140))&gt;0</formula>
    </cfRule>
  </conditionalFormatting>
  <conditionalFormatting sqref="E142:AL142">
    <cfRule type="containsBlanks" dxfId="2660" priority="49" stopIfTrue="1">
      <formula>LEN(TRIM(E142))=0</formula>
    </cfRule>
  </conditionalFormatting>
  <conditionalFormatting sqref="E142:AL142">
    <cfRule type="notContainsBlanks" dxfId="2659" priority="50" stopIfTrue="1">
      <formula>LEN(TRIM(E142))&gt;0</formula>
    </cfRule>
  </conditionalFormatting>
  <conditionalFormatting sqref="E143:AL143">
    <cfRule type="containsBlanks" dxfId="2658" priority="51" stopIfTrue="1">
      <formula>LEN(TRIM(E143))=0</formula>
    </cfRule>
  </conditionalFormatting>
  <conditionalFormatting sqref="E143:AL143">
    <cfRule type="notContainsBlanks" dxfId="2657" priority="52" stopIfTrue="1">
      <formula>LEN(TRIM(E143))&gt;0</formula>
    </cfRule>
  </conditionalFormatting>
  <conditionalFormatting sqref="E144:AL144">
    <cfRule type="containsBlanks" dxfId="2656" priority="53" stopIfTrue="1">
      <formula>LEN(TRIM(E144))=0</formula>
    </cfRule>
  </conditionalFormatting>
  <conditionalFormatting sqref="E144:AL144">
    <cfRule type="notContainsBlanks" dxfId="2655" priority="54" stopIfTrue="1">
      <formula>LEN(TRIM(E144))&gt;0</formula>
    </cfRule>
  </conditionalFormatting>
  <conditionalFormatting sqref="E146:AL146">
    <cfRule type="containsBlanks" dxfId="2654" priority="55" stopIfTrue="1">
      <formula>LEN(TRIM(E146))=0</formula>
    </cfRule>
  </conditionalFormatting>
  <conditionalFormatting sqref="E146:AL146">
    <cfRule type="notContainsBlanks" dxfId="2653" priority="56" stopIfTrue="1">
      <formula>LEN(TRIM(E146))&gt;0</formula>
    </cfRule>
  </conditionalFormatting>
  <conditionalFormatting sqref="E149:AL149">
    <cfRule type="containsBlanks" dxfId="2652" priority="57" stopIfTrue="1">
      <formula>LEN(TRIM(E149))=0</formula>
    </cfRule>
  </conditionalFormatting>
  <conditionalFormatting sqref="E149:AL149">
    <cfRule type="notContainsBlanks" dxfId="2651" priority="58" stopIfTrue="1">
      <formula>LEN(TRIM(E149))&gt;0</formula>
    </cfRule>
  </conditionalFormatting>
  <conditionalFormatting sqref="E150:AL150">
    <cfRule type="containsBlanks" dxfId="2650" priority="59" stopIfTrue="1">
      <formula>LEN(TRIM(E150))=0</formula>
    </cfRule>
  </conditionalFormatting>
  <conditionalFormatting sqref="E150:AL150">
    <cfRule type="notContainsBlanks" dxfId="2649" priority="60" stopIfTrue="1">
      <formula>LEN(TRIM(E150))&gt;0</formula>
    </cfRule>
  </conditionalFormatting>
  <conditionalFormatting sqref="E151:AL151">
    <cfRule type="containsBlanks" dxfId="2648" priority="61" stopIfTrue="1">
      <formula>LEN(TRIM(E151))=0</formula>
    </cfRule>
  </conditionalFormatting>
  <conditionalFormatting sqref="E151:AL151">
    <cfRule type="notContainsBlanks" dxfId="2647" priority="62" stopIfTrue="1">
      <formula>LEN(TRIM(E151))&gt;0</formula>
    </cfRule>
  </conditionalFormatting>
  <conditionalFormatting sqref="E153:AL153">
    <cfRule type="containsBlanks" dxfId="2646" priority="63" stopIfTrue="1">
      <formula>LEN(TRIM(E153))=0</formula>
    </cfRule>
  </conditionalFormatting>
  <conditionalFormatting sqref="E153:AL153">
    <cfRule type="notContainsBlanks" dxfId="2645" priority="64" stopIfTrue="1">
      <formula>LEN(TRIM(E153))&gt;0</formula>
    </cfRule>
  </conditionalFormatting>
  <conditionalFormatting sqref="E155:AL155">
    <cfRule type="containsBlanks" dxfId="2644" priority="65" stopIfTrue="1">
      <formula>LEN(TRIM(E155))=0</formula>
    </cfRule>
  </conditionalFormatting>
  <conditionalFormatting sqref="E155:AL155">
    <cfRule type="notContainsBlanks" dxfId="2643" priority="66" stopIfTrue="1">
      <formula>LEN(TRIM(E155))&gt;0</formula>
    </cfRule>
  </conditionalFormatting>
  <conditionalFormatting sqref="E156:AL156">
    <cfRule type="containsBlanks" dxfId="2642" priority="67" stopIfTrue="1">
      <formula>LEN(TRIM(E156))=0</formula>
    </cfRule>
  </conditionalFormatting>
  <conditionalFormatting sqref="E156:AL156">
    <cfRule type="notContainsBlanks" dxfId="2641" priority="68" stopIfTrue="1">
      <formula>LEN(TRIM(E156))&gt;0</formula>
    </cfRule>
  </conditionalFormatting>
  <conditionalFormatting sqref="E157:AL157">
    <cfRule type="containsBlanks" dxfId="2640" priority="69" stopIfTrue="1">
      <formula>LEN(TRIM(E157))=0</formula>
    </cfRule>
  </conditionalFormatting>
  <conditionalFormatting sqref="E157:AL157">
    <cfRule type="notContainsBlanks" dxfId="2639" priority="70" stopIfTrue="1">
      <formula>LEN(TRIM(E157))&gt;0</formula>
    </cfRule>
  </conditionalFormatting>
  <conditionalFormatting sqref="E159:AL159">
    <cfRule type="containsBlanks" dxfId="2638" priority="71" stopIfTrue="1">
      <formula>LEN(TRIM(E159))=0</formula>
    </cfRule>
  </conditionalFormatting>
  <conditionalFormatting sqref="E159:AL159">
    <cfRule type="notContainsBlanks" dxfId="2637" priority="72" stopIfTrue="1">
      <formula>LEN(TRIM(E159))&gt;0</formula>
    </cfRule>
  </conditionalFormatting>
  <conditionalFormatting sqref="E161:AL161">
    <cfRule type="containsBlanks" dxfId="2636" priority="73" stopIfTrue="1">
      <formula>LEN(TRIM(E161))=0</formula>
    </cfRule>
  </conditionalFormatting>
  <conditionalFormatting sqref="E161:AL161">
    <cfRule type="notContainsBlanks" dxfId="2635" priority="74" stopIfTrue="1">
      <formula>LEN(TRIM(E161))&gt;0</formula>
    </cfRule>
  </conditionalFormatting>
  <conditionalFormatting sqref="E162:AL162">
    <cfRule type="containsBlanks" dxfId="2634" priority="75" stopIfTrue="1">
      <formula>LEN(TRIM(E162))=0</formula>
    </cfRule>
  </conditionalFormatting>
  <conditionalFormatting sqref="E162:AL162">
    <cfRule type="notContainsBlanks" dxfId="2633" priority="76" stopIfTrue="1">
      <formula>LEN(TRIM(E162))&gt;0</formula>
    </cfRule>
  </conditionalFormatting>
  <conditionalFormatting sqref="E163:AL163">
    <cfRule type="containsBlanks" dxfId="2632" priority="77" stopIfTrue="1">
      <formula>LEN(TRIM(E163))=0</formula>
    </cfRule>
  </conditionalFormatting>
  <conditionalFormatting sqref="E163:AL163">
    <cfRule type="notContainsBlanks" dxfId="2631" priority="78" stopIfTrue="1">
      <formula>LEN(TRIM(E163))&gt;0</formula>
    </cfRule>
  </conditionalFormatting>
  <conditionalFormatting sqref="E165:AL165">
    <cfRule type="containsBlanks" dxfId="2630" priority="79" stopIfTrue="1">
      <formula>LEN(TRIM(E165))=0</formula>
    </cfRule>
  </conditionalFormatting>
  <conditionalFormatting sqref="E165:AL165">
    <cfRule type="notContainsBlanks" dxfId="2629" priority="80" stopIfTrue="1">
      <formula>LEN(TRIM(E165))&gt;0</formula>
    </cfRule>
  </conditionalFormatting>
  <conditionalFormatting sqref="E167:AL167">
    <cfRule type="containsBlanks" dxfId="2628" priority="81" stopIfTrue="1">
      <formula>LEN(TRIM(E167))=0</formula>
    </cfRule>
  </conditionalFormatting>
  <conditionalFormatting sqref="E167:AL167">
    <cfRule type="notContainsBlanks" dxfId="2627" priority="82" stopIfTrue="1">
      <formula>LEN(TRIM(E167))&gt;0</formula>
    </cfRule>
  </conditionalFormatting>
  <conditionalFormatting sqref="E168:AL168">
    <cfRule type="containsBlanks" dxfId="2626" priority="83" stopIfTrue="1">
      <formula>LEN(TRIM(E168))=0</formula>
    </cfRule>
  </conditionalFormatting>
  <conditionalFormatting sqref="E168:AL168">
    <cfRule type="notContainsBlanks" dxfId="2625" priority="84" stopIfTrue="1">
      <formula>LEN(TRIM(E168))&gt;0</formula>
    </cfRule>
  </conditionalFormatting>
  <conditionalFormatting sqref="E169:AL169">
    <cfRule type="containsBlanks" dxfId="2624" priority="85" stopIfTrue="1">
      <formula>LEN(TRIM(E169))=0</formula>
    </cfRule>
  </conditionalFormatting>
  <conditionalFormatting sqref="E169:AL169">
    <cfRule type="notContainsBlanks" dxfId="2623" priority="86" stopIfTrue="1">
      <formula>LEN(TRIM(E169))&gt;0</formula>
    </cfRule>
  </conditionalFormatting>
  <conditionalFormatting sqref="E171:AL171">
    <cfRule type="containsBlanks" dxfId="2622" priority="87" stopIfTrue="1">
      <formula>LEN(TRIM(E171))=0</formula>
    </cfRule>
  </conditionalFormatting>
  <conditionalFormatting sqref="E171:AL171">
    <cfRule type="notContainsBlanks" dxfId="2621" priority="88" stopIfTrue="1">
      <formula>LEN(TRIM(E171))&gt;0</formula>
    </cfRule>
  </conditionalFormatting>
  <conditionalFormatting sqref="E173:AL173">
    <cfRule type="containsBlanks" dxfId="2620" priority="89" stopIfTrue="1">
      <formula>LEN(TRIM(E173))=0</formula>
    </cfRule>
  </conditionalFormatting>
  <conditionalFormatting sqref="E173:AL173">
    <cfRule type="notContainsBlanks" dxfId="2619" priority="90" stopIfTrue="1">
      <formula>LEN(TRIM(E173))&gt;0</formula>
    </cfRule>
  </conditionalFormatting>
  <conditionalFormatting sqref="E174:AL174">
    <cfRule type="containsBlanks" dxfId="2618" priority="91" stopIfTrue="1">
      <formula>LEN(TRIM(E174))=0</formula>
    </cfRule>
  </conditionalFormatting>
  <conditionalFormatting sqref="E174:AL174">
    <cfRule type="notContainsBlanks" dxfId="2617" priority="92" stopIfTrue="1">
      <formula>LEN(TRIM(E174))&gt;0</formula>
    </cfRule>
  </conditionalFormatting>
  <conditionalFormatting sqref="E175:AL175">
    <cfRule type="containsBlanks" dxfId="2616" priority="93" stopIfTrue="1">
      <formula>LEN(TRIM(E175))=0</formula>
    </cfRule>
  </conditionalFormatting>
  <conditionalFormatting sqref="E175:AL175">
    <cfRule type="notContainsBlanks" dxfId="2615" priority="94" stopIfTrue="1">
      <formula>LEN(TRIM(E175))&gt;0</formula>
    </cfRule>
  </conditionalFormatting>
  <conditionalFormatting sqref="E177:AL177">
    <cfRule type="containsBlanks" dxfId="2614" priority="95" stopIfTrue="1">
      <formula>LEN(TRIM(E177))=0</formula>
    </cfRule>
  </conditionalFormatting>
  <conditionalFormatting sqref="E177:AL177">
    <cfRule type="notContainsBlanks" dxfId="2613" priority="96" stopIfTrue="1">
      <formula>LEN(TRIM(E177))&gt;0</formula>
    </cfRule>
  </conditionalFormatting>
  <conditionalFormatting sqref="E179:AL179">
    <cfRule type="containsBlanks" dxfId="2612" priority="97" stopIfTrue="1">
      <formula>LEN(TRIM(E179))=0</formula>
    </cfRule>
  </conditionalFormatting>
  <conditionalFormatting sqref="E179:AL179">
    <cfRule type="notContainsBlanks" dxfId="2611" priority="98" stopIfTrue="1">
      <formula>LEN(TRIM(E179))&gt;0</formula>
    </cfRule>
  </conditionalFormatting>
  <conditionalFormatting sqref="E180:AL180">
    <cfRule type="containsBlanks" dxfId="2610" priority="99" stopIfTrue="1">
      <formula>LEN(TRIM(E180))=0</formula>
    </cfRule>
  </conditionalFormatting>
  <conditionalFormatting sqref="E180:AL180">
    <cfRule type="notContainsBlanks" dxfId="2609" priority="100" stopIfTrue="1">
      <formula>LEN(TRIM(E180))&gt;0</formula>
    </cfRule>
  </conditionalFormatting>
  <conditionalFormatting sqref="E181:AL181">
    <cfRule type="containsBlanks" dxfId="2608" priority="101" stopIfTrue="1">
      <formula>LEN(TRIM(E181))=0</formula>
    </cfRule>
  </conditionalFormatting>
  <conditionalFormatting sqref="E181:AL181">
    <cfRule type="notContainsBlanks" dxfId="2607" priority="102" stopIfTrue="1">
      <formula>LEN(TRIM(E181))&gt;0</formula>
    </cfRule>
  </conditionalFormatting>
  <conditionalFormatting sqref="E183:AL183">
    <cfRule type="containsBlanks" dxfId="2606" priority="103" stopIfTrue="1">
      <formula>LEN(TRIM(E183))=0</formula>
    </cfRule>
  </conditionalFormatting>
  <conditionalFormatting sqref="E183:AL183">
    <cfRule type="notContainsBlanks" dxfId="2605" priority="104" stopIfTrue="1">
      <formula>LEN(TRIM(E183))&gt;0</formula>
    </cfRule>
  </conditionalFormatting>
  <conditionalFormatting sqref="E185:AL185">
    <cfRule type="containsBlanks" dxfId="2604" priority="105" stopIfTrue="1">
      <formula>LEN(TRIM(E185))=0</formula>
    </cfRule>
  </conditionalFormatting>
  <conditionalFormatting sqref="E185:AL185">
    <cfRule type="notContainsBlanks" dxfId="2603" priority="106" stopIfTrue="1">
      <formula>LEN(TRIM(E185))&gt;0</formula>
    </cfRule>
  </conditionalFormatting>
  <conditionalFormatting sqref="E186:AL186">
    <cfRule type="containsBlanks" dxfId="2602" priority="107" stopIfTrue="1">
      <formula>LEN(TRIM(E186))=0</formula>
    </cfRule>
  </conditionalFormatting>
  <conditionalFormatting sqref="E186:AL186">
    <cfRule type="notContainsBlanks" dxfId="2601" priority="108" stopIfTrue="1">
      <formula>LEN(TRIM(E186))&gt;0</formula>
    </cfRule>
  </conditionalFormatting>
  <conditionalFormatting sqref="E187:AL187">
    <cfRule type="containsBlanks" dxfId="2600" priority="109" stopIfTrue="1">
      <formula>LEN(TRIM(E187))=0</formula>
    </cfRule>
  </conditionalFormatting>
  <conditionalFormatting sqref="E187:AL187">
    <cfRule type="notContainsBlanks" dxfId="2599" priority="110" stopIfTrue="1">
      <formula>LEN(TRIM(E187))&gt;0</formula>
    </cfRule>
  </conditionalFormatting>
  <conditionalFormatting sqref="E189:AL189">
    <cfRule type="containsBlanks" dxfId="2598" priority="111" stopIfTrue="1">
      <formula>LEN(TRIM(E189))=0</formula>
    </cfRule>
  </conditionalFormatting>
  <conditionalFormatting sqref="E189:AL189">
    <cfRule type="notContainsBlanks" dxfId="2597" priority="112" stopIfTrue="1">
      <formula>LEN(TRIM(E189))&gt;0</formula>
    </cfRule>
  </conditionalFormatting>
  <conditionalFormatting sqref="E95:AL95">
    <cfRule type="containsBlanks" dxfId="2596" priority="113" stopIfTrue="1">
      <formula>LEN(TRIM(E95))=0</formula>
    </cfRule>
    <cfRule type="notContainsBlanks" dxfId="2595" priority="114" stopIfTrue="1">
      <formula>LEN(TRIM(E95))&gt;0</formula>
    </cfRule>
  </conditionalFormatting>
  <conditionalFormatting sqref="E96:AL96">
    <cfRule type="containsBlanks" dxfId="2594" priority="115" stopIfTrue="1">
      <formula>LEN(TRIM(E96))=0</formula>
    </cfRule>
    <cfRule type="notContainsBlanks" dxfId="2593" priority="116" stopIfTrue="1">
      <formula>LEN(TRIM(E96))&gt;0</formula>
    </cfRule>
  </conditionalFormatting>
  <conditionalFormatting sqref="E97:AL97">
    <cfRule type="containsBlanks" dxfId="2592" priority="117" stopIfTrue="1">
      <formula>LEN(TRIM(E97))=0</formula>
    </cfRule>
    <cfRule type="notContainsBlanks" dxfId="2591" priority="118" stopIfTrue="1">
      <formula>LEN(TRIM(E97))&gt;0</formula>
    </cfRule>
  </conditionalFormatting>
  <conditionalFormatting sqref="E98:AL98">
    <cfRule type="containsBlanks" dxfId="2590" priority="119" stopIfTrue="1">
      <formula>LEN(TRIM(E98))=0</formula>
    </cfRule>
    <cfRule type="notContainsBlanks" dxfId="2589" priority="120" stopIfTrue="1">
      <formula>LEN(TRIM(E98))&gt;0</formula>
    </cfRule>
  </conditionalFormatting>
  <conditionalFormatting sqref="E99:AL99">
    <cfRule type="containsBlanks" dxfId="2588" priority="121" stopIfTrue="1">
      <formula>LEN(TRIM(E99))=0</formula>
    </cfRule>
    <cfRule type="notContainsBlanks" dxfId="2587" priority="122" stopIfTrue="1">
      <formula>LEN(TRIM(E99))&gt;0</formula>
    </cfRule>
  </conditionalFormatting>
  <conditionalFormatting sqref="E100:AL100">
    <cfRule type="containsBlanks" dxfId="2586" priority="123" stopIfTrue="1">
      <formula>LEN(TRIM(E100))=0</formula>
    </cfRule>
    <cfRule type="notContainsBlanks" dxfId="2585" priority="124" stopIfTrue="1">
      <formula>LEN(TRIM(E100))&gt;0</formula>
    </cfRule>
  </conditionalFormatting>
  <conditionalFormatting sqref="E101:AL101">
    <cfRule type="containsBlanks" dxfId="2584" priority="125" stopIfTrue="1">
      <formula>LEN(TRIM(E101))=0</formula>
    </cfRule>
    <cfRule type="notContainsBlanks" dxfId="2583" priority="126" stopIfTrue="1">
      <formula>LEN(TRIM(E101))&gt;0</formula>
    </cfRule>
  </conditionalFormatting>
  <conditionalFormatting sqref="E86:AL86">
    <cfRule type="containsBlanks" dxfId="2582" priority="127" stopIfTrue="1">
      <formula>LEN(TRIM(E86))=0</formula>
    </cfRule>
    <cfRule type="notContainsBlanks" dxfId="2581" priority="128" stopIfTrue="1">
      <formula>LEN(TRIM(E86))&gt;0</formula>
    </cfRule>
  </conditionalFormatting>
  <conditionalFormatting sqref="E87:AL87">
    <cfRule type="containsBlanks" dxfId="2580" priority="129" stopIfTrue="1">
      <formula>LEN(TRIM(E87))=0</formula>
    </cfRule>
    <cfRule type="notContainsBlanks" dxfId="2579" priority="130" stopIfTrue="1">
      <formula>LEN(TRIM(E87))&gt;0</formula>
    </cfRule>
  </conditionalFormatting>
  <conditionalFormatting sqref="E88:AL88">
    <cfRule type="containsBlanks" dxfId="2578" priority="131" stopIfTrue="1">
      <formula>LEN(TRIM(E88))=0</formula>
    </cfRule>
    <cfRule type="notContainsBlanks" dxfId="2577" priority="132" stopIfTrue="1">
      <formula>LEN(TRIM(E88))&gt;0</formula>
    </cfRule>
  </conditionalFormatting>
  <conditionalFormatting sqref="E89:AL89">
    <cfRule type="containsBlanks" dxfId="2576" priority="133" stopIfTrue="1">
      <formula>LEN(TRIM(E89))=0</formula>
    </cfRule>
    <cfRule type="notContainsBlanks" dxfId="2575" priority="134" stopIfTrue="1">
      <formula>LEN(TRIM(E89))&gt;0</formula>
    </cfRule>
  </conditionalFormatting>
  <conditionalFormatting sqref="E90:AL90">
    <cfRule type="containsBlanks" dxfId="2574" priority="135" stopIfTrue="1">
      <formula>LEN(TRIM(E90))=0</formula>
    </cfRule>
    <cfRule type="notContainsBlanks" dxfId="2573" priority="136" stopIfTrue="1">
      <formula>LEN(TRIM(E90))&gt;0</formula>
    </cfRule>
  </conditionalFormatting>
  <conditionalFormatting sqref="E91:AL91">
    <cfRule type="containsBlanks" dxfId="2572" priority="137" stopIfTrue="1">
      <formula>LEN(TRIM(E91))=0</formula>
    </cfRule>
    <cfRule type="notContainsBlanks" dxfId="2571" priority="138" stopIfTrue="1">
      <formula>LEN(TRIM(E91))&gt;0</formula>
    </cfRule>
  </conditionalFormatting>
  <conditionalFormatting sqref="E92:AL92">
    <cfRule type="containsBlanks" dxfId="2570" priority="139" stopIfTrue="1">
      <formula>LEN(TRIM(E92))=0</formula>
    </cfRule>
    <cfRule type="notContainsBlanks" dxfId="2569" priority="140" stopIfTrue="1">
      <formula>LEN(TRIM(E92))&gt;0</formula>
    </cfRule>
  </conditionalFormatting>
  <conditionalFormatting sqref="E77:AL77">
    <cfRule type="containsBlanks" dxfId="2568" priority="141" stopIfTrue="1">
      <formula>LEN(TRIM(E77))=0</formula>
    </cfRule>
    <cfRule type="notContainsBlanks" dxfId="2567" priority="142" stopIfTrue="1">
      <formula>LEN(TRIM(E77))&gt;0</formula>
    </cfRule>
  </conditionalFormatting>
  <conditionalFormatting sqref="E78:AL78">
    <cfRule type="containsBlanks" dxfId="2566" priority="143" stopIfTrue="1">
      <formula>LEN(TRIM(E78))=0</formula>
    </cfRule>
    <cfRule type="notContainsBlanks" dxfId="2565" priority="144" stopIfTrue="1">
      <formula>LEN(TRIM(E78))&gt;0</formula>
    </cfRule>
  </conditionalFormatting>
  <conditionalFormatting sqref="E79:AL79">
    <cfRule type="containsBlanks" dxfId="2564" priority="145" stopIfTrue="1">
      <formula>LEN(TRIM(E79))=0</formula>
    </cfRule>
    <cfRule type="notContainsBlanks" dxfId="2563" priority="146" stopIfTrue="1">
      <formula>LEN(TRIM(E79))&gt;0</formula>
    </cfRule>
  </conditionalFormatting>
  <conditionalFormatting sqref="E80:AL80">
    <cfRule type="containsBlanks" dxfId="2562" priority="147" stopIfTrue="1">
      <formula>LEN(TRIM(E80))=0</formula>
    </cfRule>
    <cfRule type="notContainsBlanks" dxfId="2561" priority="148" stopIfTrue="1">
      <formula>LEN(TRIM(E80))&gt;0</formula>
    </cfRule>
  </conditionalFormatting>
  <conditionalFormatting sqref="E81:AL81">
    <cfRule type="containsBlanks" dxfId="2560" priority="149" stopIfTrue="1">
      <formula>LEN(TRIM(E81))=0</formula>
    </cfRule>
    <cfRule type="notContainsBlanks" dxfId="2559" priority="150" stopIfTrue="1">
      <formula>LEN(TRIM(E81))&gt;0</formula>
    </cfRule>
  </conditionalFormatting>
  <conditionalFormatting sqref="E82:AL82">
    <cfRule type="containsBlanks" dxfId="2558" priority="151" stopIfTrue="1">
      <formula>LEN(TRIM(E82))=0</formula>
    </cfRule>
    <cfRule type="notContainsBlanks" dxfId="2557" priority="152" stopIfTrue="1">
      <formula>LEN(TRIM(E82))&gt;0</formula>
    </cfRule>
  </conditionalFormatting>
  <conditionalFormatting sqref="E83:AL83">
    <cfRule type="containsBlanks" dxfId="2556" priority="153" stopIfTrue="1">
      <formula>LEN(TRIM(E83))=0</formula>
    </cfRule>
    <cfRule type="notContainsBlanks" dxfId="2555" priority="154" stopIfTrue="1">
      <formula>LEN(TRIM(E83))&gt;0</formula>
    </cfRule>
  </conditionalFormatting>
  <conditionalFormatting sqref="E68:AL68">
    <cfRule type="containsBlanks" dxfId="2554" priority="155" stopIfTrue="1">
      <formula>LEN(TRIM(E68))=0</formula>
    </cfRule>
    <cfRule type="notContainsBlanks" dxfId="2553" priority="156" stopIfTrue="1">
      <formula>LEN(TRIM(E68))&gt;0</formula>
    </cfRule>
  </conditionalFormatting>
  <conditionalFormatting sqref="E69:AL69">
    <cfRule type="containsBlanks" dxfId="2552" priority="157" stopIfTrue="1">
      <formula>LEN(TRIM(E69))=0</formula>
    </cfRule>
    <cfRule type="notContainsBlanks" dxfId="2551" priority="158" stopIfTrue="1">
      <formula>LEN(TRIM(E69))&gt;0</formula>
    </cfRule>
  </conditionalFormatting>
  <conditionalFormatting sqref="E70:AL70">
    <cfRule type="containsBlanks" dxfId="2550" priority="159" stopIfTrue="1">
      <formula>LEN(TRIM(E70))=0</formula>
    </cfRule>
    <cfRule type="notContainsBlanks" dxfId="2549" priority="160" stopIfTrue="1">
      <formula>LEN(TRIM(E70))&gt;0</formula>
    </cfRule>
  </conditionalFormatting>
  <conditionalFormatting sqref="E71:AL71">
    <cfRule type="containsBlanks" dxfId="2548" priority="161" stopIfTrue="1">
      <formula>LEN(TRIM(E71))=0</formula>
    </cfRule>
    <cfRule type="notContainsBlanks" dxfId="2547" priority="162" stopIfTrue="1">
      <formula>LEN(TRIM(E71))&gt;0</formula>
    </cfRule>
  </conditionalFormatting>
  <conditionalFormatting sqref="E72:AL72">
    <cfRule type="containsBlanks" dxfId="2546" priority="163" stopIfTrue="1">
      <formula>LEN(TRIM(E72))=0</formula>
    </cfRule>
    <cfRule type="notContainsBlanks" dxfId="2545" priority="164" stopIfTrue="1">
      <formula>LEN(TRIM(E72))&gt;0</formula>
    </cfRule>
  </conditionalFormatting>
  <conditionalFormatting sqref="E73:AL73">
    <cfRule type="containsBlanks" dxfId="2544" priority="165" stopIfTrue="1">
      <formula>LEN(TRIM(E73))=0</formula>
    </cfRule>
    <cfRule type="notContainsBlanks" dxfId="2543" priority="166" stopIfTrue="1">
      <formula>LEN(TRIM(E73))&gt;0</formula>
    </cfRule>
  </conditionalFormatting>
  <conditionalFormatting sqref="E74:AL74">
    <cfRule type="containsBlanks" dxfId="2542" priority="167" stopIfTrue="1">
      <formula>LEN(TRIM(E74))=0</formula>
    </cfRule>
    <cfRule type="notContainsBlanks" dxfId="2541" priority="168" stopIfTrue="1">
      <formula>LEN(TRIM(E74))&gt;0</formula>
    </cfRule>
  </conditionalFormatting>
  <conditionalFormatting sqref="E59:AL59">
    <cfRule type="containsBlanks" dxfId="2540" priority="169" stopIfTrue="1">
      <formula>LEN(TRIM(E59))=0</formula>
    </cfRule>
    <cfRule type="notContainsBlanks" dxfId="2539" priority="170" stopIfTrue="1">
      <formula>LEN(TRIM(E59))&gt;0</formula>
    </cfRule>
  </conditionalFormatting>
  <conditionalFormatting sqref="E60:AL60">
    <cfRule type="containsBlanks" dxfId="2538" priority="171" stopIfTrue="1">
      <formula>LEN(TRIM(E60))=0</formula>
    </cfRule>
    <cfRule type="notContainsBlanks" dxfId="2537" priority="172" stopIfTrue="1">
      <formula>LEN(TRIM(E60))&gt;0</formula>
    </cfRule>
  </conditionalFormatting>
  <conditionalFormatting sqref="E61:AL61">
    <cfRule type="containsBlanks" dxfId="2536" priority="173" stopIfTrue="1">
      <formula>LEN(TRIM(E61))=0</formula>
    </cfRule>
    <cfRule type="notContainsBlanks" dxfId="2535" priority="174" stopIfTrue="1">
      <formula>LEN(TRIM(E61))&gt;0</formula>
    </cfRule>
  </conditionalFormatting>
  <conditionalFormatting sqref="E62:AL62">
    <cfRule type="containsBlanks" dxfId="2534" priority="175" stopIfTrue="1">
      <formula>LEN(TRIM(E62))=0</formula>
    </cfRule>
    <cfRule type="notContainsBlanks" dxfId="2533" priority="176" stopIfTrue="1">
      <formula>LEN(TRIM(E62))&gt;0</formula>
    </cfRule>
  </conditionalFormatting>
  <conditionalFormatting sqref="E63:AL63">
    <cfRule type="containsBlanks" dxfId="2532" priority="177" stopIfTrue="1">
      <formula>LEN(TRIM(E63))=0</formula>
    </cfRule>
    <cfRule type="notContainsBlanks" dxfId="2531" priority="178" stopIfTrue="1">
      <formula>LEN(TRIM(E63))&gt;0</formula>
    </cfRule>
  </conditionalFormatting>
  <conditionalFormatting sqref="E64:AL64">
    <cfRule type="containsBlanks" dxfId="2530" priority="179" stopIfTrue="1">
      <formula>LEN(TRIM(E64))=0</formula>
    </cfRule>
    <cfRule type="notContainsBlanks" dxfId="2529" priority="180" stopIfTrue="1">
      <formula>LEN(TRIM(E64))&gt;0</formula>
    </cfRule>
  </conditionalFormatting>
  <conditionalFormatting sqref="E65:AL65">
    <cfRule type="containsBlanks" dxfId="2528" priority="181" stopIfTrue="1">
      <formula>LEN(TRIM(E65))=0</formula>
    </cfRule>
    <cfRule type="notContainsBlanks" dxfId="2527" priority="182" stopIfTrue="1">
      <formula>LEN(TRIM(E65))&gt;0</formula>
    </cfRule>
  </conditionalFormatting>
  <conditionalFormatting sqref="E50:AL50">
    <cfRule type="containsBlanks" dxfId="2526" priority="183" stopIfTrue="1">
      <formula>LEN(TRIM(E50))=0</formula>
    </cfRule>
    <cfRule type="notContainsBlanks" dxfId="2525" priority="184" stopIfTrue="1">
      <formula>LEN(TRIM(E50))&gt;0</formula>
    </cfRule>
  </conditionalFormatting>
  <conditionalFormatting sqref="E51:AL51">
    <cfRule type="containsBlanks" dxfId="2524" priority="185" stopIfTrue="1">
      <formula>LEN(TRIM(E51))=0</formula>
    </cfRule>
    <cfRule type="notContainsBlanks" dxfId="2523" priority="186" stopIfTrue="1">
      <formula>LEN(TRIM(E51))&gt;0</formula>
    </cfRule>
  </conditionalFormatting>
  <conditionalFormatting sqref="E52:AL52">
    <cfRule type="containsBlanks" dxfId="2522" priority="187" stopIfTrue="1">
      <formula>LEN(TRIM(E52))=0</formula>
    </cfRule>
    <cfRule type="notContainsBlanks" dxfId="2521" priority="188" stopIfTrue="1">
      <formula>LEN(TRIM(E52))&gt;0</formula>
    </cfRule>
  </conditionalFormatting>
  <conditionalFormatting sqref="E53:AL53">
    <cfRule type="containsBlanks" dxfId="2520" priority="189" stopIfTrue="1">
      <formula>LEN(TRIM(E53))=0</formula>
    </cfRule>
    <cfRule type="notContainsBlanks" dxfId="2519" priority="190" stopIfTrue="1">
      <formula>LEN(TRIM(E53))&gt;0</formula>
    </cfRule>
  </conditionalFormatting>
  <conditionalFormatting sqref="E54:AL54">
    <cfRule type="containsBlanks" dxfId="2518" priority="191" stopIfTrue="1">
      <formula>LEN(TRIM(E54))=0</formula>
    </cfRule>
    <cfRule type="notContainsBlanks" dxfId="2517" priority="192" stopIfTrue="1">
      <formula>LEN(TRIM(E54))&gt;0</formula>
    </cfRule>
  </conditionalFormatting>
  <conditionalFormatting sqref="E55:AL55">
    <cfRule type="containsBlanks" dxfId="2516" priority="193" stopIfTrue="1">
      <formula>LEN(TRIM(E55))=0</formula>
    </cfRule>
    <cfRule type="notContainsBlanks" dxfId="2515" priority="194" stopIfTrue="1">
      <formula>LEN(TRIM(E55))&gt;0</formula>
    </cfRule>
  </conditionalFormatting>
  <conditionalFormatting sqref="E56:AL56">
    <cfRule type="containsBlanks" dxfId="2514" priority="195" stopIfTrue="1">
      <formula>LEN(TRIM(E56))=0</formula>
    </cfRule>
    <cfRule type="notContainsBlanks" dxfId="2513" priority="196" stopIfTrue="1">
      <formula>LEN(TRIM(E56))&gt;0</formula>
    </cfRule>
  </conditionalFormatting>
  <conditionalFormatting sqref="E41:E47">
    <cfRule type="containsBlanks" dxfId="2512" priority="211" stopIfTrue="1">
      <formula>LEN(TRIM(E41))=0</formula>
    </cfRule>
    <cfRule type="expression" dxfId="2511" priority="212" stopIfTrue="1">
      <formula>SUM($E$41:$E$47)&lt;&gt;1</formula>
    </cfRule>
    <cfRule type="notContainsBlanks" dxfId="2510" priority="213" stopIfTrue="1">
      <formula>LEN(TRIM(E41))&gt;0</formula>
    </cfRule>
  </conditionalFormatting>
  <conditionalFormatting sqref="F41:F47">
    <cfRule type="containsBlanks" dxfId="2509" priority="214" stopIfTrue="1">
      <formula>LEN(TRIM(F41))=0</formula>
    </cfRule>
    <cfRule type="expression" dxfId="2508" priority="215" stopIfTrue="1">
      <formula>SUM($F$41:$F$47)&lt;&gt;1</formula>
    </cfRule>
    <cfRule type="notContainsBlanks" dxfId="2507" priority="216" stopIfTrue="1">
      <formula>LEN(TRIM(F41))&gt;0</formula>
    </cfRule>
  </conditionalFormatting>
  <conditionalFormatting sqref="G41:G47">
    <cfRule type="containsBlanks" dxfId="2506" priority="217" stopIfTrue="1">
      <formula>LEN(TRIM(G41))=0</formula>
    </cfRule>
    <cfRule type="expression" dxfId="2505" priority="218" stopIfTrue="1">
      <formula>SUM($G$41:$G$47)&lt;&gt;1</formula>
    </cfRule>
    <cfRule type="notContainsBlanks" dxfId="2504" priority="219" stopIfTrue="1">
      <formula>LEN(TRIM(G41))&gt;0</formula>
    </cfRule>
  </conditionalFormatting>
  <conditionalFormatting sqref="H41:H47">
    <cfRule type="containsBlanks" dxfId="2503" priority="220" stopIfTrue="1">
      <formula>LEN(TRIM(H41))=0</formula>
    </cfRule>
    <cfRule type="expression" dxfId="2502" priority="221" stopIfTrue="1">
      <formula>SUM($H$41:$H$47)&lt;&gt;1</formula>
    </cfRule>
    <cfRule type="notContainsBlanks" dxfId="2501" priority="222" stopIfTrue="1">
      <formula>LEN(TRIM(H41))&gt;0</formula>
    </cfRule>
  </conditionalFormatting>
  <conditionalFormatting sqref="I41:I47">
    <cfRule type="containsBlanks" dxfId="2500" priority="223" stopIfTrue="1">
      <formula>LEN(TRIM(I41))=0</formula>
    </cfRule>
    <cfRule type="expression" dxfId="2499" priority="224" stopIfTrue="1">
      <formula>SUM($I$41:$I$47)&lt;&gt;1</formula>
    </cfRule>
    <cfRule type="notContainsBlanks" dxfId="2498" priority="225" stopIfTrue="1">
      <formula>LEN(TRIM(I41))&gt;0</formula>
    </cfRule>
  </conditionalFormatting>
  <conditionalFormatting sqref="J41:J47">
    <cfRule type="containsBlanks" dxfId="2497" priority="226" stopIfTrue="1">
      <formula>LEN(TRIM(J41))=0</formula>
    </cfRule>
    <cfRule type="expression" dxfId="2496" priority="227" stopIfTrue="1">
      <formula>SUM($J$41:$J$47)&lt;&gt;1</formula>
    </cfRule>
    <cfRule type="notContainsBlanks" dxfId="2495" priority="228" stopIfTrue="1">
      <formula>LEN(TRIM(J41))&gt;0</formula>
    </cfRule>
  </conditionalFormatting>
  <conditionalFormatting sqref="K41:K47">
    <cfRule type="containsBlanks" dxfId="2494" priority="229" stopIfTrue="1">
      <formula>LEN(TRIM(K41))=0</formula>
    </cfRule>
    <cfRule type="expression" dxfId="2493" priority="230" stopIfTrue="1">
      <formula>SUM($K$41:$K$47)&lt;&gt;1</formula>
    </cfRule>
    <cfRule type="notContainsBlanks" dxfId="2492" priority="231" stopIfTrue="1">
      <formula>LEN(TRIM(K41))&gt;0</formula>
    </cfRule>
  </conditionalFormatting>
  <conditionalFormatting sqref="L41:L47">
    <cfRule type="containsBlanks" dxfId="2491" priority="232" stopIfTrue="1">
      <formula>LEN(TRIM(L41))=0</formula>
    </cfRule>
    <cfRule type="expression" dxfId="2490" priority="233" stopIfTrue="1">
      <formula>SUM($L$41:$L$47)&lt;&gt;1</formula>
    </cfRule>
    <cfRule type="notContainsBlanks" dxfId="2489" priority="234" stopIfTrue="1">
      <formula>LEN(TRIM(L41))&gt;0</formula>
    </cfRule>
  </conditionalFormatting>
  <conditionalFormatting sqref="M41:M47">
    <cfRule type="containsBlanks" dxfId="2488" priority="235" stopIfTrue="1">
      <formula>LEN(TRIM(M41))=0</formula>
    </cfRule>
    <cfRule type="expression" dxfId="2487" priority="236" stopIfTrue="1">
      <formula>SUM($M$41:$M$47)&lt;&gt;1</formula>
    </cfRule>
    <cfRule type="notContainsBlanks" dxfId="2486" priority="237" stopIfTrue="1">
      <formula>LEN(TRIM(M41))&gt;0</formula>
    </cfRule>
  </conditionalFormatting>
  <conditionalFormatting sqref="N41:N47">
    <cfRule type="containsBlanks" dxfId="2485" priority="238" stopIfTrue="1">
      <formula>LEN(TRIM(N41))=0</formula>
    </cfRule>
    <cfRule type="expression" dxfId="2484" priority="239" stopIfTrue="1">
      <formula>SUM($N$41:$N$47)&lt;&gt;1</formula>
    </cfRule>
    <cfRule type="notContainsBlanks" dxfId="2483" priority="240" stopIfTrue="1">
      <formula>LEN(TRIM(N41))&gt;0</formula>
    </cfRule>
  </conditionalFormatting>
  <conditionalFormatting sqref="O41:O47">
    <cfRule type="containsBlanks" dxfId="2482" priority="241" stopIfTrue="1">
      <formula>LEN(TRIM(O41))=0</formula>
    </cfRule>
    <cfRule type="expression" dxfId="2481" priority="242" stopIfTrue="1">
      <formula>SUM($O$41:$O$47)&lt;&gt;1</formula>
    </cfRule>
    <cfRule type="notContainsBlanks" dxfId="2480" priority="243" stopIfTrue="1">
      <formula>LEN(TRIM(O41))&gt;0</formula>
    </cfRule>
  </conditionalFormatting>
  <conditionalFormatting sqref="P41:P47">
    <cfRule type="containsBlanks" dxfId="2479" priority="244" stopIfTrue="1">
      <formula>LEN(TRIM(P41))=0</formula>
    </cfRule>
    <cfRule type="expression" dxfId="2478" priority="245" stopIfTrue="1">
      <formula>SUM($P$41:$P$47)&lt;&gt;1</formula>
    </cfRule>
    <cfRule type="notContainsBlanks" dxfId="2477" priority="246" stopIfTrue="1">
      <formula>LEN(TRIM(P41))&gt;0</formula>
    </cfRule>
  </conditionalFormatting>
  <conditionalFormatting sqref="Q41:Q47">
    <cfRule type="containsBlanks" dxfId="2476" priority="247" stopIfTrue="1">
      <formula>LEN(TRIM(Q41))=0</formula>
    </cfRule>
    <cfRule type="expression" dxfId="2475" priority="248" stopIfTrue="1">
      <formula>SUM($Q$41:$Q$47)&lt;&gt;1</formula>
    </cfRule>
    <cfRule type="notContainsBlanks" dxfId="2474" priority="249" stopIfTrue="1">
      <formula>LEN(TRIM(Q41))&gt;0</formula>
    </cfRule>
  </conditionalFormatting>
  <conditionalFormatting sqref="R41:R47">
    <cfRule type="containsBlanks" dxfId="2473" priority="250" stopIfTrue="1">
      <formula>LEN(TRIM(R41))=0</formula>
    </cfRule>
  </conditionalFormatting>
  <conditionalFormatting sqref="R41:R47">
    <cfRule type="expression" dxfId="2472" priority="251" stopIfTrue="1">
      <formula>SUM($R$41:$R$47)&lt;&gt;1</formula>
    </cfRule>
  </conditionalFormatting>
  <conditionalFormatting sqref="R41:R47">
    <cfRule type="notContainsBlanks" dxfId="2471" priority="252" stopIfTrue="1">
      <formula>LEN(TRIM(R41))&gt;0</formula>
    </cfRule>
  </conditionalFormatting>
  <conditionalFormatting sqref="S41:S47">
    <cfRule type="containsBlanks" dxfId="2470" priority="253" stopIfTrue="1">
      <formula>LEN(TRIM(S41))=0</formula>
    </cfRule>
  </conditionalFormatting>
  <conditionalFormatting sqref="S41:S47">
    <cfRule type="expression" dxfId="2469" priority="254" stopIfTrue="1">
      <formula>SUM($S$41:$S$47)&lt;&gt;1</formula>
    </cfRule>
  </conditionalFormatting>
  <conditionalFormatting sqref="S41:S47">
    <cfRule type="notContainsBlanks" dxfId="2468" priority="255" stopIfTrue="1">
      <formula>LEN(TRIM(S41))&gt;0</formula>
    </cfRule>
  </conditionalFormatting>
  <conditionalFormatting sqref="T41:T47">
    <cfRule type="containsBlanks" dxfId="2467" priority="256" stopIfTrue="1">
      <formula>LEN(TRIM(T41))=0</formula>
    </cfRule>
  </conditionalFormatting>
  <conditionalFormatting sqref="T41:T47">
    <cfRule type="expression" dxfId="2466" priority="257" stopIfTrue="1">
      <formula>SUM($T$41:$T$47)&lt;&gt;1</formula>
    </cfRule>
  </conditionalFormatting>
  <conditionalFormatting sqref="T41:T47">
    <cfRule type="notContainsBlanks" dxfId="2465" priority="258" stopIfTrue="1">
      <formula>LEN(TRIM(T41))&gt;0</formula>
    </cfRule>
  </conditionalFormatting>
  <conditionalFormatting sqref="U41:U47">
    <cfRule type="containsBlanks" dxfId="2464" priority="259" stopIfTrue="1">
      <formula>LEN(TRIM(U41))=0</formula>
    </cfRule>
  </conditionalFormatting>
  <conditionalFormatting sqref="U41:U47">
    <cfRule type="expression" dxfId="2463" priority="260" stopIfTrue="1">
      <formula>SUM($U$41:$U$47)&lt;&gt;1</formula>
    </cfRule>
  </conditionalFormatting>
  <conditionalFormatting sqref="U41:U47">
    <cfRule type="notContainsBlanks" dxfId="2462" priority="261" stopIfTrue="1">
      <formula>LEN(TRIM(U41))&gt;0</formula>
    </cfRule>
  </conditionalFormatting>
  <conditionalFormatting sqref="V41:V47">
    <cfRule type="containsBlanks" dxfId="2461" priority="262" stopIfTrue="1">
      <formula>LEN(TRIM(V41))=0</formula>
    </cfRule>
  </conditionalFormatting>
  <conditionalFormatting sqref="V41:V47">
    <cfRule type="expression" dxfId="2460" priority="263" stopIfTrue="1">
      <formula>SUM($V$41:$V$47)&lt;&gt;1</formula>
    </cfRule>
  </conditionalFormatting>
  <conditionalFormatting sqref="V41:V47">
    <cfRule type="notContainsBlanks" dxfId="2459" priority="264" stopIfTrue="1">
      <formula>LEN(TRIM(V41))&gt;0</formula>
    </cfRule>
  </conditionalFormatting>
  <conditionalFormatting sqref="W41:W47">
    <cfRule type="containsBlanks" dxfId="2458" priority="265" stopIfTrue="1">
      <formula>LEN(TRIM(W41))=0</formula>
    </cfRule>
  </conditionalFormatting>
  <conditionalFormatting sqref="W41:W47">
    <cfRule type="expression" dxfId="2457" priority="266" stopIfTrue="1">
      <formula>SUM($W$41:$W$47)&lt;&gt;1</formula>
    </cfRule>
  </conditionalFormatting>
  <conditionalFormatting sqref="W41:W47">
    <cfRule type="notContainsBlanks" dxfId="2456" priority="267" stopIfTrue="1">
      <formula>LEN(TRIM(W41))&gt;0</formula>
    </cfRule>
  </conditionalFormatting>
  <conditionalFormatting sqref="X41:X47">
    <cfRule type="containsBlanks" dxfId="2455" priority="268" stopIfTrue="1">
      <formula>LEN(TRIM(X41))=0</formula>
    </cfRule>
  </conditionalFormatting>
  <conditionalFormatting sqref="X41:X47">
    <cfRule type="expression" dxfId="2454" priority="269" stopIfTrue="1">
      <formula>SUM($X$41:$X$47)&lt;&gt;1</formula>
    </cfRule>
  </conditionalFormatting>
  <conditionalFormatting sqref="X41:X47">
    <cfRule type="notContainsBlanks" dxfId="2453" priority="270" stopIfTrue="1">
      <formula>LEN(TRIM(X41))&gt;0</formula>
    </cfRule>
  </conditionalFormatting>
  <conditionalFormatting sqref="Y41:Y47">
    <cfRule type="containsBlanks" dxfId="2452" priority="271" stopIfTrue="1">
      <formula>LEN(TRIM(Y41))=0</formula>
    </cfRule>
  </conditionalFormatting>
  <conditionalFormatting sqref="Y41:Y47">
    <cfRule type="expression" dxfId="2451" priority="272" stopIfTrue="1">
      <formula>SUM($Y$41:$Y$47)&lt;&gt;1</formula>
    </cfRule>
  </conditionalFormatting>
  <conditionalFormatting sqref="Y41:Y47">
    <cfRule type="notContainsBlanks" dxfId="2450" priority="273" stopIfTrue="1">
      <formula>LEN(TRIM(Y41))&gt;0</formula>
    </cfRule>
  </conditionalFormatting>
  <conditionalFormatting sqref="Z41:Z47">
    <cfRule type="containsBlanks" dxfId="2449" priority="274" stopIfTrue="1">
      <formula>LEN(TRIM(Z41))=0</formula>
    </cfRule>
  </conditionalFormatting>
  <conditionalFormatting sqref="Z41:Z47">
    <cfRule type="expression" dxfId="2448" priority="275" stopIfTrue="1">
      <formula>SUM($Z$41:$Z$47)&lt;&gt;1</formula>
    </cfRule>
  </conditionalFormatting>
  <conditionalFormatting sqref="Z41:Z47">
    <cfRule type="notContainsBlanks" dxfId="2447" priority="276" stopIfTrue="1">
      <formula>LEN(TRIM(Z41))&gt;0</formula>
    </cfRule>
  </conditionalFormatting>
  <conditionalFormatting sqref="AA41:AA47">
    <cfRule type="containsBlanks" dxfId="2446" priority="277" stopIfTrue="1">
      <formula>LEN(TRIM(AA41))=0</formula>
    </cfRule>
  </conditionalFormatting>
  <conditionalFormatting sqref="AA41:AA47">
    <cfRule type="expression" dxfId="2445" priority="278" stopIfTrue="1">
      <formula>SUM($AA$41:$AA$47)&lt;&gt;1</formula>
    </cfRule>
  </conditionalFormatting>
  <conditionalFormatting sqref="AA41:AA47">
    <cfRule type="notContainsBlanks" dxfId="2444" priority="279" stopIfTrue="1">
      <formula>LEN(TRIM(AA41))&gt;0</formula>
    </cfRule>
  </conditionalFormatting>
  <conditionalFormatting sqref="AB41:AB47">
    <cfRule type="containsBlanks" dxfId="2443" priority="280" stopIfTrue="1">
      <formula>LEN(TRIM(AB41))=0</formula>
    </cfRule>
  </conditionalFormatting>
  <conditionalFormatting sqref="AB41:AB47">
    <cfRule type="expression" dxfId="2442" priority="281" stopIfTrue="1">
      <formula>SUM($AB$41:$AB$47)&lt;&gt;1</formula>
    </cfRule>
  </conditionalFormatting>
  <conditionalFormatting sqref="AB41:AB47">
    <cfRule type="notContainsBlanks" dxfId="2441" priority="282" stopIfTrue="1">
      <formula>LEN(TRIM(AB41))&gt;0</formula>
    </cfRule>
  </conditionalFormatting>
  <conditionalFormatting sqref="AC41:AC47">
    <cfRule type="containsBlanks" dxfId="2440" priority="283" stopIfTrue="1">
      <formula>LEN(TRIM(AC41))=0</formula>
    </cfRule>
  </conditionalFormatting>
  <conditionalFormatting sqref="AC41:AC47">
    <cfRule type="expression" dxfId="2439" priority="284" stopIfTrue="1">
      <formula>SUM($AC$41:$AC$47)&lt;&gt;1</formula>
    </cfRule>
  </conditionalFormatting>
  <conditionalFormatting sqref="AC41:AC47">
    <cfRule type="notContainsBlanks" dxfId="2438" priority="285" stopIfTrue="1">
      <formula>LEN(TRIM(AC41))&gt;0</formula>
    </cfRule>
  </conditionalFormatting>
  <conditionalFormatting sqref="AD41:AD47">
    <cfRule type="containsBlanks" dxfId="2437" priority="286" stopIfTrue="1">
      <formula>LEN(TRIM(AD41))=0</formula>
    </cfRule>
  </conditionalFormatting>
  <conditionalFormatting sqref="AD41:AD47">
    <cfRule type="expression" dxfId="2436" priority="287" stopIfTrue="1">
      <formula>SUM($AD$41:$AD$47)&lt;&gt;1</formula>
    </cfRule>
  </conditionalFormatting>
  <conditionalFormatting sqref="AD41:AD47">
    <cfRule type="notContainsBlanks" dxfId="2435" priority="288" stopIfTrue="1">
      <formula>LEN(TRIM(AD41))&gt;0</formula>
    </cfRule>
  </conditionalFormatting>
  <conditionalFormatting sqref="AE41:AE47">
    <cfRule type="containsBlanks" dxfId="2434" priority="289" stopIfTrue="1">
      <formula>LEN(TRIM(AE41))=0</formula>
    </cfRule>
  </conditionalFormatting>
  <conditionalFormatting sqref="AE41:AE47">
    <cfRule type="expression" dxfId="2433" priority="290" stopIfTrue="1">
      <formula>SUM($AE$41:$AE$47)&lt;&gt;1</formula>
    </cfRule>
  </conditionalFormatting>
  <conditionalFormatting sqref="AE41:AE47">
    <cfRule type="notContainsBlanks" dxfId="2432" priority="291" stopIfTrue="1">
      <formula>LEN(TRIM(AE41))&gt;0</formula>
    </cfRule>
  </conditionalFormatting>
  <conditionalFormatting sqref="AF41:AF47">
    <cfRule type="containsBlanks" dxfId="2431" priority="292" stopIfTrue="1">
      <formula>LEN(TRIM(AF41))=0</formula>
    </cfRule>
  </conditionalFormatting>
  <conditionalFormatting sqref="AF41:AF47">
    <cfRule type="expression" dxfId="2430" priority="293" stopIfTrue="1">
      <formula>SUM($AF$41:$AF$47)&lt;&gt;1</formula>
    </cfRule>
  </conditionalFormatting>
  <conditionalFormatting sqref="AF41:AF47">
    <cfRule type="notContainsBlanks" dxfId="2429" priority="294" stopIfTrue="1">
      <formula>LEN(TRIM(AF41))&gt;0</formula>
    </cfRule>
  </conditionalFormatting>
  <conditionalFormatting sqref="AG41:AG47">
    <cfRule type="containsBlanks" dxfId="2428" priority="295" stopIfTrue="1">
      <formula>LEN(TRIM(AG41))=0</formula>
    </cfRule>
  </conditionalFormatting>
  <conditionalFormatting sqref="AG41:AG47">
    <cfRule type="expression" dxfId="2427" priority="296" stopIfTrue="1">
      <formula>SUM($AG$41:$AG$47)&lt;&gt;1</formula>
    </cfRule>
  </conditionalFormatting>
  <conditionalFormatting sqref="AG41:AG47">
    <cfRule type="notContainsBlanks" dxfId="2426" priority="297" stopIfTrue="1">
      <formula>LEN(TRIM(AG41))&gt;0</formula>
    </cfRule>
  </conditionalFormatting>
  <conditionalFormatting sqref="AH41:AH47">
    <cfRule type="containsBlanks" dxfId="2425" priority="298" stopIfTrue="1">
      <formula>LEN(TRIM(AH41))=0</formula>
    </cfRule>
  </conditionalFormatting>
  <conditionalFormatting sqref="AH41:AH47">
    <cfRule type="expression" dxfId="2424" priority="299" stopIfTrue="1">
      <formula>SUM($AH$41:$AH$47)&lt;&gt;1</formula>
    </cfRule>
  </conditionalFormatting>
  <conditionalFormatting sqref="AH41:AH47">
    <cfRule type="notContainsBlanks" dxfId="2423" priority="300" stopIfTrue="1">
      <formula>LEN(TRIM(AH41))&gt;0</formula>
    </cfRule>
  </conditionalFormatting>
  <conditionalFormatting sqref="AI41:AI47">
    <cfRule type="containsBlanks" dxfId="2422" priority="301" stopIfTrue="1">
      <formula>LEN(TRIM(AI41))=0</formula>
    </cfRule>
  </conditionalFormatting>
  <conditionalFormatting sqref="AI41:AI47">
    <cfRule type="expression" dxfId="2421" priority="302" stopIfTrue="1">
      <formula>SUM($AI$41:$AI$47)&lt;&gt;1</formula>
    </cfRule>
  </conditionalFormatting>
  <conditionalFormatting sqref="AI41:AI47">
    <cfRule type="notContainsBlanks" dxfId="2420" priority="303" stopIfTrue="1">
      <formula>LEN(TRIM(AI41))&gt;0</formula>
    </cfRule>
  </conditionalFormatting>
  <conditionalFormatting sqref="AJ41:AJ47">
    <cfRule type="containsBlanks" dxfId="2419" priority="304" stopIfTrue="1">
      <formula>LEN(TRIM(AJ41))=0</formula>
    </cfRule>
  </conditionalFormatting>
  <conditionalFormatting sqref="AJ41:AJ47">
    <cfRule type="expression" dxfId="2418" priority="305" stopIfTrue="1">
      <formula>SUM($AJ$41:$AJ$47)&lt;&gt;1</formula>
    </cfRule>
  </conditionalFormatting>
  <conditionalFormatting sqref="AJ41:AJ47">
    <cfRule type="notContainsBlanks" dxfId="2417" priority="306" stopIfTrue="1">
      <formula>LEN(TRIM(AJ41))&gt;0</formula>
    </cfRule>
  </conditionalFormatting>
  <conditionalFormatting sqref="AK41:AK47">
    <cfRule type="containsBlanks" dxfId="2416" priority="307" stopIfTrue="1">
      <formula>LEN(TRIM(AK41))=0</formula>
    </cfRule>
  </conditionalFormatting>
  <conditionalFormatting sqref="AK41:AK47">
    <cfRule type="expression" dxfId="2415" priority="308" stopIfTrue="1">
      <formula>SUM($AK$41:$AK$47)&lt;&gt;1</formula>
    </cfRule>
  </conditionalFormatting>
  <conditionalFormatting sqref="AK41:AK47">
    <cfRule type="notContainsBlanks" dxfId="2414" priority="309" stopIfTrue="1">
      <formula>LEN(TRIM(AK41))&gt;0</formula>
    </cfRule>
  </conditionalFormatting>
  <conditionalFormatting sqref="AL41:AL47">
    <cfRule type="containsBlanks" dxfId="2413" priority="310" stopIfTrue="1">
      <formula>LEN(TRIM(AL41))=0</formula>
    </cfRule>
  </conditionalFormatting>
  <conditionalFormatting sqref="AL41:AL47">
    <cfRule type="expression" dxfId="2412" priority="311" stopIfTrue="1">
      <formula>SUM($AL$41:$AL$47)&lt;&gt;1</formula>
    </cfRule>
  </conditionalFormatting>
  <conditionalFormatting sqref="AL41:AL47">
    <cfRule type="notContainsBlanks" dxfId="2411" priority="312" stopIfTrue="1">
      <formula>LEN(TRIM(AL41))&gt;0</formula>
    </cfRule>
  </conditionalFormatting>
  <conditionalFormatting sqref="E32:E38">
    <cfRule type="containsBlanks" dxfId="2410" priority="327" stopIfTrue="1">
      <formula>LEN(TRIM(E32))=0</formula>
    </cfRule>
    <cfRule type="expression" dxfId="2409" priority="328" stopIfTrue="1">
      <formula>SUM($E$32:$E$38)&lt;&gt;1</formula>
    </cfRule>
    <cfRule type="notContainsBlanks" dxfId="2408" priority="329" stopIfTrue="1">
      <formula>LEN(TRIM(E32))&gt;0</formula>
    </cfRule>
  </conditionalFormatting>
  <conditionalFormatting sqref="F32:F38">
    <cfRule type="containsBlanks" dxfId="2407" priority="330" stopIfTrue="1">
      <formula>LEN(TRIM(F32))=0</formula>
    </cfRule>
    <cfRule type="expression" dxfId="2406" priority="331" stopIfTrue="1">
      <formula>SUM($F$32:$F$38)&lt;&gt;1</formula>
    </cfRule>
    <cfRule type="notContainsBlanks" dxfId="2405" priority="332" stopIfTrue="1">
      <formula>LEN(TRIM(F32))&gt;0</formula>
    </cfRule>
  </conditionalFormatting>
  <conditionalFormatting sqref="G32:G38">
    <cfRule type="containsBlanks" dxfId="2404" priority="333" stopIfTrue="1">
      <formula>LEN(TRIM(G32))=0</formula>
    </cfRule>
    <cfRule type="expression" dxfId="2403" priority="334" stopIfTrue="1">
      <formula>SUM($G$32:$G$38)&lt;&gt;1</formula>
    </cfRule>
    <cfRule type="notContainsBlanks" dxfId="2402" priority="335" stopIfTrue="1">
      <formula>LEN(TRIM(G32))&gt;0</formula>
    </cfRule>
  </conditionalFormatting>
  <conditionalFormatting sqref="H32:H38">
    <cfRule type="containsBlanks" dxfId="2401" priority="336" stopIfTrue="1">
      <formula>LEN(TRIM(H32))=0</formula>
    </cfRule>
    <cfRule type="expression" dxfId="2400" priority="337" stopIfTrue="1">
      <formula>SUM($H$32:$H$38)&lt;&gt;1</formula>
    </cfRule>
    <cfRule type="notContainsBlanks" dxfId="2399" priority="338" stopIfTrue="1">
      <formula>LEN(TRIM(H32))&gt;0</formula>
    </cfRule>
  </conditionalFormatting>
  <conditionalFormatting sqref="I32:I38">
    <cfRule type="containsBlanks" dxfId="2398" priority="339" stopIfTrue="1">
      <formula>LEN(TRIM(I32))=0</formula>
    </cfRule>
    <cfRule type="expression" dxfId="2397" priority="340" stopIfTrue="1">
      <formula>SUM($I$32:$I$38)&lt;&gt;1</formula>
    </cfRule>
    <cfRule type="notContainsBlanks" dxfId="2396" priority="341" stopIfTrue="1">
      <formula>LEN(TRIM(I32))&gt;0</formula>
    </cfRule>
  </conditionalFormatting>
  <conditionalFormatting sqref="J32:J38">
    <cfRule type="containsBlanks" dxfId="2395" priority="342" stopIfTrue="1">
      <formula>LEN(TRIM(J32))=0</formula>
    </cfRule>
    <cfRule type="expression" dxfId="2394" priority="343" stopIfTrue="1">
      <formula>SUM($J$32:$J$38)&lt;&gt;1</formula>
    </cfRule>
    <cfRule type="notContainsBlanks" dxfId="2393" priority="344" stopIfTrue="1">
      <formula>LEN(TRIM(J32))&gt;0</formula>
    </cfRule>
  </conditionalFormatting>
  <conditionalFormatting sqref="K32:K38">
    <cfRule type="containsBlanks" dxfId="2392" priority="345" stopIfTrue="1">
      <formula>LEN(TRIM(K32))=0</formula>
    </cfRule>
  </conditionalFormatting>
  <conditionalFormatting sqref="K32:K38">
    <cfRule type="expression" dxfId="2391" priority="346" stopIfTrue="1">
      <formula>SUM($K$32:$K$38)&lt;&gt;1</formula>
    </cfRule>
  </conditionalFormatting>
  <conditionalFormatting sqref="K32:K38">
    <cfRule type="notContainsBlanks" dxfId="2390" priority="347" stopIfTrue="1">
      <formula>LEN(TRIM(K32))&gt;0</formula>
    </cfRule>
  </conditionalFormatting>
  <conditionalFormatting sqref="L32:L38">
    <cfRule type="containsBlanks" dxfId="2389" priority="348" stopIfTrue="1">
      <formula>LEN(TRIM(L32))=0</formula>
    </cfRule>
  </conditionalFormatting>
  <conditionalFormatting sqref="L32:L38">
    <cfRule type="expression" dxfId="2388" priority="349" stopIfTrue="1">
      <formula>SUM($L$32:$L$38)&lt;&gt;1</formula>
    </cfRule>
  </conditionalFormatting>
  <conditionalFormatting sqref="L32:L38">
    <cfRule type="notContainsBlanks" dxfId="2387" priority="350" stopIfTrue="1">
      <formula>LEN(TRIM(L32))&gt;0</formula>
    </cfRule>
  </conditionalFormatting>
  <conditionalFormatting sqref="M32:M38">
    <cfRule type="containsBlanks" dxfId="2386" priority="351" stopIfTrue="1">
      <formula>LEN(TRIM(M32))=0</formula>
    </cfRule>
  </conditionalFormatting>
  <conditionalFormatting sqref="M32:M38">
    <cfRule type="expression" dxfId="2385" priority="352" stopIfTrue="1">
      <formula>SUM($M$32:$M$38)&lt;&gt;1</formula>
    </cfRule>
  </conditionalFormatting>
  <conditionalFormatting sqref="M32:M38">
    <cfRule type="notContainsBlanks" dxfId="2384" priority="353" stopIfTrue="1">
      <formula>LEN(TRIM(M32))&gt;0</formula>
    </cfRule>
  </conditionalFormatting>
  <conditionalFormatting sqref="N32:N38">
    <cfRule type="containsBlanks" dxfId="2383" priority="354" stopIfTrue="1">
      <formula>LEN(TRIM(N32))=0</formula>
    </cfRule>
  </conditionalFormatting>
  <conditionalFormatting sqref="N32:N38">
    <cfRule type="expression" dxfId="2382" priority="355" stopIfTrue="1">
      <formula>SUM($N$32:$N$38)&lt;&gt;1</formula>
    </cfRule>
  </conditionalFormatting>
  <conditionalFormatting sqref="N32:N38">
    <cfRule type="notContainsBlanks" dxfId="2381" priority="356" stopIfTrue="1">
      <formula>LEN(TRIM(N32))&gt;0</formula>
    </cfRule>
  </conditionalFormatting>
  <conditionalFormatting sqref="O32:O38">
    <cfRule type="containsBlanks" dxfId="2380" priority="357" stopIfTrue="1">
      <formula>LEN(TRIM(O32))=0</formula>
    </cfRule>
  </conditionalFormatting>
  <conditionalFormatting sqref="O32:O38">
    <cfRule type="expression" dxfId="2379" priority="358" stopIfTrue="1">
      <formula>SUM($O$32:$O$38)&lt;&gt;1</formula>
    </cfRule>
  </conditionalFormatting>
  <conditionalFormatting sqref="O32:O38">
    <cfRule type="notContainsBlanks" dxfId="2378" priority="359" stopIfTrue="1">
      <formula>LEN(TRIM(O32))&gt;0</formula>
    </cfRule>
  </conditionalFormatting>
  <conditionalFormatting sqref="P32:P38">
    <cfRule type="containsBlanks" dxfId="2377" priority="360" stopIfTrue="1">
      <formula>LEN(TRIM(P32))=0</formula>
    </cfRule>
  </conditionalFormatting>
  <conditionalFormatting sqref="P32:P38">
    <cfRule type="expression" dxfId="2376" priority="361" stopIfTrue="1">
      <formula>SUM($P$32:$P$38)&lt;&gt;1</formula>
    </cfRule>
  </conditionalFormatting>
  <conditionalFormatting sqref="P32:P38">
    <cfRule type="notContainsBlanks" dxfId="2375" priority="362" stopIfTrue="1">
      <formula>LEN(TRIM(P32))&gt;0</formula>
    </cfRule>
  </conditionalFormatting>
  <conditionalFormatting sqref="Q32:Q38">
    <cfRule type="containsBlanks" dxfId="2374" priority="363" stopIfTrue="1">
      <formula>LEN(TRIM(Q32))=0</formula>
    </cfRule>
  </conditionalFormatting>
  <conditionalFormatting sqref="Q32:Q38">
    <cfRule type="expression" dxfId="2373" priority="364" stopIfTrue="1">
      <formula>SUM($Q$32:$Q$38)&lt;&gt;1</formula>
    </cfRule>
  </conditionalFormatting>
  <conditionalFormatting sqref="Q32:Q38">
    <cfRule type="notContainsBlanks" dxfId="2372" priority="365" stopIfTrue="1">
      <formula>LEN(TRIM(Q32))&gt;0</formula>
    </cfRule>
  </conditionalFormatting>
  <conditionalFormatting sqref="R32:R38">
    <cfRule type="containsBlanks" dxfId="2371" priority="366" stopIfTrue="1">
      <formula>LEN(TRIM(R32))=0</formula>
    </cfRule>
  </conditionalFormatting>
  <conditionalFormatting sqref="R32:R38">
    <cfRule type="expression" dxfId="2370" priority="367" stopIfTrue="1">
      <formula>SUM($R$32:$R$38)&lt;&gt;1</formula>
    </cfRule>
  </conditionalFormatting>
  <conditionalFormatting sqref="R32:R38">
    <cfRule type="notContainsBlanks" dxfId="2369" priority="368" stopIfTrue="1">
      <formula>LEN(TRIM(R32))&gt;0</formula>
    </cfRule>
  </conditionalFormatting>
  <conditionalFormatting sqref="S32:S38">
    <cfRule type="containsBlanks" dxfId="2368" priority="369" stopIfTrue="1">
      <formula>LEN(TRIM(S32))=0</formula>
    </cfRule>
  </conditionalFormatting>
  <conditionalFormatting sqref="S32:S38">
    <cfRule type="expression" dxfId="2367" priority="370" stopIfTrue="1">
      <formula>SUM($S$32:$S$38)&lt;&gt;1</formula>
    </cfRule>
  </conditionalFormatting>
  <conditionalFormatting sqref="S32:S38">
    <cfRule type="notContainsBlanks" dxfId="2366" priority="371" stopIfTrue="1">
      <formula>LEN(TRIM(S32))&gt;0</formula>
    </cfRule>
  </conditionalFormatting>
  <conditionalFormatting sqref="T32:T38">
    <cfRule type="containsBlanks" dxfId="2365" priority="372" stopIfTrue="1">
      <formula>LEN(TRIM(T32))=0</formula>
    </cfRule>
  </conditionalFormatting>
  <conditionalFormatting sqref="T32:T38">
    <cfRule type="expression" dxfId="2364" priority="373" stopIfTrue="1">
      <formula>SUM($T$32:$T$38)&lt;&gt;1</formula>
    </cfRule>
  </conditionalFormatting>
  <conditionalFormatting sqref="T32:T38">
    <cfRule type="notContainsBlanks" dxfId="2363" priority="374" stopIfTrue="1">
      <formula>LEN(TRIM(T32))&gt;0</formula>
    </cfRule>
  </conditionalFormatting>
  <conditionalFormatting sqref="U32:U38">
    <cfRule type="containsBlanks" dxfId="2362" priority="375" stopIfTrue="1">
      <formula>LEN(TRIM(U32))=0</formula>
    </cfRule>
  </conditionalFormatting>
  <conditionalFormatting sqref="U32:U38">
    <cfRule type="expression" dxfId="2361" priority="376" stopIfTrue="1">
      <formula>SUM($U$32:$U$38)&lt;&gt;1</formula>
    </cfRule>
  </conditionalFormatting>
  <conditionalFormatting sqref="U32:U38">
    <cfRule type="notContainsBlanks" dxfId="2360" priority="377" stopIfTrue="1">
      <formula>LEN(TRIM(U32))&gt;0</formula>
    </cfRule>
  </conditionalFormatting>
  <conditionalFormatting sqref="V32:V38">
    <cfRule type="containsBlanks" dxfId="2359" priority="378" stopIfTrue="1">
      <formula>LEN(TRIM(V32))=0</formula>
    </cfRule>
  </conditionalFormatting>
  <conditionalFormatting sqref="V32:V38">
    <cfRule type="expression" dxfId="2358" priority="379" stopIfTrue="1">
      <formula>SUM($V$32:$V$38)&lt;&gt;1</formula>
    </cfRule>
  </conditionalFormatting>
  <conditionalFormatting sqref="V32:V38">
    <cfRule type="notContainsBlanks" dxfId="2357" priority="380" stopIfTrue="1">
      <formula>LEN(TRIM(V32))&gt;0</formula>
    </cfRule>
  </conditionalFormatting>
  <conditionalFormatting sqref="W32:W38">
    <cfRule type="containsBlanks" dxfId="2356" priority="381" stopIfTrue="1">
      <formula>LEN(TRIM(W32))=0</formula>
    </cfRule>
  </conditionalFormatting>
  <conditionalFormatting sqref="W32:W38">
    <cfRule type="expression" dxfId="2355" priority="382" stopIfTrue="1">
      <formula>SUM($W$32:$W$38)&lt;&gt;1</formula>
    </cfRule>
  </conditionalFormatting>
  <conditionalFormatting sqref="W32:W38">
    <cfRule type="notContainsBlanks" dxfId="2354" priority="383" stopIfTrue="1">
      <formula>LEN(TRIM(W32))&gt;0</formula>
    </cfRule>
  </conditionalFormatting>
  <conditionalFormatting sqref="X32:X38">
    <cfRule type="containsBlanks" dxfId="2353" priority="384" stopIfTrue="1">
      <formula>LEN(TRIM(X32))=0</formula>
    </cfRule>
  </conditionalFormatting>
  <conditionalFormatting sqref="X32:X38">
    <cfRule type="expression" dxfId="2352" priority="385" stopIfTrue="1">
      <formula>SUM($X$32:$X$38)&lt;&gt;1</formula>
    </cfRule>
  </conditionalFormatting>
  <conditionalFormatting sqref="X32:X38">
    <cfRule type="notContainsBlanks" dxfId="2351" priority="386" stopIfTrue="1">
      <formula>LEN(TRIM(X32))&gt;0</formula>
    </cfRule>
  </conditionalFormatting>
  <conditionalFormatting sqref="Y32:Y38">
    <cfRule type="containsBlanks" dxfId="2350" priority="387" stopIfTrue="1">
      <formula>LEN(TRIM(Y32))=0</formula>
    </cfRule>
  </conditionalFormatting>
  <conditionalFormatting sqref="Y32:Y38">
    <cfRule type="expression" dxfId="2349" priority="388" stopIfTrue="1">
      <formula>SUM($Y$32:$Y$38)&lt;&gt;1</formula>
    </cfRule>
  </conditionalFormatting>
  <conditionalFormatting sqref="Y32:Y38">
    <cfRule type="notContainsBlanks" dxfId="2348" priority="389" stopIfTrue="1">
      <formula>LEN(TRIM(Y32))&gt;0</formula>
    </cfRule>
  </conditionalFormatting>
  <conditionalFormatting sqref="Z32:Z38">
    <cfRule type="containsBlanks" dxfId="2347" priority="390" stopIfTrue="1">
      <formula>LEN(TRIM(Z32))=0</formula>
    </cfRule>
  </conditionalFormatting>
  <conditionalFormatting sqref="Z32:Z38">
    <cfRule type="expression" dxfId="2346" priority="391" stopIfTrue="1">
      <formula>SUM($Z$32:$Z$38)&lt;&gt;1</formula>
    </cfRule>
  </conditionalFormatting>
  <conditionalFormatting sqref="Z32:Z38">
    <cfRule type="notContainsBlanks" dxfId="2345" priority="392" stopIfTrue="1">
      <formula>LEN(TRIM(Z32))&gt;0</formula>
    </cfRule>
  </conditionalFormatting>
  <conditionalFormatting sqref="AA32:AA38">
    <cfRule type="containsBlanks" dxfId="2344" priority="393" stopIfTrue="1">
      <formula>LEN(TRIM(AA32))=0</formula>
    </cfRule>
  </conditionalFormatting>
  <conditionalFormatting sqref="AA32:AA38">
    <cfRule type="expression" dxfId="2343" priority="394" stopIfTrue="1">
      <formula>SUM($AA$32:$AA$38)&lt;&gt;1</formula>
    </cfRule>
  </conditionalFormatting>
  <conditionalFormatting sqref="AA32:AA38">
    <cfRule type="notContainsBlanks" dxfId="2342" priority="395" stopIfTrue="1">
      <formula>LEN(TRIM(AA32))&gt;0</formula>
    </cfRule>
  </conditionalFormatting>
  <conditionalFormatting sqref="AB32:AB38">
    <cfRule type="containsBlanks" dxfId="2341" priority="396" stopIfTrue="1">
      <formula>LEN(TRIM(AB32))=0</formula>
    </cfRule>
  </conditionalFormatting>
  <conditionalFormatting sqref="AB32:AB38">
    <cfRule type="expression" dxfId="2340" priority="397" stopIfTrue="1">
      <formula>SUM($AB$32:$AB$38)&lt;&gt;1</formula>
    </cfRule>
  </conditionalFormatting>
  <conditionalFormatting sqref="AB32:AB38">
    <cfRule type="notContainsBlanks" dxfId="2339" priority="398" stopIfTrue="1">
      <formula>LEN(TRIM(AB32))&gt;0</formula>
    </cfRule>
  </conditionalFormatting>
  <conditionalFormatting sqref="AC32:AC38">
    <cfRule type="containsBlanks" dxfId="2338" priority="399" stopIfTrue="1">
      <formula>LEN(TRIM(AC32))=0</formula>
    </cfRule>
  </conditionalFormatting>
  <conditionalFormatting sqref="AC32:AC38">
    <cfRule type="expression" dxfId="2337" priority="400" stopIfTrue="1">
      <formula>SUM($AC$32:$AC$38)&lt;&gt;1</formula>
    </cfRule>
  </conditionalFormatting>
  <conditionalFormatting sqref="AC32:AC38">
    <cfRule type="notContainsBlanks" dxfId="2336" priority="401" stopIfTrue="1">
      <formula>LEN(TRIM(AC32))&gt;0</formula>
    </cfRule>
  </conditionalFormatting>
  <conditionalFormatting sqref="AD32:AD38">
    <cfRule type="containsBlanks" dxfId="2335" priority="402" stopIfTrue="1">
      <formula>LEN(TRIM(AD32))=0</formula>
    </cfRule>
  </conditionalFormatting>
  <conditionalFormatting sqref="AD32:AD38">
    <cfRule type="expression" dxfId="2334" priority="403" stopIfTrue="1">
      <formula>SUM($AD$32:$AD$38)&lt;&gt;1</formula>
    </cfRule>
  </conditionalFormatting>
  <conditionalFormatting sqref="AD32:AD38">
    <cfRule type="notContainsBlanks" dxfId="2333" priority="404" stopIfTrue="1">
      <formula>LEN(TRIM(AD32))&gt;0</formula>
    </cfRule>
  </conditionalFormatting>
  <conditionalFormatting sqref="AE32:AE38">
    <cfRule type="containsBlanks" dxfId="2332" priority="405" stopIfTrue="1">
      <formula>LEN(TRIM(AE32))=0</formula>
    </cfRule>
  </conditionalFormatting>
  <conditionalFormatting sqref="AE32:AE38">
    <cfRule type="expression" dxfId="2331" priority="406" stopIfTrue="1">
      <formula>SUM($AE$32:$AE$38)&lt;&gt;1</formula>
    </cfRule>
  </conditionalFormatting>
  <conditionalFormatting sqref="AE32:AE38">
    <cfRule type="notContainsBlanks" dxfId="2330" priority="407" stopIfTrue="1">
      <formula>LEN(TRIM(AE32))&gt;0</formula>
    </cfRule>
  </conditionalFormatting>
  <conditionalFormatting sqref="AF32:AF38">
    <cfRule type="containsBlanks" dxfId="2329" priority="408" stopIfTrue="1">
      <formula>LEN(TRIM(AF32))=0</formula>
    </cfRule>
  </conditionalFormatting>
  <conditionalFormatting sqref="AF32:AF38">
    <cfRule type="expression" dxfId="2328" priority="409" stopIfTrue="1">
      <formula>SUM($AF$32:$AF$38)&lt;&gt;1</formula>
    </cfRule>
  </conditionalFormatting>
  <conditionalFormatting sqref="AF32:AF38">
    <cfRule type="notContainsBlanks" dxfId="2327" priority="410" stopIfTrue="1">
      <formula>LEN(TRIM(AF32))&gt;0</formula>
    </cfRule>
  </conditionalFormatting>
  <conditionalFormatting sqref="AG32:AG38">
    <cfRule type="containsBlanks" dxfId="2326" priority="411" stopIfTrue="1">
      <formula>LEN(TRIM(AG32))=0</formula>
    </cfRule>
  </conditionalFormatting>
  <conditionalFormatting sqref="AG32:AG38">
    <cfRule type="expression" dxfId="2325" priority="412" stopIfTrue="1">
      <formula>SUM($AG$32:$AG$38)&lt;&gt;1</formula>
    </cfRule>
  </conditionalFormatting>
  <conditionalFormatting sqref="AG32:AG38">
    <cfRule type="notContainsBlanks" dxfId="2324" priority="413" stopIfTrue="1">
      <formula>LEN(TRIM(AG32))&gt;0</formula>
    </cfRule>
  </conditionalFormatting>
  <conditionalFormatting sqref="AH32:AH38">
    <cfRule type="containsBlanks" dxfId="2323" priority="414" stopIfTrue="1">
      <formula>LEN(TRIM(AH32))=0</formula>
    </cfRule>
  </conditionalFormatting>
  <conditionalFormatting sqref="AH32:AH38">
    <cfRule type="expression" dxfId="2322" priority="415" stopIfTrue="1">
      <formula>SUM($AH$32:$AH$38)&lt;&gt;1</formula>
    </cfRule>
  </conditionalFormatting>
  <conditionalFormatting sqref="AH32:AH38">
    <cfRule type="notContainsBlanks" dxfId="2321" priority="416" stopIfTrue="1">
      <formula>LEN(TRIM(AH32))&gt;0</formula>
    </cfRule>
  </conditionalFormatting>
  <conditionalFormatting sqref="AI32:AI38">
    <cfRule type="containsBlanks" dxfId="2320" priority="417" stopIfTrue="1">
      <formula>LEN(TRIM(AI32))=0</formula>
    </cfRule>
  </conditionalFormatting>
  <conditionalFormatting sqref="AI32:AI38">
    <cfRule type="expression" dxfId="2319" priority="418" stopIfTrue="1">
      <formula>SUM($AI$32:$AI$38)&lt;&gt;1</formula>
    </cfRule>
  </conditionalFormatting>
  <conditionalFormatting sqref="AI32:AI38">
    <cfRule type="notContainsBlanks" dxfId="2318" priority="419" stopIfTrue="1">
      <formula>LEN(TRIM(AI32))&gt;0</formula>
    </cfRule>
  </conditionalFormatting>
  <conditionalFormatting sqref="AJ32:AJ38">
    <cfRule type="containsBlanks" dxfId="2317" priority="420" stopIfTrue="1">
      <formula>LEN(TRIM(AJ32))=0</formula>
    </cfRule>
  </conditionalFormatting>
  <conditionalFormatting sqref="AJ32:AJ38">
    <cfRule type="expression" dxfId="2316" priority="421" stopIfTrue="1">
      <formula>SUM($AJ$32:$AJ$38)&lt;&gt;1</formula>
    </cfRule>
  </conditionalFormatting>
  <conditionalFormatting sqref="AJ32:AJ38">
    <cfRule type="notContainsBlanks" dxfId="2315" priority="422" stopIfTrue="1">
      <formula>LEN(TRIM(AJ32))&gt;0</formula>
    </cfRule>
  </conditionalFormatting>
  <conditionalFormatting sqref="AK32:AK38">
    <cfRule type="containsBlanks" dxfId="2314" priority="423" stopIfTrue="1">
      <formula>LEN(TRIM(AK32))=0</formula>
    </cfRule>
  </conditionalFormatting>
  <conditionalFormatting sqref="AK32:AK38">
    <cfRule type="expression" dxfId="2313" priority="424" stopIfTrue="1">
      <formula>SUM($AK$32:$AK$38)&lt;&gt;1</formula>
    </cfRule>
  </conditionalFormatting>
  <conditionalFormatting sqref="AK32:AK38">
    <cfRule type="notContainsBlanks" dxfId="2312" priority="425" stopIfTrue="1">
      <formula>LEN(TRIM(AK32))&gt;0</formula>
    </cfRule>
  </conditionalFormatting>
  <conditionalFormatting sqref="AL32:AL38">
    <cfRule type="containsBlanks" dxfId="2311" priority="426" stopIfTrue="1">
      <formula>LEN(TRIM(AL32))=0</formula>
    </cfRule>
  </conditionalFormatting>
  <conditionalFormatting sqref="AL32:AL38">
    <cfRule type="expression" dxfId="2310" priority="427" stopIfTrue="1">
      <formula>SUM($AL$32:$AL$38)&lt;&gt;1</formula>
    </cfRule>
  </conditionalFormatting>
  <conditionalFormatting sqref="AL32:AL38">
    <cfRule type="notContainsBlanks" dxfId="2309" priority="428" stopIfTrue="1">
      <formula>LEN(TRIM(AL32))&gt;0</formula>
    </cfRule>
  </conditionalFormatting>
  <conditionalFormatting sqref="E21:AL21">
    <cfRule type="containsBlanks" dxfId="2308" priority="429" stopIfTrue="1">
      <formula>LEN(TRIM(E21))=0</formula>
    </cfRule>
  </conditionalFormatting>
  <conditionalFormatting sqref="E21:AL21">
    <cfRule type="notContainsBlanks" dxfId="2307" priority="430" stopIfTrue="1">
      <formula>LEN(TRIM(E21))&gt;0</formula>
    </cfRule>
  </conditionalFormatting>
  <conditionalFormatting sqref="E22:AL22">
    <cfRule type="containsBlanks" dxfId="2306" priority="431" stopIfTrue="1">
      <formula>LEN(TRIM(E22))=0</formula>
    </cfRule>
  </conditionalFormatting>
  <conditionalFormatting sqref="E22:AL22">
    <cfRule type="notContainsBlanks" dxfId="2305" priority="432" stopIfTrue="1">
      <formula>LEN(TRIM(E22))&gt;0</formula>
    </cfRule>
  </conditionalFormatting>
  <conditionalFormatting sqref="E24:AL24">
    <cfRule type="containsBlanks" dxfId="2304" priority="433" stopIfTrue="1">
      <formula>LEN(TRIM(E24))=0</formula>
    </cfRule>
  </conditionalFormatting>
  <conditionalFormatting sqref="E24:AL24">
    <cfRule type="notContainsBlanks" dxfId="2303" priority="434" stopIfTrue="1">
      <formula>LEN(TRIM(E24))&gt;0</formula>
    </cfRule>
  </conditionalFormatting>
  <conditionalFormatting sqref="E26:AL26">
    <cfRule type="containsBlanks" dxfId="2302" priority="435" stopIfTrue="1">
      <formula>LEN(TRIM(E26))=0</formula>
    </cfRule>
  </conditionalFormatting>
  <conditionalFormatting sqref="E26:AL26">
    <cfRule type="notContainsBlanks" dxfId="2301" priority="436" stopIfTrue="1">
      <formula>LEN(TRIM(E26))&gt;0</formula>
    </cfRule>
  </conditionalFormatting>
  <conditionalFormatting sqref="E27:AL27">
    <cfRule type="containsBlanks" dxfId="2300" priority="437" stopIfTrue="1">
      <formula>LEN(TRIM(E27))=0</formula>
    </cfRule>
  </conditionalFormatting>
  <conditionalFormatting sqref="E27:AL27">
    <cfRule type="notContainsBlanks" dxfId="2299" priority="438" stopIfTrue="1">
      <formula>LEN(TRIM(E27))&gt;0</formula>
    </cfRule>
  </conditionalFormatting>
  <conditionalFormatting sqref="E29:AL29">
    <cfRule type="containsBlanks" dxfId="2298" priority="439" stopIfTrue="1">
      <formula>LEN(TRIM(E29))=0</formula>
    </cfRule>
  </conditionalFormatting>
  <conditionalFormatting sqref="E29:AL29">
    <cfRule type="notContainsBlanks" dxfId="2297" priority="440" stopIfTrue="1">
      <formula>LEN(TRIM(E29))&gt;0</formula>
    </cfRule>
  </conditionalFormatting>
  <conditionalFormatting sqref="E13:AL13">
    <cfRule type="containsBlanks" dxfId="2296" priority="441" stopIfTrue="1">
      <formula>LEN(TRIM(E13))=0</formula>
    </cfRule>
  </conditionalFormatting>
  <conditionalFormatting sqref="E13:AL13">
    <cfRule type="notContainsBlanks" dxfId="2295" priority="442" stopIfTrue="1">
      <formula>LEN(TRIM(E13))&gt;0</formula>
    </cfRule>
  </conditionalFormatting>
  <conditionalFormatting sqref="E14:AL14">
    <cfRule type="containsBlanks" dxfId="2294" priority="443" stopIfTrue="1">
      <formula>LEN(TRIM(E14))=0</formula>
    </cfRule>
  </conditionalFormatting>
  <conditionalFormatting sqref="E14:AL14">
    <cfRule type="notContainsBlanks" dxfId="2293" priority="444" stopIfTrue="1">
      <formula>LEN(TRIM(E14))&gt;0</formula>
    </cfRule>
  </conditionalFormatting>
  <conditionalFormatting sqref="E15:AL15">
    <cfRule type="containsBlanks" dxfId="2292" priority="445" stopIfTrue="1">
      <formula>LEN(TRIM(E15))=0</formula>
    </cfRule>
  </conditionalFormatting>
  <conditionalFormatting sqref="E15:AL15">
    <cfRule type="notContainsBlanks" dxfId="2291" priority="446" stopIfTrue="1">
      <formula>LEN(TRIM(E15))&gt;0</formula>
    </cfRule>
  </conditionalFormatting>
  <conditionalFormatting sqref="E17:AL17">
    <cfRule type="containsBlanks" dxfId="2290" priority="447" stopIfTrue="1">
      <formula>LEN(TRIM(E17))=0</formula>
    </cfRule>
  </conditionalFormatting>
  <conditionalFormatting sqref="E17:AL17">
    <cfRule type="notContainsBlanks" dxfId="2289" priority="448" stopIfTrue="1">
      <formula>LEN(TRIM(E17))&gt;0</formula>
    </cfRule>
  </conditionalFormatting>
  <conditionalFormatting sqref="E5:AL5">
    <cfRule type="containsBlanks" dxfId="2288" priority="449" stopIfTrue="1">
      <formula>LEN(TRIM(E5))=0</formula>
    </cfRule>
  </conditionalFormatting>
  <conditionalFormatting sqref="E5:AL5">
    <cfRule type="notContainsBlanks" dxfId="2287" priority="450" stopIfTrue="1">
      <formula>LEN(TRIM(E5))&gt;0</formula>
    </cfRule>
  </conditionalFormatting>
  <conditionalFormatting sqref="E6:AL6">
    <cfRule type="containsBlanks" dxfId="2286" priority="451" stopIfTrue="1">
      <formula>LEN(TRIM(E6))=0</formula>
    </cfRule>
  </conditionalFormatting>
  <conditionalFormatting sqref="E6:AL6">
    <cfRule type="notContainsBlanks" dxfId="2285" priority="452" stopIfTrue="1">
      <formula>LEN(TRIM(E6))&gt;0</formula>
    </cfRule>
  </conditionalFormatting>
  <conditionalFormatting sqref="E7:AL7">
    <cfRule type="containsBlanks" dxfId="2284" priority="453" stopIfTrue="1">
      <formula>LEN(TRIM(E7))=0</formula>
    </cfRule>
  </conditionalFormatting>
  <conditionalFormatting sqref="E7:AL7">
    <cfRule type="notContainsBlanks" dxfId="2283" priority="454" stopIfTrue="1">
      <formula>LEN(TRIM(E7))&gt;0</formula>
    </cfRule>
  </conditionalFormatting>
  <conditionalFormatting sqref="E9:AL9">
    <cfRule type="containsBlanks" dxfId="2282" priority="455" stopIfTrue="1">
      <formula>LEN(TRIM(E9))=0</formula>
    </cfRule>
  </conditionalFormatting>
  <conditionalFormatting sqref="E9:AL9">
    <cfRule type="notContainsBlanks" dxfId="2281" priority="456" stopIfTrue="1">
      <formula>LEN(TRIM(E9))&gt;0</formula>
    </cfRule>
  </conditionalFormatting>
  <pageMargins left="0.7" right="0.7" top="0.75" bottom="0.75" header="0.3" footer="0.3"/>
  <customProperties>
    <customPr name="IsPC"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enableFormatConditionsCalculation="0"/>
  <dimension ref="B2:AM190"/>
  <sheetViews>
    <sheetView topLeftCell="V1" zoomScale="85" zoomScaleNormal="85" zoomScalePageLayoutView="85" workbookViewId="0">
      <selection activeCell="AM9" sqref="AM9"/>
    </sheetView>
  </sheetViews>
  <sheetFormatPr defaultColWidth="8.77734375" defaultRowHeight="14.4"/>
  <cols>
    <col min="1" max="1" width="8.77734375" style="9"/>
    <col min="2" max="2" width="3.6640625" style="9" customWidth="1"/>
    <col min="3" max="3" width="28.44140625" style="9" bestFit="1" customWidth="1"/>
    <col min="4" max="4" width="9.33203125" style="9" bestFit="1" customWidth="1"/>
    <col min="5" max="7" width="8" style="9" bestFit="1" customWidth="1"/>
    <col min="8" max="38" width="9" style="9" bestFit="1" customWidth="1"/>
    <col min="39" max="39" width="7.109375" style="9" bestFit="1" customWidth="1"/>
    <col min="40" max="16384" width="8.77734375" style="9"/>
  </cols>
  <sheetData>
    <row r="2" spans="2:39" ht="15">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row>
    <row r="3" spans="2:39" ht="15">
      <c r="B3" s="10"/>
      <c r="C3" s="22" t="s">
        <v>97</v>
      </c>
      <c r="D3" s="23"/>
      <c r="E3" s="24">
        <f t="array" ref="E3:AL3">_yS</f>
        <v>2019</v>
      </c>
      <c r="F3" s="24">
        <v>2020</v>
      </c>
      <c r="G3" s="24">
        <v>2021</v>
      </c>
      <c r="H3" s="24">
        <v>2022</v>
      </c>
      <c r="I3" s="24">
        <v>2023</v>
      </c>
      <c r="J3" s="24">
        <v>2024</v>
      </c>
      <c r="K3" s="24">
        <v>2025</v>
      </c>
      <c r="L3" s="24">
        <v>2026</v>
      </c>
      <c r="M3" s="24">
        <v>2027</v>
      </c>
      <c r="N3" s="24">
        <v>2028</v>
      </c>
      <c r="O3" s="24">
        <v>2029</v>
      </c>
      <c r="P3" s="24">
        <v>2030</v>
      </c>
      <c r="Q3" s="24">
        <v>2031</v>
      </c>
      <c r="R3" s="24">
        <v>2032</v>
      </c>
      <c r="S3" s="24">
        <v>2033</v>
      </c>
      <c r="T3" s="24">
        <v>2034</v>
      </c>
      <c r="U3" s="24">
        <v>2035</v>
      </c>
      <c r="V3" s="24">
        <v>2036</v>
      </c>
      <c r="W3" s="24">
        <v>2037</v>
      </c>
      <c r="X3" s="24">
        <v>2038</v>
      </c>
      <c r="Y3" s="24">
        <v>2039</v>
      </c>
      <c r="Z3" s="24">
        <v>2040</v>
      </c>
      <c r="AA3" s="24">
        <v>2041</v>
      </c>
      <c r="AB3" s="24">
        <v>2042</v>
      </c>
      <c r="AC3" s="24">
        <v>2043</v>
      </c>
      <c r="AD3" s="24">
        <v>2044</v>
      </c>
      <c r="AE3" s="24">
        <v>2045</v>
      </c>
      <c r="AF3" s="24">
        <v>2046</v>
      </c>
      <c r="AG3" s="24">
        <v>2047</v>
      </c>
      <c r="AH3" s="24">
        <v>2048</v>
      </c>
      <c r="AI3" s="24">
        <v>2049</v>
      </c>
      <c r="AJ3" s="24">
        <v>2050</v>
      </c>
      <c r="AK3" s="24">
        <v>2051</v>
      </c>
      <c r="AL3" s="25">
        <v>2052</v>
      </c>
      <c r="AM3" s="10"/>
    </row>
    <row r="4" spans="2:39" ht="15">
      <c r="B4" s="10"/>
      <c r="C4" s="57" t="str">
        <f ca="1">"Stds Case (CSL " &amp; stdCSL &amp; "): " &amp; INDEX(_doName,4,stdCSL+1)</f>
        <v>Stds Case (CSL 5): EL 5</v>
      </c>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3"/>
      <c r="AM4" s="10"/>
    </row>
    <row r="5" spans="2:39" ht="15">
      <c r="B5" s="10"/>
      <c r="C5" s="16" t="s">
        <v>94</v>
      </c>
      <c r="D5" s="12" t="str">
        <f>"th " &amp; _yearDol &amp; "$"</f>
        <v>th 2015$</v>
      </c>
      <c r="E5" s="13">
        <f t="array" aca="1" ref="E5:AL5" ca="1">tecs-tiec</f>
        <v>0</v>
      </c>
      <c r="F5" s="13">
        <f ca="1"/>
        <v>0</v>
      </c>
      <c r="G5" s="13">
        <f ca="1"/>
        <v>0</v>
      </c>
      <c r="H5" s="13">
        <f ca="1"/>
        <v>32738.287361290306</v>
      </c>
      <c r="I5" s="13">
        <f ca="1"/>
        <v>33019.56955279829</v>
      </c>
      <c r="J5" s="13">
        <f ca="1"/>
        <v>32072.577441051835</v>
      </c>
      <c r="K5" s="13">
        <f ca="1"/>
        <v>32340.356654111645</v>
      </c>
      <c r="L5" s="13">
        <f ca="1"/>
        <v>32590.794819607865</v>
      </c>
      <c r="M5" s="13">
        <f ca="1"/>
        <v>32832.276807693881</v>
      </c>
      <c r="N5" s="13">
        <f ca="1"/>
        <v>33043.862847468932</v>
      </c>
      <c r="O5" s="13">
        <f ca="1"/>
        <v>33256.2191355963</v>
      </c>
      <c r="P5" s="13">
        <f ca="1"/>
        <v>33495.320964605897</v>
      </c>
      <c r="Q5" s="13">
        <f ca="1"/>
        <v>33733.698070676182</v>
      </c>
      <c r="R5" s="13">
        <f ca="1"/>
        <v>35244.325586966355</v>
      </c>
      <c r="S5" s="13">
        <f ca="1"/>
        <v>36811.754221978132</v>
      </c>
      <c r="T5" s="13">
        <f ca="1"/>
        <v>37086.345632127486</v>
      </c>
      <c r="U5" s="13">
        <f ca="1"/>
        <v>38705.609356108471</v>
      </c>
      <c r="V5" s="13">
        <f ca="1"/>
        <v>40356.001940155984</v>
      </c>
      <c r="W5" s="13">
        <f ca="1"/>
        <v>40664.419485769351</v>
      </c>
      <c r="X5" s="13">
        <f ca="1"/>
        <v>40972.352097272989</v>
      </c>
      <c r="Y5" s="13">
        <f ca="1"/>
        <v>41280.637182334438</v>
      </c>
      <c r="Z5" s="13">
        <f ca="1"/>
        <v>41600.786822716123</v>
      </c>
      <c r="AA5" s="13">
        <f ca="1"/>
        <v>42040.422408389393</v>
      </c>
      <c r="AB5" s="13">
        <f ca="1"/>
        <v>42566.878614359419</v>
      </c>
      <c r="AC5" s="13">
        <f ca="1"/>
        <v>43099.52363270463</v>
      </c>
      <c r="AD5" s="13">
        <f ca="1"/>
        <v>43636.955154229072</v>
      </c>
      <c r="AE5" s="13">
        <f ca="1"/>
        <v>44180.184798354749</v>
      </c>
      <c r="AF5" s="13">
        <f ca="1"/>
        <v>44728.97563954338</v>
      </c>
      <c r="AG5" s="13">
        <f ca="1"/>
        <v>45283.915498451097</v>
      </c>
      <c r="AH5" s="13">
        <f ca="1"/>
        <v>45845.447374695912</v>
      </c>
      <c r="AI5" s="13">
        <f ca="1"/>
        <v>46415.038443541387</v>
      </c>
      <c r="AJ5" s="13">
        <f ca="1"/>
        <v>46992.631102961837</v>
      </c>
      <c r="AK5" s="13">
        <f ca="1"/>
        <v>47577.080363839865</v>
      </c>
      <c r="AL5" s="56">
        <f ca="1"/>
        <v>48168.29407790408</v>
      </c>
      <c r="AM5" s="10"/>
    </row>
    <row r="6" spans="2:39" ht="15">
      <c r="B6" s="10"/>
      <c r="C6" s="16" t="s">
        <v>95</v>
      </c>
      <c r="D6" s="12" t="str">
        <f>"th " &amp; _yearDol &amp; "$"</f>
        <v>th 2015$</v>
      </c>
      <c r="E6" s="13">
        <f t="array" aca="1" ref="E6:AL6" ca="1">tlccQmPol*tShpCnUStd-tlccQmBC*IF(bStdShipm,tShpCnUStd,tShpCnUBC)</f>
        <v>0</v>
      </c>
      <c r="F6" s="13">
        <f ca="1"/>
        <v>0</v>
      </c>
      <c r="G6" s="13">
        <f ca="1"/>
        <v>0</v>
      </c>
      <c r="H6" s="13">
        <f ca="1"/>
        <v>11347.899287312757</v>
      </c>
      <c r="I6" s="13">
        <f ca="1"/>
        <v>11349.165858260356</v>
      </c>
      <c r="J6" s="13">
        <f ca="1"/>
        <v>10931.174692767439</v>
      </c>
      <c r="K6" s="13">
        <f ca="1"/>
        <v>10930.13564953499</v>
      </c>
      <c r="L6" s="13">
        <f ca="1"/>
        <v>10922.718246021308</v>
      </c>
      <c r="M6" s="13">
        <f ca="1"/>
        <v>10911.865174008883</v>
      </c>
      <c r="N6" s="13">
        <f ca="1"/>
        <v>10890.758186300634</v>
      </c>
      <c r="O6" s="13">
        <f ca="1"/>
        <v>10869.673951363773</v>
      </c>
      <c r="P6" s="13">
        <f ca="1"/>
        <v>10857.03099465894</v>
      </c>
      <c r="Q6" s="13">
        <f ca="1"/>
        <v>10843.788881637505</v>
      </c>
      <c r="R6" s="13">
        <f ca="1"/>
        <v>11235.781213546521</v>
      </c>
      <c r="S6" s="13">
        <f ca="1"/>
        <v>11638.694875782356</v>
      </c>
      <c r="T6" s="13">
        <f ca="1"/>
        <v>11628.994610860012</v>
      </c>
      <c r="U6" s="13">
        <f ca="1"/>
        <v>12037.020062429481</v>
      </c>
      <c r="V6" s="13">
        <f ca="1"/>
        <v>12447.343543921947</v>
      </c>
      <c r="W6" s="13">
        <f ca="1"/>
        <v>12439.789623779128</v>
      </c>
      <c r="X6" s="13">
        <f ca="1"/>
        <v>12431.56070474803</v>
      </c>
      <c r="Y6" s="13">
        <f ca="1"/>
        <v>12422.922235829756</v>
      </c>
      <c r="Z6" s="13">
        <f ca="1"/>
        <v>12417.317469779984</v>
      </c>
      <c r="AA6" s="13">
        <f ca="1"/>
        <v>12446.53202840453</v>
      </c>
      <c r="AB6" s="13">
        <f ca="1"/>
        <v>12500.122389578377</v>
      </c>
      <c r="AC6" s="13">
        <f ca="1"/>
        <v>12554.000952524715</v>
      </c>
      <c r="AD6" s="13">
        <f ca="1"/>
        <v>12607.742998842034</v>
      </c>
      <c r="AE6" s="13">
        <f ca="1"/>
        <v>12661.62914604554</v>
      </c>
      <c r="AF6" s="13">
        <f ca="1"/>
        <v>12715.575967306388</v>
      </c>
      <c r="AG6" s="13">
        <f ca="1"/>
        <v>12769.735147767933</v>
      </c>
      <c r="AH6" s="13">
        <f ca="1"/>
        <v>12824.212867030874</v>
      </c>
      <c r="AI6" s="13">
        <f ca="1"/>
        <v>12879.395922210766</v>
      </c>
      <c r="AJ6" s="13">
        <f ca="1"/>
        <v>12935.238807764486</v>
      </c>
      <c r="AK6" s="13">
        <f ca="1"/>
        <v>12991.400232119486</v>
      </c>
      <c r="AL6" s="56">
        <f ca="1"/>
        <v>13047.834689732525</v>
      </c>
      <c r="AM6" s="10"/>
    </row>
    <row r="7" spans="2:39" ht="15">
      <c r="B7" s="10"/>
      <c r="C7" s="16" t="str">
        <f>zEO&amp;" Costs Savings"</f>
        <v>Operating Costs Savings</v>
      </c>
      <c r="D7" s="12" t="str">
        <f>"th " &amp; _yearDol &amp; "$"</f>
        <v>th 2015$</v>
      </c>
      <c r="E7" s="13">
        <f t="array" aca="1" ref="E7:AL7" ca="1">tlccEmBC*IF(bStdShipm,tShpCnUStd,tShpCnUBC)-tlccEmPol*tShpCnUStd</f>
        <v>0</v>
      </c>
      <c r="F7" s="13">
        <f ca="1"/>
        <v>0</v>
      </c>
      <c r="G7" s="13">
        <f ca="1"/>
        <v>0</v>
      </c>
      <c r="H7" s="13">
        <f ca="1"/>
        <v>44086.186648603063</v>
      </c>
      <c r="I7" s="13">
        <f ca="1"/>
        <v>44368.735411058646</v>
      </c>
      <c r="J7" s="13">
        <f ca="1"/>
        <v>43003.752133819275</v>
      </c>
      <c r="K7" s="13">
        <f ca="1"/>
        <v>43270.492303646635</v>
      </c>
      <c r="L7" s="13">
        <f ca="1"/>
        <v>43513.513065629173</v>
      </c>
      <c r="M7" s="13">
        <f ca="1"/>
        <v>43744.141981702764</v>
      </c>
      <c r="N7" s="13">
        <f ca="1"/>
        <v>43934.621033769567</v>
      </c>
      <c r="O7" s="13">
        <f ca="1"/>
        <v>44125.893086960074</v>
      </c>
      <c r="P7" s="13">
        <f ca="1"/>
        <v>44352.351959264837</v>
      </c>
      <c r="Q7" s="13">
        <f ca="1"/>
        <v>44577.486952313688</v>
      </c>
      <c r="R7" s="13">
        <f ca="1"/>
        <v>46480.106800512876</v>
      </c>
      <c r="S7" s="13">
        <f ca="1"/>
        <v>48450.449097760487</v>
      </c>
      <c r="T7" s="13">
        <f ca="1"/>
        <v>48715.340242987499</v>
      </c>
      <c r="U7" s="13">
        <f ca="1"/>
        <v>50742.629418537952</v>
      </c>
      <c r="V7" s="13">
        <f ca="1"/>
        <v>52803.34548407793</v>
      </c>
      <c r="W7" s="13">
        <f ca="1"/>
        <v>53104.209109548479</v>
      </c>
      <c r="X7" s="13">
        <f ca="1"/>
        <v>53403.912802021019</v>
      </c>
      <c r="Y7" s="13">
        <f ca="1"/>
        <v>53703.559418164194</v>
      </c>
      <c r="Z7" s="13">
        <f ca="1"/>
        <v>54018.104292496108</v>
      </c>
      <c r="AA7" s="13">
        <f ca="1"/>
        <v>54486.954436793923</v>
      </c>
      <c r="AB7" s="13">
        <f ca="1"/>
        <v>55067.001003937796</v>
      </c>
      <c r="AC7" s="13">
        <f ca="1"/>
        <v>55653.524585229345</v>
      </c>
      <c r="AD7" s="13">
        <f ca="1"/>
        <v>56244.698153071105</v>
      </c>
      <c r="AE7" s="13">
        <f ca="1"/>
        <v>56841.813944400288</v>
      </c>
      <c r="AF7" s="13">
        <f ca="1"/>
        <v>57444.551606849767</v>
      </c>
      <c r="AG7" s="13">
        <f ca="1"/>
        <v>58053.65064621903</v>
      </c>
      <c r="AH7" s="13">
        <f ca="1"/>
        <v>58669.660241726786</v>
      </c>
      <c r="AI7" s="13">
        <f ca="1"/>
        <v>59294.434365752153</v>
      </c>
      <c r="AJ7" s="13">
        <f ca="1"/>
        <v>59927.869910726324</v>
      </c>
      <c r="AK7" s="13">
        <f ca="1"/>
        <v>60568.48059595935</v>
      </c>
      <c r="AL7" s="56">
        <f ca="1"/>
        <v>61216.128767636605</v>
      </c>
      <c r="AM7" s="10"/>
    </row>
    <row r="8" spans="2:39" ht="15">
      <c r="B8" s="10"/>
      <c r="C8" s="16" t="s">
        <v>96</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5"/>
      <c r="AM8" s="10"/>
    </row>
    <row r="9" spans="2:39" ht="15">
      <c r="B9" s="10"/>
      <c r="C9" s="45" t="str">
        <f>INDEX(_fuel,1)</f>
        <v>Electricity</v>
      </c>
      <c r="D9" s="18" t="s">
        <v>98</v>
      </c>
      <c r="E9" s="49">
        <f t="array" aca="1" ref="E9:AL9" ca="1">tlccFmElecBC*IF(bStdShipm,tShpCnUStd,tShpCnUBC)-tlccFmElecPol*tShpCnUStd</f>
        <v>0</v>
      </c>
      <c r="F9" s="49">
        <f ca="1"/>
        <v>0</v>
      </c>
      <c r="G9" s="49">
        <f ca="1"/>
        <v>0</v>
      </c>
      <c r="H9" s="49">
        <f ca="1"/>
        <v>6958.3365674931556</v>
      </c>
      <c r="I9" s="49">
        <f ca="1"/>
        <v>6905.7845152590889</v>
      </c>
      <c r="J9" s="49">
        <f ca="1"/>
        <v>6611.1359763412038</v>
      </c>
      <c r="K9" s="49">
        <f ca="1"/>
        <v>6576.6150250674691</v>
      </c>
      <c r="L9" s="49">
        <f ca="1"/>
        <v>6537.7945624180138</v>
      </c>
      <c r="M9" s="49">
        <f ca="1"/>
        <v>6503.4635344815906</v>
      </c>
      <c r="N9" s="49">
        <f ca="1"/>
        <v>6471.2972414223477</v>
      </c>
      <c r="O9" s="49">
        <f ca="1"/>
        <v>6444.1814106755191</v>
      </c>
      <c r="P9" s="49">
        <f ca="1"/>
        <v>6424.2471223858884</v>
      </c>
      <c r="Q9" s="49">
        <f ca="1"/>
        <v>6407.0816554626217</v>
      </c>
      <c r="R9" s="49">
        <f ca="1"/>
        <v>6631.192703059176</v>
      </c>
      <c r="S9" s="49">
        <f ca="1"/>
        <v>6867.4016513454262</v>
      </c>
      <c r="T9" s="49">
        <f ca="1"/>
        <v>6862.9080590481171</v>
      </c>
      <c r="U9" s="49">
        <f ca="1"/>
        <v>7105.9553809085628</v>
      </c>
      <c r="V9" s="49">
        <f ca="1"/>
        <v>7351.7883149978006</v>
      </c>
      <c r="W9" s="49">
        <f ca="1"/>
        <v>7350.7962685808307</v>
      </c>
      <c r="X9" s="49">
        <f ca="1"/>
        <v>7348.8133068246534</v>
      </c>
      <c r="Y9" s="49">
        <f ca="1"/>
        <v>7345.6345645494293</v>
      </c>
      <c r="Z9" s="49">
        <f ca="1"/>
        <v>7343.6474723281572</v>
      </c>
      <c r="AA9" s="49">
        <f ca="1"/>
        <v>7360.9250703376019</v>
      </c>
      <c r="AB9" s="49">
        <f ca="1"/>
        <v>7392.6186081193155</v>
      </c>
      <c r="AC9" s="49">
        <f ca="1"/>
        <v>7424.4825894949026</v>
      </c>
      <c r="AD9" s="49">
        <f ca="1"/>
        <v>7456.2658344315132</v>
      </c>
      <c r="AE9" s="49">
        <f ca="1"/>
        <v>7488.134301164886</v>
      </c>
      <c r="AF9" s="49">
        <f ca="1"/>
        <v>7520.0386507601943</v>
      </c>
      <c r="AG9" s="49">
        <f ca="1"/>
        <v>7552.0685903723352</v>
      </c>
      <c r="AH9" s="49">
        <f ca="1"/>
        <v>7584.2869150093757</v>
      </c>
      <c r="AI9" s="49">
        <f ca="1"/>
        <v>7616.9223779161694</v>
      </c>
      <c r="AJ9" s="49">
        <f ca="1"/>
        <v>7649.9480669462355</v>
      </c>
      <c r="AK9" s="49">
        <f ca="1"/>
        <v>7683.1621410013177</v>
      </c>
      <c r="AL9" s="50">
        <f ca="1"/>
        <v>7716.5376879349351</v>
      </c>
      <c r="AM9" s="284">
        <f ca="1">SUM(tsavElec)</f>
        <v>220493.46616613783</v>
      </c>
    </row>
    <row r="10" spans="2:39" ht="15">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2:39" ht="15">
      <c r="B11" s="10"/>
      <c r="C11" s="22" t="s">
        <v>93</v>
      </c>
      <c r="D11" s="23"/>
      <c r="E11" s="24">
        <f t="array" ref="E11:AL11">_yS</f>
        <v>2019</v>
      </c>
      <c r="F11" s="24">
        <v>2020</v>
      </c>
      <c r="G11" s="24">
        <v>2021</v>
      </c>
      <c r="H11" s="24">
        <v>2022</v>
      </c>
      <c r="I11" s="24">
        <v>2023</v>
      </c>
      <c r="J11" s="24">
        <v>2024</v>
      </c>
      <c r="K11" s="24">
        <v>2025</v>
      </c>
      <c r="L11" s="24">
        <v>2026</v>
      </c>
      <c r="M11" s="24">
        <v>2027</v>
      </c>
      <c r="N11" s="24">
        <v>2028</v>
      </c>
      <c r="O11" s="24">
        <v>2029</v>
      </c>
      <c r="P11" s="24">
        <v>2030</v>
      </c>
      <c r="Q11" s="24">
        <v>2031</v>
      </c>
      <c r="R11" s="24">
        <v>2032</v>
      </c>
      <c r="S11" s="24">
        <v>2033</v>
      </c>
      <c r="T11" s="24">
        <v>2034</v>
      </c>
      <c r="U11" s="24">
        <v>2035</v>
      </c>
      <c r="V11" s="24">
        <v>2036</v>
      </c>
      <c r="W11" s="24">
        <v>2037</v>
      </c>
      <c r="X11" s="24">
        <v>2038</v>
      </c>
      <c r="Y11" s="24">
        <v>2039</v>
      </c>
      <c r="Z11" s="24">
        <v>2040</v>
      </c>
      <c r="AA11" s="24">
        <v>2041</v>
      </c>
      <c r="AB11" s="24">
        <v>2042</v>
      </c>
      <c r="AC11" s="24">
        <v>2043</v>
      </c>
      <c r="AD11" s="24">
        <v>2044</v>
      </c>
      <c r="AE11" s="24">
        <v>2045</v>
      </c>
      <c r="AF11" s="24">
        <v>2046</v>
      </c>
      <c r="AG11" s="24">
        <v>2047</v>
      </c>
      <c r="AH11" s="24">
        <v>2048</v>
      </c>
      <c r="AI11" s="24">
        <v>2049</v>
      </c>
      <c r="AJ11" s="24">
        <v>2050</v>
      </c>
      <c r="AK11" s="24">
        <v>2051</v>
      </c>
      <c r="AL11" s="25">
        <v>2052</v>
      </c>
      <c r="AM11" s="10"/>
    </row>
    <row r="12" spans="2:39" ht="15">
      <c r="B12" s="10"/>
      <c r="C12" s="57" t="str">
        <f ca="1">"Stds Case (CSL " &amp; stdCSL &amp; "): " &amp; INDEX(_doName,4,stdCSL+1)</f>
        <v>Stds Case (CSL 5): EL 5</v>
      </c>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3"/>
      <c r="AM12" s="10"/>
    </row>
    <row r="13" spans="2:39" ht="15">
      <c r="B13" s="10"/>
      <c r="C13" s="16" t="s">
        <v>94</v>
      </c>
      <c r="D13" s="12" t="str">
        <f>_yearDol &amp; "$"</f>
        <v>2015$</v>
      </c>
      <c r="E13" s="13">
        <f t="array" aca="1" ref="E13:AL13" ca="1">tecsU-tiecU</f>
        <v>0</v>
      </c>
      <c r="F13" s="13">
        <f ca="1"/>
        <v>0</v>
      </c>
      <c r="G13" s="13">
        <f ca="1"/>
        <v>0</v>
      </c>
      <c r="H13" s="13">
        <f ca="1"/>
        <v>237.80970612835881</v>
      </c>
      <c r="I13" s="13">
        <f ca="1"/>
        <v>239.82616187102758</v>
      </c>
      <c r="J13" s="13">
        <f ca="1"/>
        <v>241.85558469627358</v>
      </c>
      <c r="K13" s="13">
        <f ca="1"/>
        <v>243.89805996141149</v>
      </c>
      <c r="L13" s="13">
        <f ca="1"/>
        <v>245.95367359964803</v>
      </c>
      <c r="M13" s="13">
        <f ca="1"/>
        <v>248.02251212416013</v>
      </c>
      <c r="N13" s="13">
        <f ca="1"/>
        <v>250.10466263206763</v>
      </c>
      <c r="O13" s="13">
        <f ca="1"/>
        <v>252.20021280846777</v>
      </c>
      <c r="P13" s="13">
        <f ca="1"/>
        <v>254.30925093054975</v>
      </c>
      <c r="Q13" s="13">
        <f ca="1"/>
        <v>256.43186587166929</v>
      </c>
      <c r="R13" s="13">
        <f ca="1"/>
        <v>258.56814710542676</v>
      </c>
      <c r="S13" s="13">
        <f ca="1"/>
        <v>260.71818470991275</v>
      </c>
      <c r="T13" s="13">
        <f ca="1"/>
        <v>262.88206937184077</v>
      </c>
      <c r="U13" s="13">
        <f ca="1"/>
        <v>265.05989239078554</v>
      </c>
      <c r="V13" s="13">
        <f ca="1"/>
        <v>267.25174568337752</v>
      </c>
      <c r="W13" s="13">
        <f ca="1"/>
        <v>269.4577217876431</v>
      </c>
      <c r="X13" s="13">
        <f ca="1"/>
        <v>271.67791386729004</v>
      </c>
      <c r="Y13" s="13">
        <f ca="1"/>
        <v>273.91241571607679</v>
      </c>
      <c r="Z13" s="13">
        <f ca="1"/>
        <v>276.16132176207975</v>
      </c>
      <c r="AA13" s="13">
        <f ca="1"/>
        <v>278.42472707218622</v>
      </c>
      <c r="AB13" s="13">
        <f ca="1"/>
        <v>280.70272735652179</v>
      </c>
      <c r="AC13" s="13">
        <f ca="1"/>
        <v>282.99541897285235</v>
      </c>
      <c r="AD13" s="13">
        <f ca="1"/>
        <v>285.30289893114968</v>
      </c>
      <c r="AE13" s="13">
        <f ca="1"/>
        <v>287.62526489801166</v>
      </c>
      <c r="AF13" s="13">
        <f ca="1"/>
        <v>289.96261520138432</v>
      </c>
      <c r="AG13" s="13">
        <f ca="1"/>
        <v>292.31504883497837</v>
      </c>
      <c r="AH13" s="13">
        <f ca="1"/>
        <v>294.68266546300219</v>
      </c>
      <c r="AI13" s="13">
        <f ca="1"/>
        <v>297.06556542479302</v>
      </c>
      <c r="AJ13" s="13">
        <f ca="1"/>
        <v>299.46384973945169</v>
      </c>
      <c r="AK13" s="13">
        <f ca="1"/>
        <v>301.87762011065934</v>
      </c>
      <c r="AL13" s="56">
        <f ca="1"/>
        <v>304.30697893133765</v>
      </c>
      <c r="AM13" s="10"/>
    </row>
    <row r="14" spans="2:39" ht="15">
      <c r="B14" s="10"/>
      <c r="C14" s="16" t="s">
        <v>95</v>
      </c>
      <c r="D14" s="12" t="str">
        <f>_yearDol &amp; "$"</f>
        <v>2015$</v>
      </c>
      <c r="E14" s="13">
        <f t="array" ref="E14:AL14">tlccQmPol-tlccQmBC</f>
        <v>0</v>
      </c>
      <c r="F14" s="13">
        <v>0</v>
      </c>
      <c r="G14" s="13">
        <v>0</v>
      </c>
      <c r="H14" s="13">
        <f ca="1"/>
        <v>82.430719875741488</v>
      </c>
      <c r="I14" s="13">
        <f ca="1"/>
        <v>82.430719875741488</v>
      </c>
      <c r="J14" s="13">
        <f ca="1"/>
        <v>82.430719875741488</v>
      </c>
      <c r="K14" s="13">
        <f ca="1"/>
        <v>82.430719875741488</v>
      </c>
      <c r="L14" s="13">
        <f ca="1"/>
        <v>82.430719875741488</v>
      </c>
      <c r="M14" s="13">
        <f ca="1"/>
        <v>82.430719875741488</v>
      </c>
      <c r="N14" s="13">
        <f ca="1"/>
        <v>82.430719875741488</v>
      </c>
      <c r="O14" s="13">
        <f ca="1"/>
        <v>82.430719875741488</v>
      </c>
      <c r="P14" s="13">
        <f ca="1"/>
        <v>82.430719875741488</v>
      </c>
      <c r="Q14" s="13">
        <f ca="1"/>
        <v>82.430719875741488</v>
      </c>
      <c r="R14" s="13">
        <f ca="1"/>
        <v>82.430719875741488</v>
      </c>
      <c r="S14" s="13">
        <f ca="1"/>
        <v>82.430719875741488</v>
      </c>
      <c r="T14" s="13">
        <f ca="1"/>
        <v>82.430719875741488</v>
      </c>
      <c r="U14" s="13">
        <f ca="1"/>
        <v>82.430719875741488</v>
      </c>
      <c r="V14" s="13">
        <f ca="1"/>
        <v>82.430719875741488</v>
      </c>
      <c r="W14" s="13">
        <f ca="1"/>
        <v>82.430719875741488</v>
      </c>
      <c r="X14" s="13">
        <f ca="1"/>
        <v>82.430719875741488</v>
      </c>
      <c r="Y14" s="13">
        <f ca="1"/>
        <v>82.430719875741488</v>
      </c>
      <c r="Z14" s="13">
        <f ca="1"/>
        <v>82.430719875741488</v>
      </c>
      <c r="AA14" s="13">
        <f ca="1"/>
        <v>82.430719875741488</v>
      </c>
      <c r="AB14" s="13">
        <f ca="1"/>
        <v>82.430719875741488</v>
      </c>
      <c r="AC14" s="13">
        <f ca="1"/>
        <v>82.430719875741488</v>
      </c>
      <c r="AD14" s="13">
        <f ca="1"/>
        <v>82.430719875741488</v>
      </c>
      <c r="AE14" s="13">
        <f ca="1"/>
        <v>82.430719875741488</v>
      </c>
      <c r="AF14" s="13">
        <f ca="1"/>
        <v>82.430719875741488</v>
      </c>
      <c r="AG14" s="13">
        <f ca="1"/>
        <v>82.430719875741488</v>
      </c>
      <c r="AH14" s="13">
        <f ca="1"/>
        <v>82.430719875741488</v>
      </c>
      <c r="AI14" s="13">
        <f ca="1"/>
        <v>82.430719875741488</v>
      </c>
      <c r="AJ14" s="13">
        <f ca="1"/>
        <v>82.430719875741488</v>
      </c>
      <c r="AK14" s="13">
        <f ca="1"/>
        <v>82.430719875741488</v>
      </c>
      <c r="AL14" s="56">
        <f ca="1"/>
        <v>82.430719875741488</v>
      </c>
      <c r="AM14" s="10"/>
    </row>
    <row r="15" spans="2:39" ht="15">
      <c r="B15" s="10"/>
      <c r="C15" s="16" t="str">
        <f>zEO&amp;" Costs Savings"</f>
        <v>Operating Costs Savings</v>
      </c>
      <c r="D15" s="12" t="str">
        <f>_yearDol &amp; "$"</f>
        <v>2015$</v>
      </c>
      <c r="E15" s="13">
        <f t="array" aca="1" ref="E15:AL15" ca="1">tlccEmBC-tlccEmPol</f>
        <v>0</v>
      </c>
      <c r="F15" s="13">
        <f ca="1"/>
        <v>0</v>
      </c>
      <c r="G15" s="13">
        <f ca="1"/>
        <v>0</v>
      </c>
      <c r="H15" s="13">
        <f ca="1"/>
        <v>320.2404260041003</v>
      </c>
      <c r="I15" s="13">
        <f ca="1"/>
        <v>322.25688174676907</v>
      </c>
      <c r="J15" s="13">
        <f ca="1"/>
        <v>324.28630457201507</v>
      </c>
      <c r="K15" s="13">
        <f ca="1"/>
        <v>326.32877983715298</v>
      </c>
      <c r="L15" s="13">
        <f ca="1"/>
        <v>328.38439347538952</v>
      </c>
      <c r="M15" s="13">
        <f ca="1"/>
        <v>330.45323199990162</v>
      </c>
      <c r="N15" s="13">
        <f ca="1"/>
        <v>332.53538250780912</v>
      </c>
      <c r="O15" s="13">
        <f ca="1"/>
        <v>334.63093268420926</v>
      </c>
      <c r="P15" s="13">
        <f ca="1"/>
        <v>336.73997080629124</v>
      </c>
      <c r="Q15" s="13">
        <f ca="1"/>
        <v>338.86258574741078</v>
      </c>
      <c r="R15" s="13">
        <f ca="1"/>
        <v>340.99886698116825</v>
      </c>
      <c r="S15" s="13">
        <f ca="1"/>
        <v>343.14890458565424</v>
      </c>
      <c r="T15" s="13">
        <f ca="1"/>
        <v>345.31278924758226</v>
      </c>
      <c r="U15" s="13">
        <f ca="1"/>
        <v>347.49061226652702</v>
      </c>
      <c r="V15" s="13">
        <f ca="1"/>
        <v>349.68246555911901</v>
      </c>
      <c r="W15" s="13">
        <f ca="1"/>
        <v>351.88844166338458</v>
      </c>
      <c r="X15" s="13">
        <f ca="1"/>
        <v>354.10863374303153</v>
      </c>
      <c r="Y15" s="13">
        <f ca="1"/>
        <v>356.34313559181828</v>
      </c>
      <c r="Z15" s="13">
        <f ca="1"/>
        <v>358.59204163782124</v>
      </c>
      <c r="AA15" s="13">
        <f ca="1"/>
        <v>360.8554469479277</v>
      </c>
      <c r="AB15" s="13">
        <f ca="1"/>
        <v>363.13344723226328</v>
      </c>
      <c r="AC15" s="13">
        <f ca="1"/>
        <v>365.42613884859384</v>
      </c>
      <c r="AD15" s="13">
        <f ca="1"/>
        <v>367.73361880689117</v>
      </c>
      <c r="AE15" s="13">
        <f ca="1"/>
        <v>370.05598477375315</v>
      </c>
      <c r="AF15" s="13">
        <f ca="1"/>
        <v>372.39333507712581</v>
      </c>
      <c r="AG15" s="13">
        <f ca="1"/>
        <v>374.74576871071986</v>
      </c>
      <c r="AH15" s="13">
        <f ca="1"/>
        <v>377.11338533874368</v>
      </c>
      <c r="AI15" s="13">
        <f ca="1"/>
        <v>379.49628530053451</v>
      </c>
      <c r="AJ15" s="13">
        <f ca="1"/>
        <v>381.89456961519318</v>
      </c>
      <c r="AK15" s="13">
        <f ca="1"/>
        <v>384.30833998640082</v>
      </c>
      <c r="AL15" s="56">
        <f ca="1"/>
        <v>386.73769880707914</v>
      </c>
      <c r="AM15" s="10"/>
    </row>
    <row r="16" spans="2:39" ht="15">
      <c r="B16" s="10"/>
      <c r="C16" s="16" t="s">
        <v>96</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5"/>
      <c r="AM16" s="10"/>
    </row>
    <row r="17" spans="2:39" ht="15">
      <c r="B17" s="10"/>
      <c r="C17" s="45" t="str">
        <f>INDEX(_fuel,1)</f>
        <v>Electricity</v>
      </c>
      <c r="D17" s="18" t="s">
        <v>83</v>
      </c>
      <c r="E17" s="49">
        <f t="array" aca="1" ref="E17:AL17" ca="1">tlccFmElecBC-tlccFmElecPol</f>
        <v>0</v>
      </c>
      <c r="F17" s="49">
        <f ca="1"/>
        <v>0</v>
      </c>
      <c r="G17" s="49">
        <f ca="1"/>
        <v>0</v>
      </c>
      <c r="H17" s="49">
        <f ca="1"/>
        <v>50.545098953904017</v>
      </c>
      <c r="I17" s="49">
        <f ca="1"/>
        <v>50.157764544892416</v>
      </c>
      <c r="J17" s="49">
        <f ca="1"/>
        <v>49.853809223886856</v>
      </c>
      <c r="K17" s="49">
        <f ca="1"/>
        <v>49.598205204799342</v>
      </c>
      <c r="L17" s="49">
        <f ca="1"/>
        <v>49.338919126302244</v>
      </c>
      <c r="M17" s="49">
        <f ca="1"/>
        <v>49.128647786985312</v>
      </c>
      <c r="N17" s="49">
        <f ca="1"/>
        <v>48.980399804611807</v>
      </c>
      <c r="O17" s="49">
        <f ca="1"/>
        <v>48.869774297618733</v>
      </c>
      <c r="P17" s="49">
        <f ca="1"/>
        <v>48.77533417915447</v>
      </c>
      <c r="Q17" s="49">
        <f ca="1"/>
        <v>48.70441124658646</v>
      </c>
      <c r="R17" s="49">
        <f ca="1"/>
        <v>48.649397648372087</v>
      </c>
      <c r="S17" s="49">
        <f ca="1"/>
        <v>48.638173595749322</v>
      </c>
      <c r="T17" s="49">
        <f ca="1"/>
        <v>48.646892588638366</v>
      </c>
      <c r="U17" s="49">
        <f ca="1"/>
        <v>48.662294688820111</v>
      </c>
      <c r="V17" s="49">
        <f ca="1"/>
        <v>48.686147453144713</v>
      </c>
      <c r="W17" s="49">
        <f ca="1"/>
        <v>48.70913788773214</v>
      </c>
      <c r="X17" s="49">
        <f ca="1"/>
        <v>48.728231756341302</v>
      </c>
      <c r="Y17" s="49">
        <f ca="1"/>
        <v>48.741023537405908</v>
      </c>
      <c r="Z17" s="49">
        <f ca="1"/>
        <v>48.749832573009371</v>
      </c>
      <c r="AA17" s="49">
        <f ca="1"/>
        <v>48.749832573009371</v>
      </c>
      <c r="AB17" s="49">
        <f ca="1"/>
        <v>48.749832573009371</v>
      </c>
      <c r="AC17" s="49">
        <f ca="1"/>
        <v>48.749832573009371</v>
      </c>
      <c r="AD17" s="49">
        <f ca="1"/>
        <v>48.749832573009371</v>
      </c>
      <c r="AE17" s="49">
        <f ca="1"/>
        <v>48.749832573009371</v>
      </c>
      <c r="AF17" s="49">
        <f ca="1"/>
        <v>48.749832573009371</v>
      </c>
      <c r="AG17" s="49">
        <f ca="1"/>
        <v>48.749832573009371</v>
      </c>
      <c r="AH17" s="49">
        <f ca="1"/>
        <v>48.749832573009371</v>
      </c>
      <c r="AI17" s="49">
        <f ca="1"/>
        <v>48.749832573009371</v>
      </c>
      <c r="AJ17" s="49">
        <f ca="1"/>
        <v>48.749832573009371</v>
      </c>
      <c r="AK17" s="49">
        <f ca="1"/>
        <v>48.749832573009371</v>
      </c>
      <c r="AL17" s="50">
        <f ca="1"/>
        <v>48.749832573009371</v>
      </c>
      <c r="AM17" s="10"/>
    </row>
    <row r="18" spans="2:39" ht="15">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2:39" ht="15">
      <c r="B19" s="10"/>
      <c r="C19" s="22" t="s">
        <v>92</v>
      </c>
      <c r="D19" s="23"/>
      <c r="E19" s="24">
        <f t="array" ref="E19:AL19">_yS</f>
        <v>2019</v>
      </c>
      <c r="F19" s="24">
        <v>2020</v>
      </c>
      <c r="G19" s="24">
        <v>2021</v>
      </c>
      <c r="H19" s="24">
        <v>2022</v>
      </c>
      <c r="I19" s="24">
        <v>2023</v>
      </c>
      <c r="J19" s="24">
        <v>2024</v>
      </c>
      <c r="K19" s="24">
        <v>2025</v>
      </c>
      <c r="L19" s="24">
        <v>2026</v>
      </c>
      <c r="M19" s="24">
        <v>2027</v>
      </c>
      <c r="N19" s="24">
        <v>2028</v>
      </c>
      <c r="O19" s="24">
        <v>2029</v>
      </c>
      <c r="P19" s="24">
        <v>2030</v>
      </c>
      <c r="Q19" s="24">
        <v>2031</v>
      </c>
      <c r="R19" s="24">
        <v>2032</v>
      </c>
      <c r="S19" s="24">
        <v>2033</v>
      </c>
      <c r="T19" s="24">
        <v>2034</v>
      </c>
      <c r="U19" s="24">
        <v>2035</v>
      </c>
      <c r="V19" s="24">
        <v>2036</v>
      </c>
      <c r="W19" s="24">
        <v>2037</v>
      </c>
      <c r="X19" s="24">
        <v>2038</v>
      </c>
      <c r="Y19" s="24">
        <v>2039</v>
      </c>
      <c r="Z19" s="24">
        <v>2040</v>
      </c>
      <c r="AA19" s="24">
        <v>2041</v>
      </c>
      <c r="AB19" s="24">
        <v>2042</v>
      </c>
      <c r="AC19" s="24">
        <v>2043</v>
      </c>
      <c r="AD19" s="24">
        <v>2044</v>
      </c>
      <c r="AE19" s="24">
        <v>2045</v>
      </c>
      <c r="AF19" s="24">
        <v>2046</v>
      </c>
      <c r="AG19" s="24">
        <v>2047</v>
      </c>
      <c r="AH19" s="24">
        <v>2048</v>
      </c>
      <c r="AI19" s="24">
        <v>2049</v>
      </c>
      <c r="AJ19" s="24">
        <v>2050</v>
      </c>
      <c r="AK19" s="24">
        <v>2051</v>
      </c>
      <c r="AL19" s="25">
        <v>2052</v>
      </c>
      <c r="AM19" s="10"/>
    </row>
    <row r="20" spans="2:39" ht="15">
      <c r="B20" s="10"/>
      <c r="C20" s="27" t="str">
        <f>"No-Stds Case (CSL 0): " &amp; INDEX(_doName,4,1)</f>
        <v>No-Stds Case (CSL 0): EL 3</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5"/>
      <c r="AM20" s="10"/>
    </row>
    <row r="21" spans="2:39" ht="15">
      <c r="B21" s="10"/>
      <c r="C21" s="16" t="s">
        <v>69</v>
      </c>
      <c r="D21" s="12" t="str">
        <f>_yearDol &amp; "$"</f>
        <v>2015$</v>
      </c>
      <c r="E21" s="13">
        <f>SUMPRODUCT(INDEX(bcEff,,1),INDEX(tlccQubc,,1))</f>
        <v>4088.0096434373554</v>
      </c>
      <c r="F21" s="13">
        <f>SUMPRODUCT(INDEX(bcEff,,2),INDEX(tlccQubc,,2))</f>
        <v>4088.0096434373554</v>
      </c>
      <c r="G21" s="13">
        <f>SUMPRODUCT(INDEX(bcEff,,3),INDEX(tlccQubc,,3))</f>
        <v>4088.0096434373554</v>
      </c>
      <c r="H21" s="13">
        <f>SUMPRODUCT(INDEX(bcEff,,4),INDEX(tlccQubc,,4))</f>
        <v>4088.0096434373554</v>
      </c>
      <c r="I21" s="13">
        <f>SUMPRODUCT(INDEX(bcEff,,5),INDEX(tlccQubc,,5))</f>
        <v>4088.0096434373554</v>
      </c>
      <c r="J21" s="13">
        <f>SUMPRODUCT(INDEX(bcEff,,6),INDEX(tlccQubc,,6))</f>
        <v>4088.0096434373554</v>
      </c>
      <c r="K21" s="13">
        <f>SUMPRODUCT(INDEX(bcEff,,7),INDEX(tlccQubc,,7))</f>
        <v>4088.0096434373554</v>
      </c>
      <c r="L21" s="13">
        <f>SUMPRODUCT(INDEX(bcEff,,8),INDEX(tlccQubc,,8))</f>
        <v>4088.0096434373554</v>
      </c>
      <c r="M21" s="13">
        <f>SUMPRODUCT(INDEX(bcEff,,9),INDEX(tlccQubc,,9))</f>
        <v>4088.0096434373554</v>
      </c>
      <c r="N21" s="13">
        <f>SUMPRODUCT(INDEX(bcEff,,10),INDEX(tlccQubc,,10))</f>
        <v>4088.0096434373554</v>
      </c>
      <c r="O21" s="13">
        <f>SUMPRODUCT(INDEX(bcEff,,11),INDEX(tlccQubc,,11))</f>
        <v>4088.0096434373554</v>
      </c>
      <c r="P21" s="13">
        <f>SUMPRODUCT(INDEX(bcEff,,12),INDEX(tlccQubc,,12))</f>
        <v>4088.0096434373554</v>
      </c>
      <c r="Q21" s="13">
        <f>SUMPRODUCT(INDEX(bcEff,,13),INDEX(tlccQubc,,13))</f>
        <v>4088.0096434373554</v>
      </c>
      <c r="R21" s="13">
        <f>SUMPRODUCT(INDEX(bcEff,,14),INDEX(tlccQubc,,14))</f>
        <v>4088.0096434373554</v>
      </c>
      <c r="S21" s="13">
        <f>SUMPRODUCT(INDEX(bcEff,,15),INDEX(tlccQubc,,15))</f>
        <v>4088.0096434373554</v>
      </c>
      <c r="T21" s="13">
        <f>SUMPRODUCT(INDEX(bcEff,,16),INDEX(tlccQubc,,16))</f>
        <v>4088.0096434373554</v>
      </c>
      <c r="U21" s="13">
        <f>SUMPRODUCT(INDEX(bcEff,,17),INDEX(tlccQubc,,17))</f>
        <v>4088.0096434373554</v>
      </c>
      <c r="V21" s="13">
        <f>SUMPRODUCT(INDEX(bcEff,,18),INDEX(tlccQubc,,18))</f>
        <v>4088.0096434373554</v>
      </c>
      <c r="W21" s="13">
        <f>SUMPRODUCT(INDEX(bcEff,,19),INDEX(tlccQubc,,19))</f>
        <v>4088.0096434373554</v>
      </c>
      <c r="X21" s="13">
        <f>SUMPRODUCT(INDEX(bcEff,,20),INDEX(tlccQubc,,20))</f>
        <v>4088.0096434373554</v>
      </c>
      <c r="Y21" s="13">
        <f>SUMPRODUCT(INDEX(bcEff,,21),INDEX(tlccQubc,,21))</f>
        <v>4088.0096434373554</v>
      </c>
      <c r="Z21" s="13">
        <f>SUMPRODUCT(INDEX(bcEff,,22),INDEX(tlccQubc,,22))</f>
        <v>4088.0096434373554</v>
      </c>
      <c r="AA21" s="13">
        <f>SUMPRODUCT(INDEX(bcEff,,23),INDEX(tlccQubc,,23))</f>
        <v>4088.0096434373554</v>
      </c>
      <c r="AB21" s="13">
        <f>SUMPRODUCT(INDEX(bcEff,,24),INDEX(tlccQubc,,24))</f>
        <v>4088.0096434373554</v>
      </c>
      <c r="AC21" s="13">
        <f>SUMPRODUCT(INDEX(bcEff,,25),INDEX(tlccQubc,,25))</f>
        <v>4088.0096434373554</v>
      </c>
      <c r="AD21" s="13">
        <f>SUMPRODUCT(INDEX(bcEff,,26),INDEX(tlccQubc,,26))</f>
        <v>4088.0096434373554</v>
      </c>
      <c r="AE21" s="13">
        <f>SUMPRODUCT(INDEX(bcEff,,27),INDEX(tlccQubc,,27))</f>
        <v>4088.0096434373554</v>
      </c>
      <c r="AF21" s="13">
        <f>SUMPRODUCT(INDEX(bcEff,,28),INDEX(tlccQubc,,28))</f>
        <v>4088.0096434373554</v>
      </c>
      <c r="AG21" s="13">
        <f>SUMPRODUCT(INDEX(bcEff,,29),INDEX(tlccQubc,,29))</f>
        <v>4088.0096434373554</v>
      </c>
      <c r="AH21" s="13">
        <f>SUMPRODUCT(INDEX(bcEff,,30),INDEX(tlccQubc,,30))</f>
        <v>4088.0096434373554</v>
      </c>
      <c r="AI21" s="13">
        <f>SUMPRODUCT(INDEX(bcEff,,31),INDEX(tlccQubc,,31))</f>
        <v>4088.0096434373554</v>
      </c>
      <c r="AJ21" s="13">
        <f>SUMPRODUCT(INDEX(bcEff,,32),INDEX(tlccQubc,,32))</f>
        <v>4088.0096434373554</v>
      </c>
      <c r="AK21" s="13">
        <f>SUMPRODUCT(INDEX(bcEff,,33),INDEX(tlccQubc,,33))</f>
        <v>4088.0096434373554</v>
      </c>
      <c r="AL21" s="56">
        <f>SUMPRODUCT(INDEX(bcEff,,34),INDEX(tlccQubc,,34))</f>
        <v>4088.0096434373554</v>
      </c>
      <c r="AM21" s="10"/>
    </row>
    <row r="22" spans="2:39" ht="15">
      <c r="B22" s="10"/>
      <c r="C22" s="16" t="str">
        <f>zEO&amp;" Costs"</f>
        <v>Operating Costs</v>
      </c>
      <c r="D22" s="12" t="str">
        <f>_yearDol &amp; "$"</f>
        <v>2015$</v>
      </c>
      <c r="E22" s="13">
        <f ca="1">SUMPRODUCT(INDEX(bcEff,,1),INDEX(tlccEubc,,1))</f>
        <v>26159.860846462008</v>
      </c>
      <c r="F22" s="13">
        <f ca="1">SUMPRODUCT(INDEX(bcEff,,2),INDEX(tlccEubc,,2))</f>
        <v>26382.974139879439</v>
      </c>
      <c r="G22" s="13">
        <f ca="1">SUMPRODUCT(INDEX(bcEff,,3),INDEX(tlccEubc,,3))</f>
        <v>26598.028594513678</v>
      </c>
      <c r="H22" s="13">
        <f ca="1">SUMPRODUCT(INDEX(bcEff,,4),INDEX(tlccEubc,,4))</f>
        <v>26788.102985666628</v>
      </c>
      <c r="I22" s="13">
        <f ca="1">SUMPRODUCT(INDEX(bcEff,,5),INDEX(tlccEubc,,5))</f>
        <v>26956.779454076572</v>
      </c>
      <c r="J22" s="13">
        <f ca="1">SUMPRODUCT(INDEX(bcEff,,6),INDEX(tlccEubc,,6))</f>
        <v>27126.540618595674</v>
      </c>
      <c r="K22" s="13">
        <f ca="1">SUMPRODUCT(INDEX(bcEff,,7),INDEX(tlccEubc,,7))</f>
        <v>27297.393619357641</v>
      </c>
      <c r="L22" s="13">
        <f ca="1">SUMPRODUCT(INDEX(bcEff,,8),INDEX(tlccEubc,,8))</f>
        <v>27469.345644674777</v>
      </c>
      <c r="M22" s="13">
        <f ca="1">SUMPRODUCT(INDEX(bcEff,,9),INDEX(tlccEubc,,9))</f>
        <v>27642.403931371286</v>
      </c>
      <c r="N22" s="13">
        <f ca="1">SUMPRODUCT(INDEX(bcEff,,10),INDEX(tlccEubc,,10))</f>
        <v>27816.575765118952</v>
      </c>
      <c r="O22" s="13">
        <f ca="1">SUMPRODUCT(INDEX(bcEff,,11),INDEX(tlccEubc,,11))</f>
        <v>27991.868480775203</v>
      </c>
      <c r="P22" s="13">
        <f ca="1">SUMPRODUCT(INDEX(bcEff,,12),INDEX(tlccEubc,,12))</f>
        <v>28168.289462723547</v>
      </c>
      <c r="Q22" s="13">
        <f ca="1">SUMPRODUCT(INDEX(bcEff,,13),INDEX(tlccEubc,,13))</f>
        <v>28345.846145216463</v>
      </c>
      <c r="R22" s="13">
        <f ca="1">SUMPRODUCT(INDEX(bcEff,,14),INDEX(tlccEubc,,14))</f>
        <v>28524.546012720628</v>
      </c>
      <c r="S22" s="13">
        <f ca="1">SUMPRODUCT(INDEX(bcEff,,15),INDEX(tlccEubc,,15))</f>
        <v>28704.396600264703</v>
      </c>
      <c r="T22" s="13">
        <f ca="1">SUMPRODUCT(INDEX(bcEff,,16),INDEX(tlccEubc,,16))</f>
        <v>28885.405493789538</v>
      </c>
      <c r="U22" s="13">
        <f ca="1">SUMPRODUCT(INDEX(bcEff,,17),INDEX(tlccEubc,,17))</f>
        <v>29067.580330500881</v>
      </c>
      <c r="V22" s="13">
        <f ca="1">SUMPRODUCT(INDEX(bcEff,,18),INDEX(tlccEubc,,18))</f>
        <v>29250.928799224494</v>
      </c>
      <c r="W22" s="13">
        <f ca="1">SUMPRODUCT(INDEX(bcEff,,19),INDEX(tlccEubc,,19))</f>
        <v>29435.45864076398</v>
      </c>
      <c r="X22" s="13">
        <f ca="1">SUMPRODUCT(INDEX(bcEff,,20),INDEX(tlccEubc,,20))</f>
        <v>29621.177648260935</v>
      </c>
      <c r="Y22" s="13">
        <f ca="1">SUMPRODUCT(INDEX(bcEff,,21),INDEX(tlccEubc,,21))</f>
        <v>29808.093667557863</v>
      </c>
      <c r="Z22" s="13">
        <f ca="1">SUMPRODUCT(INDEX(bcEff,,22),INDEX(tlccEubc,,22))</f>
        <v>29996.214597563448</v>
      </c>
      <c r="AA22" s="13">
        <f ca="1">SUMPRODUCT(INDEX(bcEff,,23),INDEX(tlccEubc,,23))</f>
        <v>30185.548390620599</v>
      </c>
      <c r="AB22" s="13">
        <f ca="1">SUMPRODUCT(INDEX(bcEff,,24),INDEX(tlccEubc,,24))</f>
        <v>30376.103052877046</v>
      </c>
      <c r="AC22" s="13">
        <f ca="1">SUMPRODUCT(INDEX(bcEff,,25),INDEX(tlccEubc,,25))</f>
        <v>30567.886644658545</v>
      </c>
      <c r="AD22" s="13">
        <f ca="1">SUMPRODUCT(INDEX(bcEff,,26),INDEX(tlccEubc,,26))</f>
        <v>30760.907280844807</v>
      </c>
      <c r="AE22" s="13">
        <f ca="1">SUMPRODUCT(INDEX(bcEff,,27),INDEX(tlccEubc,,27))</f>
        <v>30955.173131247917</v>
      </c>
      <c r="AF22" s="13">
        <f ca="1">SUMPRODUCT(INDEX(bcEff,,28),INDEX(tlccEubc,,28))</f>
        <v>31150.692420993728</v>
      </c>
      <c r="AG22" s="13">
        <f ca="1">SUMPRODUCT(INDEX(bcEff,,29),INDEX(tlccEubc,,29))</f>
        <v>31347.473430905764</v>
      </c>
      <c r="AH22" s="13">
        <f ca="1">SUMPRODUCT(INDEX(bcEff,,30),INDEX(tlccEubc,,30))</f>
        <v>31545.524497891791</v>
      </c>
      <c r="AI22" s="13">
        <f ca="1">SUMPRODUCT(INDEX(bcEff,,31),INDEX(tlccEubc,,31))</f>
        <v>31744.854015333396</v>
      </c>
      <c r="AJ22" s="13">
        <f ca="1">SUMPRODUCT(INDEX(bcEff,,32),INDEX(tlccEubc,,32))</f>
        <v>31945.470433478047</v>
      </c>
      <c r="AK22" s="13">
        <f ca="1">SUMPRODUCT(INDEX(bcEff,,33),INDEX(tlccEubc,,33))</f>
        <v>32147.382259834205</v>
      </c>
      <c r="AL22" s="56">
        <f ca="1">SUMPRODUCT(INDEX(bcEff,,34),INDEX(tlccEubc,,34))</f>
        <v>32350.598059569042</v>
      </c>
      <c r="AM22" s="10"/>
    </row>
    <row r="23" spans="2:39" ht="15">
      <c r="B23" s="10"/>
      <c r="C23" s="16" t="s">
        <v>79</v>
      </c>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5"/>
      <c r="AM23" s="10"/>
    </row>
    <row r="24" spans="2:39" ht="15">
      <c r="B24" s="10"/>
      <c r="C24" s="28" t="str">
        <f>INDEX(_fuel,1)</f>
        <v>Electricity</v>
      </c>
      <c r="D24" s="12" t="s">
        <v>83</v>
      </c>
      <c r="E24" s="39">
        <f ca="1">SUMPRODUCT(INDEX(bcEff,,1),INDEX(tlccFubcElec,,1))</f>
        <v>4345.9330370754287</v>
      </c>
      <c r="F24" s="39">
        <f ca="1">SUMPRODUCT(INDEX(bcEff,,2),INDEX(tlccFubcElec,,2))</f>
        <v>4303.0009726369526</v>
      </c>
      <c r="G24" s="39">
        <f ca="1">SUMPRODUCT(INDEX(bcEff,,3),INDEX(tlccFubcElec,,3))</f>
        <v>4264.7956819675874</v>
      </c>
      <c r="H24" s="39">
        <f ca="1">SUMPRODUCT(INDEX(bcEff,,4),INDEX(tlccFubcElec,,4))</f>
        <v>4228.0961622896111</v>
      </c>
      <c r="I24" s="39">
        <f ca="1">SUMPRODUCT(INDEX(bcEff,,5),INDEX(tlccFubcElec,,5))</f>
        <v>4195.6956494375509</v>
      </c>
      <c r="J24" s="39">
        <f ca="1">SUMPRODUCT(INDEX(bcEff,,6),INDEX(tlccFubcElec,,6))</f>
        <v>4170.2697950451493</v>
      </c>
      <c r="K24" s="39">
        <f ca="1">SUMPRODUCT(INDEX(bcEff,,7),INDEX(tlccFubcElec,,7))</f>
        <v>4148.8885257522043</v>
      </c>
      <c r="L24" s="39">
        <f ca="1">SUMPRODUCT(INDEX(bcEff,,8),INDEX(tlccFubcElec,,8))</f>
        <v>4127.199252289166</v>
      </c>
      <c r="M24" s="39">
        <f ca="1">SUMPRODUCT(INDEX(bcEff,,9),INDEX(tlccFubcElec,,9))</f>
        <v>4109.6100604346648</v>
      </c>
      <c r="N24" s="39">
        <f ca="1">SUMPRODUCT(INDEX(bcEff,,10),INDEX(tlccFubcElec,,10))</f>
        <v>4097.2091207132598</v>
      </c>
      <c r="O24" s="39">
        <f ca="1">SUMPRODUCT(INDEX(bcEff,,11),INDEX(tlccFubcElec,,11))</f>
        <v>4087.9553000412366</v>
      </c>
      <c r="P24" s="39">
        <f ca="1">SUMPRODUCT(INDEX(bcEff,,12),INDEX(tlccFubcElec,,12))</f>
        <v>4080.0553866825421</v>
      </c>
      <c r="Q24" s="39">
        <f ca="1">SUMPRODUCT(INDEX(bcEff,,13),INDEX(tlccFubcElec,,13))</f>
        <v>4074.1226852887889</v>
      </c>
      <c r="R24" s="39">
        <f ca="1">SUMPRODUCT(INDEX(bcEff,,14),INDEX(tlccFubcElec,,14))</f>
        <v>4069.5207992840278</v>
      </c>
      <c r="S24" s="39">
        <f ca="1">SUMPRODUCT(INDEX(bcEff,,15),INDEX(tlccFubcElec,,15))</f>
        <v>4068.5819075852596</v>
      </c>
      <c r="T24" s="39">
        <f ca="1">SUMPRODUCT(INDEX(bcEff,,16),INDEX(tlccFubcElec,,16))</f>
        <v>4069.3112511048894</v>
      </c>
      <c r="U24" s="39">
        <f ca="1">SUMPRODUCT(INDEX(bcEff,,17),INDEX(tlccFubcElec,,17))</f>
        <v>4070.5996363691461</v>
      </c>
      <c r="V24" s="39">
        <f ca="1">SUMPRODUCT(INDEX(bcEff,,18),INDEX(tlccFubcElec,,18))</f>
        <v>4072.5949194606937</v>
      </c>
      <c r="W24" s="39">
        <f ca="1">SUMPRODUCT(INDEX(bcEff,,19),INDEX(tlccFubcElec,,19))</f>
        <v>4074.5180686930107</v>
      </c>
      <c r="X24" s="39">
        <f ca="1">SUMPRODUCT(INDEX(bcEff,,20),INDEX(tlccFubcElec,,20))</f>
        <v>4076.1152702863656</v>
      </c>
      <c r="Y24" s="39">
        <f ca="1">SUMPRODUCT(INDEX(bcEff,,21),INDEX(tlccFubcElec,,21))</f>
        <v>4077.185302426944</v>
      </c>
      <c r="Z24" s="39">
        <f ca="1">SUMPRODUCT(INDEX(bcEff,,22),INDEX(tlccFubcElec,,22))</f>
        <v>4077.9221780172084</v>
      </c>
      <c r="AA24" s="39">
        <f ca="1">SUMPRODUCT(INDEX(bcEff,,23),INDEX(tlccFubcElec,,23))</f>
        <v>4077.9221780172084</v>
      </c>
      <c r="AB24" s="39">
        <f ca="1">SUMPRODUCT(INDEX(bcEff,,24),INDEX(tlccFubcElec,,24))</f>
        <v>4077.9221780172084</v>
      </c>
      <c r="AC24" s="39">
        <f ca="1">SUMPRODUCT(INDEX(bcEff,,25),INDEX(tlccFubcElec,,25))</f>
        <v>4077.9221780172084</v>
      </c>
      <c r="AD24" s="39">
        <f ca="1">SUMPRODUCT(INDEX(bcEff,,26),INDEX(tlccFubcElec,,26))</f>
        <v>4077.9221780172084</v>
      </c>
      <c r="AE24" s="39">
        <f ca="1">SUMPRODUCT(INDEX(bcEff,,27),INDEX(tlccFubcElec,,27))</f>
        <v>4077.9221780172084</v>
      </c>
      <c r="AF24" s="39">
        <f ca="1">SUMPRODUCT(INDEX(bcEff,,28),INDEX(tlccFubcElec,,28))</f>
        <v>4077.9221780172084</v>
      </c>
      <c r="AG24" s="39">
        <f ca="1">SUMPRODUCT(INDEX(bcEff,,29),INDEX(tlccFubcElec,,29))</f>
        <v>4077.9221780172084</v>
      </c>
      <c r="AH24" s="39">
        <f ca="1">SUMPRODUCT(INDEX(bcEff,,30),INDEX(tlccFubcElec,,30))</f>
        <v>4077.9221780172084</v>
      </c>
      <c r="AI24" s="39">
        <f ca="1">SUMPRODUCT(INDEX(bcEff,,31),INDEX(tlccFubcElec,,31))</f>
        <v>4077.9221780172084</v>
      </c>
      <c r="AJ24" s="39">
        <f ca="1">SUMPRODUCT(INDEX(bcEff,,32),INDEX(tlccFubcElec,,32))</f>
        <v>4077.9221780172084</v>
      </c>
      <c r="AK24" s="39">
        <f ca="1">SUMPRODUCT(INDEX(bcEff,,33),INDEX(tlccFubcElec,,33))</f>
        <v>4077.9221780172084</v>
      </c>
      <c r="AL24" s="40">
        <f ca="1">SUMPRODUCT(INDEX(bcEff,,34),INDEX(tlccFubcElec,,34))</f>
        <v>4077.9221780172084</v>
      </c>
      <c r="AM24" s="10"/>
    </row>
    <row r="25" spans="2:39" ht="15">
      <c r="B25" s="10"/>
      <c r="C25" s="41" t="str">
        <f ca="1">"Stds Case (CSL " &amp; stdCSL &amp; "): " &amp; INDEX(_doName,4,stdCSL+1)</f>
        <v>Stds Case (CSL 5): EL 5</v>
      </c>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3"/>
      <c r="AM25" s="10"/>
    </row>
    <row r="26" spans="2:39" ht="15">
      <c r="B26" s="10"/>
      <c r="C26" s="16" t="s">
        <v>69</v>
      </c>
      <c r="D26" s="12" t="str">
        <f>_yearDol &amp; "$"</f>
        <v>2015$</v>
      </c>
      <c r="E26" s="13">
        <f>SUMPRODUCT(INDEX(polEff,,1),INDEX(IF($E$19&lt;yearC,tlccQubc,tlccQupol),,1))</f>
        <v>4088.0096434373554</v>
      </c>
      <c r="F26" s="13">
        <f>SUMPRODUCT(INDEX(polEff,,2),INDEX(IF($F$19&lt;yearC,tlccQubc,tlccQupol),,2))</f>
        <v>4088.0096434373554</v>
      </c>
      <c r="G26" s="13">
        <f>SUMPRODUCT(INDEX(polEff,,3),INDEX(IF($G$19&lt;yearC,tlccQubc,tlccQupol),,3))</f>
        <v>4088.0096434373554</v>
      </c>
      <c r="H26" s="13">
        <f ca="1">SUMPRODUCT(INDEX(polEff,,4),INDEX(IF($H$19&lt;yearC,tlccQubc,tlccQupol),,4))</f>
        <v>4170.4403633130969</v>
      </c>
      <c r="I26" s="13">
        <f ca="1">SUMPRODUCT(INDEX(polEff,,5),INDEX(IF($I$19&lt;yearC,tlccQubc,tlccQupol),,5))</f>
        <v>4170.4403633130969</v>
      </c>
      <c r="J26" s="13">
        <f ca="1">SUMPRODUCT(INDEX(polEff,,6),INDEX(tlccQupol,,6))</f>
        <v>4170.4403633130969</v>
      </c>
      <c r="K26" s="13">
        <f ca="1">SUMPRODUCT(INDEX(polEff,,7),INDEX(tlccQupol,,7))</f>
        <v>4170.4403633130969</v>
      </c>
      <c r="L26" s="13">
        <f ca="1">SUMPRODUCT(INDEX(polEff,,8),INDEX(tlccQupol,,8))</f>
        <v>4170.4403633130969</v>
      </c>
      <c r="M26" s="13">
        <f ca="1">SUMPRODUCT(INDEX(polEff,,9),INDEX(tlccQupol,,9))</f>
        <v>4170.4403633130969</v>
      </c>
      <c r="N26" s="13">
        <f ca="1">SUMPRODUCT(INDEX(polEff,,10),INDEX(tlccQupol,,10))</f>
        <v>4170.4403633130969</v>
      </c>
      <c r="O26" s="13">
        <f ca="1">SUMPRODUCT(INDEX(polEff,,11),INDEX(tlccQupol,,11))</f>
        <v>4170.4403633130969</v>
      </c>
      <c r="P26" s="13">
        <f ca="1">SUMPRODUCT(INDEX(polEff,,12),INDEX(tlccQupol,,12))</f>
        <v>4170.4403633130969</v>
      </c>
      <c r="Q26" s="13">
        <f ca="1">SUMPRODUCT(INDEX(polEff,,13),INDEX(tlccQupol,,13))</f>
        <v>4170.4403633130969</v>
      </c>
      <c r="R26" s="13">
        <f ca="1">SUMPRODUCT(INDEX(polEff,,14),INDEX(tlccQupol,,14))</f>
        <v>4170.4403633130969</v>
      </c>
      <c r="S26" s="13">
        <f ca="1">SUMPRODUCT(INDEX(polEff,,15),INDEX(tlccQupol,,15))</f>
        <v>4170.4403633130969</v>
      </c>
      <c r="T26" s="13">
        <f ca="1">SUMPRODUCT(INDEX(polEff,,16),INDEX(tlccQupol,,16))</f>
        <v>4170.4403633130969</v>
      </c>
      <c r="U26" s="13">
        <f ca="1">SUMPRODUCT(INDEX(polEff,,17),INDEX(tlccQupol,,17))</f>
        <v>4170.4403633130969</v>
      </c>
      <c r="V26" s="13">
        <f ca="1">SUMPRODUCT(INDEX(polEff,,18),INDEX(tlccQupol,,18))</f>
        <v>4170.4403633130969</v>
      </c>
      <c r="W26" s="13">
        <f ca="1">SUMPRODUCT(INDEX(polEff,,19),INDEX(tlccQupol,,19))</f>
        <v>4170.4403633130969</v>
      </c>
      <c r="X26" s="13">
        <f ca="1">SUMPRODUCT(INDEX(polEff,,20),INDEX(tlccQupol,,20))</f>
        <v>4170.4403633130969</v>
      </c>
      <c r="Y26" s="13">
        <f ca="1">SUMPRODUCT(INDEX(polEff,,21),INDEX(tlccQupol,,21))</f>
        <v>4170.4403633130969</v>
      </c>
      <c r="Z26" s="13">
        <f ca="1">SUMPRODUCT(INDEX(polEff,,22),INDEX(tlccQupol,,22))</f>
        <v>4170.4403633130969</v>
      </c>
      <c r="AA26" s="13">
        <f ca="1">SUMPRODUCT(INDEX(polEff,,23),INDEX(tlccQupol,,23))</f>
        <v>4170.4403633130969</v>
      </c>
      <c r="AB26" s="13">
        <f ca="1">SUMPRODUCT(INDEX(polEff,,24),INDEX(tlccQupol,,24))</f>
        <v>4170.4403633130969</v>
      </c>
      <c r="AC26" s="13">
        <f ca="1">SUMPRODUCT(INDEX(polEff,,25),INDEX(tlccQupol,,25))</f>
        <v>4170.4403633130969</v>
      </c>
      <c r="AD26" s="13">
        <f ca="1">SUMPRODUCT(INDEX(polEff,,26),INDEX(tlccQupol,,26))</f>
        <v>4170.4403633130969</v>
      </c>
      <c r="AE26" s="13">
        <f ca="1">SUMPRODUCT(INDEX(polEff,,27),INDEX(tlccQupol,,27))</f>
        <v>4170.4403633130969</v>
      </c>
      <c r="AF26" s="13">
        <f ca="1">SUMPRODUCT(INDEX(polEff,,28),INDEX(tlccQupol,,28))</f>
        <v>4170.4403633130969</v>
      </c>
      <c r="AG26" s="13">
        <f ca="1">SUMPRODUCT(INDEX(polEff,,29),INDEX(tlccQupol,,29))</f>
        <v>4170.4403633130969</v>
      </c>
      <c r="AH26" s="13">
        <f ca="1">SUMPRODUCT(INDEX(polEff,,30),INDEX(tlccQupol,,30))</f>
        <v>4170.4403633130969</v>
      </c>
      <c r="AI26" s="13">
        <f ca="1">SUMPRODUCT(INDEX(polEff,,31),INDEX(tlccQupol,,31))</f>
        <v>4170.4403633130969</v>
      </c>
      <c r="AJ26" s="13">
        <f ca="1">SUMPRODUCT(INDEX(polEff,,32),INDEX(tlccQupol,,32))</f>
        <v>4170.4403633130969</v>
      </c>
      <c r="AK26" s="13">
        <f ca="1">SUMPRODUCT(INDEX(polEff,,33),INDEX(tlccQupol,,33))</f>
        <v>4170.4403633130969</v>
      </c>
      <c r="AL26" s="56">
        <f ca="1">SUMPRODUCT(INDEX(polEff,,34),INDEX(tlccQupol,,34))</f>
        <v>4170.4403633130969</v>
      </c>
      <c r="AM26" s="10"/>
    </row>
    <row r="27" spans="2:39" ht="15">
      <c r="B27" s="10"/>
      <c r="C27" s="16" t="str">
        <f>zEO&amp;" Costs"</f>
        <v>Operating Costs</v>
      </c>
      <c r="D27" s="12" t="str">
        <f>_yearDol &amp; "$"</f>
        <v>2015$</v>
      </c>
      <c r="E27" s="13">
        <f ca="1">SUMPRODUCT(INDEX(polEff,,1),INDEX(IF($E$19&lt;yearC,tlccEubc,tlccEupol),,1))</f>
        <v>26159.860846462008</v>
      </c>
      <c r="F27" s="13">
        <f ca="1">SUMPRODUCT(INDEX(polEff,,2),INDEX(IF($F$19&lt;yearC,tlccEubc,tlccEupol),,2))</f>
        <v>26382.974139879439</v>
      </c>
      <c r="G27" s="13">
        <f ca="1">SUMPRODUCT(INDEX(polEff,,3),INDEX(IF($G$19&lt;yearC,tlccEubc,tlccEupol),,3))</f>
        <v>26598.028594513678</v>
      </c>
      <c r="H27" s="13">
        <f ca="1">SUMPRODUCT(INDEX(polEff,,4),INDEX(IF($H$19&lt;yearC,tlccEubc,tlccEupol),,4))</f>
        <v>26467.862559662528</v>
      </c>
      <c r="I27" s="13">
        <f ca="1">SUMPRODUCT(INDEX(polEff,,5),INDEX(IF($I$19&lt;yearC,tlccEubc,tlccEupol),,5))</f>
        <v>26634.522572329803</v>
      </c>
      <c r="J27" s="13">
        <f ca="1">SUMPRODUCT(INDEX(polEff,,6),INDEX(tlccEupol,,6))</f>
        <v>26802.254314023659</v>
      </c>
      <c r="K27" s="13">
        <f ca="1">SUMPRODUCT(INDEX(polEff,,7),INDEX(tlccEupol,,7))</f>
        <v>26971.064839520488</v>
      </c>
      <c r="L27" s="13">
        <f ca="1">SUMPRODUCT(INDEX(polEff,,8),INDEX(tlccEupol,,8))</f>
        <v>27140.961251199387</v>
      </c>
      <c r="M27" s="13">
        <f ca="1">SUMPRODUCT(INDEX(polEff,,9),INDEX(tlccEupol,,9))</f>
        <v>27311.950699371384</v>
      </c>
      <c r="N27" s="13">
        <f ca="1">SUMPRODUCT(INDEX(polEff,,10),INDEX(tlccEupol,,10))</f>
        <v>27484.040382611143</v>
      </c>
      <c r="O27" s="13">
        <f ca="1">SUMPRODUCT(INDEX(polEff,,11),INDEX(tlccEupol,,11))</f>
        <v>27657.237548090994</v>
      </c>
      <c r="P27" s="13">
        <f ca="1">SUMPRODUCT(INDEX(polEff,,12),INDEX(tlccEupol,,12))</f>
        <v>27831.549491917256</v>
      </c>
      <c r="Q27" s="13">
        <f ca="1">SUMPRODUCT(INDEX(polEff,,13),INDEX(tlccEupol,,13))</f>
        <v>28006.983559469052</v>
      </c>
      <c r="R27" s="13">
        <f ca="1">SUMPRODUCT(INDEX(polEff,,14),INDEX(tlccEupol,,14))</f>
        <v>28183.54714573946</v>
      </c>
      <c r="S27" s="13">
        <f ca="1">SUMPRODUCT(INDEX(polEff,,15),INDEX(tlccEupol,,15))</f>
        <v>28361.247695679049</v>
      </c>
      <c r="T27" s="13">
        <f ca="1">SUMPRODUCT(INDEX(polEff,,16),INDEX(tlccEupol,,16))</f>
        <v>28540.092704541956</v>
      </c>
      <c r="U27" s="13">
        <f ca="1">SUMPRODUCT(INDEX(polEff,,17),INDEX(tlccEupol,,17))</f>
        <v>28720.089718234354</v>
      </c>
      <c r="V27" s="13">
        <f ca="1">SUMPRODUCT(INDEX(polEff,,18),INDEX(tlccEupol,,18))</f>
        <v>28901.246333665375</v>
      </c>
      <c r="W27" s="13">
        <f ca="1">SUMPRODUCT(INDEX(polEff,,19),INDEX(tlccEupol,,19))</f>
        <v>29083.570199100595</v>
      </c>
      <c r="X27" s="13">
        <f ca="1">SUMPRODUCT(INDEX(polEff,,20),INDEX(tlccEupol,,20))</f>
        <v>29267.069014517903</v>
      </c>
      <c r="Y27" s="13">
        <f ca="1">SUMPRODUCT(INDEX(polEff,,21),INDEX(tlccEupol,,21))</f>
        <v>29451.750531966045</v>
      </c>
      <c r="Z27" s="13">
        <f ca="1">SUMPRODUCT(INDEX(polEff,,22),INDEX(tlccEupol,,22))</f>
        <v>29637.622555925627</v>
      </c>
      <c r="AA27" s="13">
        <f ca="1">SUMPRODUCT(INDEX(polEff,,23),INDEX(tlccEupol,,23))</f>
        <v>29824.692943672671</v>
      </c>
      <c r="AB27" s="13">
        <f ca="1">SUMPRODUCT(INDEX(polEff,,24),INDEX(tlccEupol,,24))</f>
        <v>30012.969605644783</v>
      </c>
      <c r="AC27" s="13">
        <f ca="1">SUMPRODUCT(INDEX(polEff,,25),INDEX(tlccEupol,,25))</f>
        <v>30202.460505809951</v>
      </c>
      <c r="AD27" s="13">
        <f ca="1">SUMPRODUCT(INDEX(polEff,,26),INDEX(tlccEupol,,26))</f>
        <v>30393.173662037916</v>
      </c>
      <c r="AE27" s="13">
        <f ca="1">SUMPRODUCT(INDEX(polEff,,27),INDEX(tlccEupol,,27))</f>
        <v>30585.117146474164</v>
      </c>
      <c r="AF27" s="13">
        <f ca="1">SUMPRODUCT(INDEX(polEff,,28),INDEX(tlccEupol,,28))</f>
        <v>30778.299085916602</v>
      </c>
      <c r="AG27" s="13">
        <f ca="1">SUMPRODUCT(INDEX(polEff,,29),INDEX(tlccEupol,,29))</f>
        <v>30972.727662195044</v>
      </c>
      <c r="AH27" s="13">
        <f ca="1">SUMPRODUCT(INDEX(polEff,,30),INDEX(tlccEupol,,30))</f>
        <v>31168.411112553047</v>
      </c>
      <c r="AI27" s="13">
        <f ca="1">SUMPRODUCT(INDEX(polEff,,31),INDEX(tlccEupol,,31))</f>
        <v>31365.357730032862</v>
      </c>
      <c r="AJ27" s="13">
        <f ca="1">SUMPRODUCT(INDEX(polEff,,32),INDEX(tlccEupol,,32))</f>
        <v>31563.575863862854</v>
      </c>
      <c r="AK27" s="13">
        <f ca="1">SUMPRODUCT(INDEX(polEff,,33),INDEX(tlccEupol,,33))</f>
        <v>31763.073919847804</v>
      </c>
      <c r="AL27" s="56">
        <f ca="1">SUMPRODUCT(INDEX(polEff,,34),INDEX(tlccEupol,,34))</f>
        <v>31963.860360761963</v>
      </c>
      <c r="AM27" s="10"/>
    </row>
    <row r="28" spans="2:39" ht="15">
      <c r="B28" s="10"/>
      <c r="C28" s="16" t="s">
        <v>79</v>
      </c>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5"/>
      <c r="AM28" s="10"/>
    </row>
    <row r="29" spans="2:39" ht="15">
      <c r="B29" s="10"/>
      <c r="C29" s="45" t="str">
        <f>INDEX(_fuel,1)</f>
        <v>Electricity</v>
      </c>
      <c r="D29" s="18" t="s">
        <v>83</v>
      </c>
      <c r="E29" s="49">
        <f ca="1">SUMPRODUCT(INDEX(polEff,,1),INDEX(IF($E$19&lt;yearC,tlccFubcElec,tlccFupolElec),,1))</f>
        <v>4345.9330370754287</v>
      </c>
      <c r="F29" s="49">
        <f ca="1">SUMPRODUCT(INDEX(polEff,,2),INDEX(IF($F$19&lt;yearC,tlccFubcElec,tlccFupolElec),,2))</f>
        <v>4303.0009726369526</v>
      </c>
      <c r="G29" s="49">
        <f ca="1">SUMPRODUCT(INDEX(polEff,,3),INDEX(IF($G$19&lt;yearC,tlccFubcElec,tlccFupolElec),,3))</f>
        <v>4264.7956819675874</v>
      </c>
      <c r="H29" s="49">
        <f ca="1">SUMPRODUCT(INDEX(polEff,,4),INDEX(IF($H$19&lt;yearC,tlccFubcElec,tlccFupolElec),,4))</f>
        <v>4177.5510633357071</v>
      </c>
      <c r="I29" s="49">
        <f ca="1">SUMPRODUCT(INDEX(polEff,,5),INDEX(IF($I$19&lt;yearC,tlccFubcElec,tlccFupolElec),,5))</f>
        <v>4145.5378848926584</v>
      </c>
      <c r="J29" s="49">
        <f ca="1">SUMPRODUCT(INDEX(polEff,,6),INDEX(tlccFupolElec,,6))</f>
        <v>4120.4159858212624</v>
      </c>
      <c r="K29" s="49">
        <f ca="1">SUMPRODUCT(INDEX(polEff,,7),INDEX(tlccFupolElec,,7))</f>
        <v>4099.2903205474049</v>
      </c>
      <c r="L29" s="49">
        <f ca="1">SUMPRODUCT(INDEX(polEff,,8),INDEX(tlccFupolElec,,8))</f>
        <v>4077.8603331628638</v>
      </c>
      <c r="M29" s="49">
        <f ca="1">SUMPRODUCT(INDEX(polEff,,9),INDEX(tlccFupolElec,,9))</f>
        <v>4060.4814126476795</v>
      </c>
      <c r="N29" s="49">
        <f ca="1">SUMPRODUCT(INDEX(polEff,,10),INDEX(tlccFupolElec,,10))</f>
        <v>4048.228720908648</v>
      </c>
      <c r="O29" s="49">
        <f ca="1">SUMPRODUCT(INDEX(polEff,,11),INDEX(tlccFupolElec,,11))</f>
        <v>4039.0855257436178</v>
      </c>
      <c r="P29" s="49">
        <f ca="1">SUMPRODUCT(INDEX(polEff,,12),INDEX(tlccFupolElec,,12))</f>
        <v>4031.2800525033877</v>
      </c>
      <c r="Q29" s="49">
        <f ca="1">SUMPRODUCT(INDEX(polEff,,13),INDEX(tlccFupolElec,,13))</f>
        <v>4025.4182740422025</v>
      </c>
      <c r="R29" s="49">
        <f ca="1">SUMPRODUCT(INDEX(polEff,,14),INDEX(tlccFupolElec,,14))</f>
        <v>4020.8714016356557</v>
      </c>
      <c r="S29" s="49">
        <f ca="1">SUMPRODUCT(INDEX(polEff,,15),INDEX(tlccFupolElec,,15))</f>
        <v>4019.9437339895103</v>
      </c>
      <c r="T29" s="49">
        <f ca="1">SUMPRODUCT(INDEX(polEff,,16),INDEX(tlccFupolElec,,16))</f>
        <v>4020.664358516251</v>
      </c>
      <c r="U29" s="49">
        <f ca="1">SUMPRODUCT(INDEX(polEff,,17),INDEX(tlccFupolElec,,17))</f>
        <v>4021.937341680326</v>
      </c>
      <c r="V29" s="49">
        <f ca="1">SUMPRODUCT(INDEX(polEff,,18),INDEX(tlccFupolElec,,18))</f>
        <v>4023.908772007549</v>
      </c>
      <c r="W29" s="49">
        <f ca="1">SUMPRODUCT(INDEX(polEff,,19),INDEX(tlccFupolElec,,19))</f>
        <v>4025.8089308052786</v>
      </c>
      <c r="X29" s="49">
        <f ca="1">SUMPRODUCT(INDEX(polEff,,20),INDEX(tlccFupolElec,,20))</f>
        <v>4027.3870385300243</v>
      </c>
      <c r="Y29" s="49">
        <f ca="1">SUMPRODUCT(INDEX(polEff,,21),INDEX(tlccFupolElec,,21))</f>
        <v>4028.4442788895381</v>
      </c>
      <c r="Z29" s="49">
        <f ca="1">SUMPRODUCT(INDEX(polEff,,22),INDEX(tlccFupolElec,,22))</f>
        <v>4029.172345444199</v>
      </c>
      <c r="AA29" s="49">
        <f ca="1">SUMPRODUCT(INDEX(polEff,,23),INDEX(tlccFupolElec,,23))</f>
        <v>4029.172345444199</v>
      </c>
      <c r="AB29" s="49">
        <f ca="1">SUMPRODUCT(INDEX(polEff,,24),INDEX(tlccFupolElec,,24))</f>
        <v>4029.172345444199</v>
      </c>
      <c r="AC29" s="49">
        <f ca="1">SUMPRODUCT(INDEX(polEff,,25),INDEX(tlccFupolElec,,25))</f>
        <v>4029.172345444199</v>
      </c>
      <c r="AD29" s="49">
        <f ca="1">SUMPRODUCT(INDEX(polEff,,26),INDEX(tlccFupolElec,,26))</f>
        <v>4029.172345444199</v>
      </c>
      <c r="AE29" s="49">
        <f ca="1">SUMPRODUCT(INDEX(polEff,,27),INDEX(tlccFupolElec,,27))</f>
        <v>4029.172345444199</v>
      </c>
      <c r="AF29" s="49">
        <f ca="1">SUMPRODUCT(INDEX(polEff,,28),INDEX(tlccFupolElec,,28))</f>
        <v>4029.172345444199</v>
      </c>
      <c r="AG29" s="49">
        <f ca="1">SUMPRODUCT(INDEX(polEff,,29),INDEX(tlccFupolElec,,29))</f>
        <v>4029.172345444199</v>
      </c>
      <c r="AH29" s="49">
        <f ca="1">SUMPRODUCT(INDEX(polEff,,30),INDEX(tlccFupolElec,,30))</f>
        <v>4029.172345444199</v>
      </c>
      <c r="AI29" s="49">
        <f ca="1">SUMPRODUCT(INDEX(polEff,,31),INDEX(tlccFupolElec,,31))</f>
        <v>4029.172345444199</v>
      </c>
      <c r="AJ29" s="49">
        <f ca="1">SUMPRODUCT(INDEX(polEff,,32),INDEX(tlccFupolElec,,32))</f>
        <v>4029.172345444199</v>
      </c>
      <c r="AK29" s="49">
        <f ca="1">SUMPRODUCT(INDEX(polEff,,33),INDEX(tlccFupolElec,,33))</f>
        <v>4029.172345444199</v>
      </c>
      <c r="AL29" s="50">
        <f ca="1">SUMPRODUCT(INDEX(polEff,,34),INDEX(tlccFupolElec,,34))</f>
        <v>4029.172345444199</v>
      </c>
      <c r="AM29" s="10"/>
    </row>
    <row r="30" spans="2:39" ht="15">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row>
    <row r="31" spans="2:39" ht="15">
      <c r="B31" s="10"/>
      <c r="C31" s="22" t="s">
        <v>91</v>
      </c>
      <c r="D31" s="23"/>
      <c r="E31" s="24">
        <f t="array" ref="E31:AL31">_yS</f>
        <v>2019</v>
      </c>
      <c r="F31" s="24">
        <v>2020</v>
      </c>
      <c r="G31" s="24">
        <v>2021</v>
      </c>
      <c r="H31" s="24">
        <v>2022</v>
      </c>
      <c r="I31" s="24">
        <v>2023</v>
      </c>
      <c r="J31" s="24">
        <v>2024</v>
      </c>
      <c r="K31" s="24">
        <v>2025</v>
      </c>
      <c r="L31" s="24">
        <v>2026</v>
      </c>
      <c r="M31" s="24">
        <v>2027</v>
      </c>
      <c r="N31" s="24">
        <v>2028</v>
      </c>
      <c r="O31" s="24">
        <v>2029</v>
      </c>
      <c r="P31" s="24">
        <v>2030</v>
      </c>
      <c r="Q31" s="24">
        <v>2031</v>
      </c>
      <c r="R31" s="24">
        <v>2032</v>
      </c>
      <c r="S31" s="24">
        <v>2033</v>
      </c>
      <c r="T31" s="24">
        <v>2034</v>
      </c>
      <c r="U31" s="24">
        <v>2035</v>
      </c>
      <c r="V31" s="24">
        <v>2036</v>
      </c>
      <c r="W31" s="24">
        <v>2037</v>
      </c>
      <c r="X31" s="24">
        <v>2038</v>
      </c>
      <c r="Y31" s="24">
        <v>2039</v>
      </c>
      <c r="Z31" s="24">
        <v>2040</v>
      </c>
      <c r="AA31" s="24">
        <v>2041</v>
      </c>
      <c r="AB31" s="24">
        <v>2042</v>
      </c>
      <c r="AC31" s="24">
        <v>2043</v>
      </c>
      <c r="AD31" s="24">
        <v>2044</v>
      </c>
      <c r="AE31" s="24">
        <v>2045</v>
      </c>
      <c r="AF31" s="24">
        <v>2046</v>
      </c>
      <c r="AG31" s="24">
        <v>2047</v>
      </c>
      <c r="AH31" s="24">
        <v>2048</v>
      </c>
      <c r="AI31" s="24">
        <v>2049</v>
      </c>
      <c r="AJ31" s="24">
        <v>2050</v>
      </c>
      <c r="AK31" s="24">
        <v>2051</v>
      </c>
      <c r="AL31" s="25">
        <v>2052</v>
      </c>
      <c r="AM31" s="10"/>
    </row>
    <row r="32" spans="2:39" ht="15">
      <c r="B32" s="10"/>
      <c r="C32" s="11" t="str">
        <f>"EL 0: " &amp; INDEX(_doName,4,1)</f>
        <v>EL 0: EL 3</v>
      </c>
      <c r="D32" s="12" t="s">
        <v>47</v>
      </c>
      <c r="E32" s="29">
        <f t="array" ref="E32:E38">IF($E$31&lt;yearC,INDEX(refEff,,1),MMULT(mRoll,INDEX(refEff,,1))+INDEX(elastAdjust,,1))</f>
        <v>1.7000000000000001E-2</v>
      </c>
      <c r="F32" s="29">
        <f t="array" ref="F32:F38">IF($F$31&lt;yearC,INDEX(refEff,,2),MMULT(mRoll,INDEX(refEff,,2))+INDEX(elastAdjust,,2))</f>
        <v>1.7000000000000001E-2</v>
      </c>
      <c r="G32" s="29">
        <f t="array" ref="G32:G38">IF($G$31&lt;yearC,INDEX(refEff,,3),MMULT(mRoll,INDEX(refEff,,3))+INDEX(elastAdjust,,3))</f>
        <v>1.7000000000000001E-2</v>
      </c>
      <c r="H32" s="29">
        <f t="array" aca="1" ref="H32:H38" ca="1">IF($H$31&lt;yearC,INDEX(refEff,,4),MMULT(mRoll,INDEX(refEff,,4))+INDEX(elastAdjust,,4))</f>
        <v>0</v>
      </c>
      <c r="I32" s="29">
        <f t="array" aca="1" ref="I32:I38" ca="1">IF($I$31&lt;yearC,INDEX(refEff,,5),MMULT(mRoll,INDEX(refEff,,5))+INDEX(elastAdjust,,5))</f>
        <v>0</v>
      </c>
      <c r="J32" s="29">
        <f t="array" aca="1" ref="J32:J38" ca="1">MMULT(mRoll,INDEX(refEff,,6))+INDEX(elastAdjust,,6)</f>
        <v>0</v>
      </c>
      <c r="K32" s="29">
        <f t="array" aca="1" ref="K32:K38" ca="1">MMULT(mRoll,INDEX(refEff,,7))+INDEX(elastAdjust,,7)</f>
        <v>0</v>
      </c>
      <c r="L32" s="29">
        <f t="array" aca="1" ref="L32:L38" ca="1">MMULT(mRoll,INDEX(refEff,,8))+INDEX(elastAdjust,,8)</f>
        <v>0</v>
      </c>
      <c r="M32" s="29">
        <f t="array" aca="1" ref="M32:M38" ca="1">MMULT(mRoll,INDEX(refEff,,9))+INDEX(elastAdjust,,9)</f>
        <v>0</v>
      </c>
      <c r="N32" s="29">
        <f t="array" aca="1" ref="N32:N38" ca="1">MMULT(mRoll,INDEX(refEff,,10))+INDEX(elastAdjust,,10)</f>
        <v>0</v>
      </c>
      <c r="O32" s="29">
        <f t="array" aca="1" ref="O32:O38" ca="1">MMULT(mRoll,INDEX(refEff,,11))+INDEX(elastAdjust,,11)</f>
        <v>0</v>
      </c>
      <c r="P32" s="29">
        <f t="array" aca="1" ref="P32:P38" ca="1">MMULT(mRoll,INDEX(refEff,,12))+INDEX(elastAdjust,,12)</f>
        <v>0</v>
      </c>
      <c r="Q32" s="29">
        <f t="array" aca="1" ref="Q32:Q38" ca="1">MMULT(mRoll,INDEX(refEff,,13))+INDEX(elastAdjust,,13)</f>
        <v>0</v>
      </c>
      <c r="R32" s="29">
        <f t="array" aca="1" ref="R32:R38" ca="1">MMULT(mRoll,INDEX(refEff,,14))+INDEX(elastAdjust,,14)</f>
        <v>0</v>
      </c>
      <c r="S32" s="29">
        <f t="array" aca="1" ref="S32:S38" ca="1">MMULT(mRoll,INDEX(refEff,,15))+INDEX(elastAdjust,,15)</f>
        <v>0</v>
      </c>
      <c r="T32" s="29">
        <f t="array" aca="1" ref="T32:T38" ca="1">MMULT(mRoll,INDEX(refEff,,16))+INDEX(elastAdjust,,16)</f>
        <v>0</v>
      </c>
      <c r="U32" s="29">
        <f t="array" aca="1" ref="U32:U38" ca="1">MMULT(mRoll,INDEX(refEff,,17))+INDEX(elastAdjust,,17)</f>
        <v>0</v>
      </c>
      <c r="V32" s="29">
        <f t="array" aca="1" ref="V32:V38" ca="1">MMULT(mRoll,INDEX(refEff,,18))+INDEX(elastAdjust,,18)</f>
        <v>0</v>
      </c>
      <c r="W32" s="29">
        <f t="array" aca="1" ref="W32:W38" ca="1">MMULT(mRoll,INDEX(refEff,,19))+INDEX(elastAdjust,,19)</f>
        <v>0</v>
      </c>
      <c r="X32" s="29">
        <f t="array" aca="1" ref="X32:X38" ca="1">MMULT(mRoll,INDEX(refEff,,20))+INDEX(elastAdjust,,20)</f>
        <v>0</v>
      </c>
      <c r="Y32" s="29">
        <f t="array" aca="1" ref="Y32:Y38" ca="1">MMULT(mRoll,INDEX(refEff,,21))+INDEX(elastAdjust,,21)</f>
        <v>0</v>
      </c>
      <c r="Z32" s="29">
        <f t="array" aca="1" ref="Z32:Z38" ca="1">MMULT(mRoll,INDEX(refEff,,22))+INDEX(elastAdjust,,22)</f>
        <v>0</v>
      </c>
      <c r="AA32" s="29">
        <f t="array" aca="1" ref="AA32:AA38" ca="1">MMULT(mRoll,INDEX(refEff,,23))+INDEX(elastAdjust,,23)</f>
        <v>0</v>
      </c>
      <c r="AB32" s="29">
        <f t="array" aca="1" ref="AB32:AB38" ca="1">MMULT(mRoll,INDEX(refEff,,24))+INDEX(elastAdjust,,24)</f>
        <v>0</v>
      </c>
      <c r="AC32" s="29">
        <f t="array" aca="1" ref="AC32:AC38" ca="1">MMULT(mRoll,INDEX(refEff,,25))+INDEX(elastAdjust,,25)</f>
        <v>0</v>
      </c>
      <c r="AD32" s="29">
        <f t="array" aca="1" ref="AD32:AD38" ca="1">MMULT(mRoll,INDEX(refEff,,26))+INDEX(elastAdjust,,26)</f>
        <v>0</v>
      </c>
      <c r="AE32" s="29">
        <f t="array" aca="1" ref="AE32:AE38" ca="1">MMULT(mRoll,INDEX(refEff,,27))+INDEX(elastAdjust,,27)</f>
        <v>0</v>
      </c>
      <c r="AF32" s="29">
        <f t="array" aca="1" ref="AF32:AF38" ca="1">MMULT(mRoll,INDEX(refEff,,28))+INDEX(elastAdjust,,28)</f>
        <v>0</v>
      </c>
      <c r="AG32" s="29">
        <f t="array" aca="1" ref="AG32:AG38" ca="1">MMULT(mRoll,INDEX(refEff,,29))+INDEX(elastAdjust,,29)</f>
        <v>0</v>
      </c>
      <c r="AH32" s="29">
        <f t="array" aca="1" ref="AH32:AH38" ca="1">MMULT(mRoll,INDEX(refEff,,30))+INDEX(elastAdjust,,30)</f>
        <v>0</v>
      </c>
      <c r="AI32" s="29">
        <f t="array" aca="1" ref="AI32:AI38" ca="1">MMULT(mRoll,INDEX(refEff,,31))+INDEX(elastAdjust,,31)</f>
        <v>0</v>
      </c>
      <c r="AJ32" s="29">
        <f t="array" aca="1" ref="AJ32:AJ38" ca="1">MMULT(mRoll,INDEX(refEff,,32))+INDEX(elastAdjust,,32)</f>
        <v>0</v>
      </c>
      <c r="AK32" s="29">
        <f t="array" aca="1" ref="AK32:AK38" ca="1">MMULT(mRoll,INDEX(refEff,,33))+INDEX(elastAdjust,,33)</f>
        <v>0</v>
      </c>
      <c r="AL32" s="44">
        <f t="array" aca="1" ref="AL32:AL38" ca="1">MMULT(mRoll,INDEX(refEff,,34))+INDEX(elastAdjust,,34)</f>
        <v>0</v>
      </c>
      <c r="AM32" s="10"/>
    </row>
    <row r="33" spans="2:39" ht="15">
      <c r="B33" s="10"/>
      <c r="C33" s="11" t="str">
        <f>"EL 1: " &amp; INDEX(_doName,4,2)</f>
        <v>EL 1: EL 1</v>
      </c>
      <c r="D33" s="12" t="s">
        <v>47</v>
      </c>
      <c r="E33" s="29">
        <v>1.2E-2</v>
      </c>
      <c r="F33" s="29">
        <v>1.2E-2</v>
      </c>
      <c r="G33" s="29">
        <v>1.2E-2</v>
      </c>
      <c r="H33" s="29">
        <f ca="1"/>
        <v>0</v>
      </c>
      <c r="I33" s="29">
        <f ca="1"/>
        <v>0</v>
      </c>
      <c r="J33" s="29">
        <f ca="1"/>
        <v>0</v>
      </c>
      <c r="K33" s="29">
        <f ca="1"/>
        <v>0</v>
      </c>
      <c r="L33" s="29">
        <f ca="1"/>
        <v>0</v>
      </c>
      <c r="M33" s="29">
        <f ca="1"/>
        <v>0</v>
      </c>
      <c r="N33" s="29">
        <f ca="1"/>
        <v>0</v>
      </c>
      <c r="O33" s="29">
        <f ca="1"/>
        <v>0</v>
      </c>
      <c r="P33" s="29">
        <f ca="1"/>
        <v>0</v>
      </c>
      <c r="Q33" s="29">
        <f ca="1"/>
        <v>0</v>
      </c>
      <c r="R33" s="29">
        <f ca="1"/>
        <v>0</v>
      </c>
      <c r="S33" s="29">
        <f ca="1"/>
        <v>0</v>
      </c>
      <c r="T33" s="29">
        <f ca="1"/>
        <v>0</v>
      </c>
      <c r="U33" s="29">
        <f ca="1"/>
        <v>0</v>
      </c>
      <c r="V33" s="29">
        <f ca="1"/>
        <v>0</v>
      </c>
      <c r="W33" s="29">
        <f ca="1"/>
        <v>0</v>
      </c>
      <c r="X33" s="29">
        <f ca="1"/>
        <v>0</v>
      </c>
      <c r="Y33" s="29">
        <f ca="1"/>
        <v>0</v>
      </c>
      <c r="Z33" s="29">
        <f ca="1"/>
        <v>0</v>
      </c>
      <c r="AA33" s="29">
        <f ca="1"/>
        <v>0</v>
      </c>
      <c r="AB33" s="29">
        <f ca="1"/>
        <v>0</v>
      </c>
      <c r="AC33" s="29">
        <f ca="1"/>
        <v>0</v>
      </c>
      <c r="AD33" s="29">
        <f ca="1"/>
        <v>0</v>
      </c>
      <c r="AE33" s="29">
        <f ca="1"/>
        <v>0</v>
      </c>
      <c r="AF33" s="29">
        <f ca="1"/>
        <v>0</v>
      </c>
      <c r="AG33" s="29">
        <f ca="1"/>
        <v>0</v>
      </c>
      <c r="AH33" s="29">
        <f ca="1"/>
        <v>0</v>
      </c>
      <c r="AI33" s="29">
        <f ca="1"/>
        <v>0</v>
      </c>
      <c r="AJ33" s="29">
        <f ca="1"/>
        <v>0</v>
      </c>
      <c r="AK33" s="29">
        <f ca="1"/>
        <v>0</v>
      </c>
      <c r="AL33" s="44">
        <f ca="1"/>
        <v>0</v>
      </c>
      <c r="AM33" s="10"/>
    </row>
    <row r="34" spans="2:39" ht="15">
      <c r="B34" s="10"/>
      <c r="C34" s="11" t="str">
        <f>"EL 2: " &amp; INDEX(_doName,4,3)</f>
        <v>EL 2: EL 2</v>
      </c>
      <c r="D34" s="12" t="s">
        <v>47</v>
      </c>
      <c r="E34" s="29">
        <v>2.3E-2</v>
      </c>
      <c r="F34" s="29">
        <v>2.3E-2</v>
      </c>
      <c r="G34" s="29">
        <v>2.3E-2</v>
      </c>
      <c r="H34" s="29">
        <f ca="1"/>
        <v>0</v>
      </c>
      <c r="I34" s="29">
        <f ca="1"/>
        <v>0</v>
      </c>
      <c r="J34" s="29">
        <f ca="1"/>
        <v>0</v>
      </c>
      <c r="K34" s="29">
        <f ca="1"/>
        <v>0</v>
      </c>
      <c r="L34" s="29">
        <f ca="1"/>
        <v>0</v>
      </c>
      <c r="M34" s="29">
        <f ca="1"/>
        <v>0</v>
      </c>
      <c r="N34" s="29">
        <f ca="1"/>
        <v>0</v>
      </c>
      <c r="O34" s="29">
        <f ca="1"/>
        <v>0</v>
      </c>
      <c r="P34" s="29">
        <f ca="1"/>
        <v>0</v>
      </c>
      <c r="Q34" s="29">
        <f ca="1"/>
        <v>0</v>
      </c>
      <c r="R34" s="29">
        <f ca="1"/>
        <v>0</v>
      </c>
      <c r="S34" s="29">
        <f ca="1"/>
        <v>0</v>
      </c>
      <c r="T34" s="29">
        <f ca="1"/>
        <v>0</v>
      </c>
      <c r="U34" s="29">
        <f ca="1"/>
        <v>0</v>
      </c>
      <c r="V34" s="29">
        <f ca="1"/>
        <v>0</v>
      </c>
      <c r="W34" s="29">
        <f ca="1"/>
        <v>0</v>
      </c>
      <c r="X34" s="29">
        <f ca="1"/>
        <v>0</v>
      </c>
      <c r="Y34" s="29">
        <f ca="1"/>
        <v>0</v>
      </c>
      <c r="Z34" s="29">
        <f ca="1"/>
        <v>0</v>
      </c>
      <c r="AA34" s="29">
        <f ca="1"/>
        <v>0</v>
      </c>
      <c r="AB34" s="29">
        <f ca="1"/>
        <v>0</v>
      </c>
      <c r="AC34" s="29">
        <f ca="1"/>
        <v>0</v>
      </c>
      <c r="AD34" s="29">
        <f ca="1"/>
        <v>0</v>
      </c>
      <c r="AE34" s="29">
        <f ca="1"/>
        <v>0</v>
      </c>
      <c r="AF34" s="29">
        <f ca="1"/>
        <v>0</v>
      </c>
      <c r="AG34" s="29">
        <f ca="1"/>
        <v>0</v>
      </c>
      <c r="AH34" s="29">
        <f ca="1"/>
        <v>0</v>
      </c>
      <c r="AI34" s="29">
        <f ca="1"/>
        <v>0</v>
      </c>
      <c r="AJ34" s="29">
        <f ca="1"/>
        <v>0</v>
      </c>
      <c r="AK34" s="29">
        <f ca="1"/>
        <v>0</v>
      </c>
      <c r="AL34" s="44">
        <f ca="1"/>
        <v>0</v>
      </c>
      <c r="AM34" s="10"/>
    </row>
    <row r="35" spans="2:39" ht="15">
      <c r="B35" s="10"/>
      <c r="C35" s="11" t="str">
        <f>"EL 3: " &amp; INDEX(_doName,4,4)</f>
        <v>EL 3: EL 3</v>
      </c>
      <c r="D35" s="12" t="s">
        <v>47</v>
      </c>
      <c r="E35" s="29">
        <v>0.04</v>
      </c>
      <c r="F35" s="29">
        <v>0.04</v>
      </c>
      <c r="G35" s="29">
        <v>0.04</v>
      </c>
      <c r="H35" s="29">
        <f ca="1"/>
        <v>0</v>
      </c>
      <c r="I35" s="29">
        <f ca="1"/>
        <v>0</v>
      </c>
      <c r="J35" s="29">
        <f ca="1"/>
        <v>0</v>
      </c>
      <c r="K35" s="29">
        <f ca="1"/>
        <v>0</v>
      </c>
      <c r="L35" s="29">
        <f ca="1"/>
        <v>0</v>
      </c>
      <c r="M35" s="29">
        <f ca="1"/>
        <v>0</v>
      </c>
      <c r="N35" s="29">
        <f ca="1"/>
        <v>0</v>
      </c>
      <c r="O35" s="29">
        <f ca="1"/>
        <v>0</v>
      </c>
      <c r="P35" s="29">
        <f ca="1"/>
        <v>0</v>
      </c>
      <c r="Q35" s="29">
        <f ca="1"/>
        <v>0</v>
      </c>
      <c r="R35" s="29">
        <f ca="1"/>
        <v>0</v>
      </c>
      <c r="S35" s="29">
        <f ca="1"/>
        <v>0</v>
      </c>
      <c r="T35" s="29">
        <f ca="1"/>
        <v>0</v>
      </c>
      <c r="U35" s="29">
        <f ca="1"/>
        <v>0</v>
      </c>
      <c r="V35" s="29">
        <f ca="1"/>
        <v>0</v>
      </c>
      <c r="W35" s="29">
        <f ca="1"/>
        <v>0</v>
      </c>
      <c r="X35" s="29">
        <f ca="1"/>
        <v>0</v>
      </c>
      <c r="Y35" s="29">
        <f ca="1"/>
        <v>0</v>
      </c>
      <c r="Z35" s="29">
        <f ca="1"/>
        <v>0</v>
      </c>
      <c r="AA35" s="29">
        <f ca="1"/>
        <v>0</v>
      </c>
      <c r="AB35" s="29">
        <f ca="1"/>
        <v>0</v>
      </c>
      <c r="AC35" s="29">
        <f ca="1"/>
        <v>0</v>
      </c>
      <c r="AD35" s="29">
        <f ca="1"/>
        <v>0</v>
      </c>
      <c r="AE35" s="29">
        <f ca="1"/>
        <v>0</v>
      </c>
      <c r="AF35" s="29">
        <f ca="1"/>
        <v>0</v>
      </c>
      <c r="AG35" s="29">
        <f ca="1"/>
        <v>0</v>
      </c>
      <c r="AH35" s="29">
        <f ca="1"/>
        <v>0</v>
      </c>
      <c r="AI35" s="29">
        <f ca="1"/>
        <v>0</v>
      </c>
      <c r="AJ35" s="29">
        <f ca="1"/>
        <v>0</v>
      </c>
      <c r="AK35" s="29">
        <f ca="1"/>
        <v>0</v>
      </c>
      <c r="AL35" s="44">
        <f ca="1"/>
        <v>0</v>
      </c>
      <c r="AM35" s="10"/>
    </row>
    <row r="36" spans="2:39" ht="15">
      <c r="B36" s="10"/>
      <c r="C36" s="11" t="str">
        <f>"EL 4: " &amp; INDEX(_doName,4,5)</f>
        <v>EL 4: EL 4</v>
      </c>
      <c r="D36" s="12" t="s">
        <v>47</v>
      </c>
      <c r="E36" s="29">
        <v>6.9000000000000006E-2</v>
      </c>
      <c r="F36" s="29">
        <v>6.9000000000000006E-2</v>
      </c>
      <c r="G36" s="29">
        <v>6.9000000000000006E-2</v>
      </c>
      <c r="H36" s="29">
        <f ca="1"/>
        <v>0</v>
      </c>
      <c r="I36" s="29">
        <f ca="1"/>
        <v>0</v>
      </c>
      <c r="J36" s="29">
        <f ca="1"/>
        <v>0</v>
      </c>
      <c r="K36" s="29">
        <f ca="1"/>
        <v>0</v>
      </c>
      <c r="L36" s="29">
        <f ca="1"/>
        <v>0</v>
      </c>
      <c r="M36" s="29">
        <f ca="1"/>
        <v>0</v>
      </c>
      <c r="N36" s="29">
        <f ca="1"/>
        <v>0</v>
      </c>
      <c r="O36" s="29">
        <f ca="1"/>
        <v>0</v>
      </c>
      <c r="P36" s="29">
        <f ca="1"/>
        <v>0</v>
      </c>
      <c r="Q36" s="29">
        <f ca="1"/>
        <v>0</v>
      </c>
      <c r="R36" s="29">
        <f ca="1"/>
        <v>0</v>
      </c>
      <c r="S36" s="29">
        <f ca="1"/>
        <v>0</v>
      </c>
      <c r="T36" s="29">
        <f ca="1"/>
        <v>0</v>
      </c>
      <c r="U36" s="29">
        <f ca="1"/>
        <v>0</v>
      </c>
      <c r="V36" s="29">
        <f ca="1"/>
        <v>0</v>
      </c>
      <c r="W36" s="29">
        <f ca="1"/>
        <v>0</v>
      </c>
      <c r="X36" s="29">
        <f ca="1"/>
        <v>0</v>
      </c>
      <c r="Y36" s="29">
        <f ca="1"/>
        <v>0</v>
      </c>
      <c r="Z36" s="29">
        <f ca="1"/>
        <v>0</v>
      </c>
      <c r="AA36" s="29">
        <f ca="1"/>
        <v>0</v>
      </c>
      <c r="AB36" s="29">
        <f ca="1"/>
        <v>0</v>
      </c>
      <c r="AC36" s="29">
        <f ca="1"/>
        <v>0</v>
      </c>
      <c r="AD36" s="29">
        <f ca="1"/>
        <v>0</v>
      </c>
      <c r="AE36" s="29">
        <f ca="1"/>
        <v>0</v>
      </c>
      <c r="AF36" s="29">
        <f ca="1"/>
        <v>0</v>
      </c>
      <c r="AG36" s="29">
        <f ca="1"/>
        <v>0</v>
      </c>
      <c r="AH36" s="29">
        <f ca="1"/>
        <v>0</v>
      </c>
      <c r="AI36" s="29">
        <f ca="1"/>
        <v>0</v>
      </c>
      <c r="AJ36" s="29">
        <f ca="1"/>
        <v>0</v>
      </c>
      <c r="AK36" s="29">
        <f ca="1"/>
        <v>0</v>
      </c>
      <c r="AL36" s="44">
        <f ca="1"/>
        <v>0</v>
      </c>
      <c r="AM36" s="10"/>
    </row>
    <row r="37" spans="2:39" ht="15">
      <c r="B37" s="10"/>
      <c r="C37" s="11" t="str">
        <f>"EL 5: " &amp; INDEX(_doName,4,6)</f>
        <v>EL 5: EL 5</v>
      </c>
      <c r="D37" s="12" t="s">
        <v>47</v>
      </c>
      <c r="E37" s="29">
        <v>0.57199999999999995</v>
      </c>
      <c r="F37" s="29">
        <v>0.57199999999999995</v>
      </c>
      <c r="G37" s="29">
        <v>0.57199999999999995</v>
      </c>
      <c r="H37" s="29">
        <f ca="1"/>
        <v>0.73299999999999998</v>
      </c>
      <c r="I37" s="29">
        <f ca="1"/>
        <v>0.73299999999999998</v>
      </c>
      <c r="J37" s="29">
        <f ca="1"/>
        <v>0.73299999999999998</v>
      </c>
      <c r="K37" s="29">
        <f ca="1"/>
        <v>0.73299999999999998</v>
      </c>
      <c r="L37" s="29">
        <f ca="1"/>
        <v>0.73299999999999998</v>
      </c>
      <c r="M37" s="29">
        <f ca="1"/>
        <v>0.73299999999999998</v>
      </c>
      <c r="N37" s="29">
        <f ca="1"/>
        <v>0.73299999999999998</v>
      </c>
      <c r="O37" s="29">
        <f ca="1"/>
        <v>0.73299999999999998</v>
      </c>
      <c r="P37" s="29">
        <f ca="1"/>
        <v>0.73299999999999998</v>
      </c>
      <c r="Q37" s="29">
        <f ca="1"/>
        <v>0.73299999999999998</v>
      </c>
      <c r="R37" s="29">
        <f ca="1"/>
        <v>0.73299999999999998</v>
      </c>
      <c r="S37" s="29">
        <f ca="1"/>
        <v>0.73299999999999998</v>
      </c>
      <c r="T37" s="29">
        <f ca="1"/>
        <v>0.73299999999999998</v>
      </c>
      <c r="U37" s="29">
        <f ca="1"/>
        <v>0.73299999999999998</v>
      </c>
      <c r="V37" s="29">
        <f ca="1"/>
        <v>0.73299999999999998</v>
      </c>
      <c r="W37" s="29">
        <f ca="1"/>
        <v>0.73299999999999998</v>
      </c>
      <c r="X37" s="29">
        <f ca="1"/>
        <v>0.73299999999999998</v>
      </c>
      <c r="Y37" s="29">
        <f ca="1"/>
        <v>0.73299999999999998</v>
      </c>
      <c r="Z37" s="29">
        <f ca="1"/>
        <v>0.73299999999999998</v>
      </c>
      <c r="AA37" s="29">
        <f ca="1"/>
        <v>0.73299999999999998</v>
      </c>
      <c r="AB37" s="29">
        <f ca="1"/>
        <v>0.73299999999999998</v>
      </c>
      <c r="AC37" s="29">
        <f ca="1"/>
        <v>0.73299999999999998</v>
      </c>
      <c r="AD37" s="29">
        <f ca="1"/>
        <v>0.73299999999999998</v>
      </c>
      <c r="AE37" s="29">
        <f ca="1"/>
        <v>0.73299999999999998</v>
      </c>
      <c r="AF37" s="29">
        <f ca="1"/>
        <v>0.73299999999999998</v>
      </c>
      <c r="AG37" s="29">
        <f ca="1"/>
        <v>0.73299999999999998</v>
      </c>
      <c r="AH37" s="29">
        <f ca="1"/>
        <v>0.73299999999999998</v>
      </c>
      <c r="AI37" s="29">
        <f ca="1"/>
        <v>0.73299999999999998</v>
      </c>
      <c r="AJ37" s="29">
        <f ca="1"/>
        <v>0.73299999999999998</v>
      </c>
      <c r="AK37" s="29">
        <f ca="1"/>
        <v>0.73299999999999998</v>
      </c>
      <c r="AL37" s="44">
        <f ca="1"/>
        <v>0.73299999999999998</v>
      </c>
      <c r="AM37" s="10"/>
    </row>
    <row r="38" spans="2:39" ht="15">
      <c r="B38" s="10"/>
      <c r="C38" s="21" t="str">
        <f>"EL 6: " &amp; INDEX(_doName,4,7)</f>
        <v>EL 6: EL 6</v>
      </c>
      <c r="D38" s="18" t="s">
        <v>47</v>
      </c>
      <c r="E38" s="46">
        <v>0.26700000000000002</v>
      </c>
      <c r="F38" s="46">
        <v>0.26700000000000002</v>
      </c>
      <c r="G38" s="46">
        <v>0.26700000000000002</v>
      </c>
      <c r="H38" s="46">
        <f ca="1"/>
        <v>0.26700000000000002</v>
      </c>
      <c r="I38" s="46">
        <f ca="1"/>
        <v>0.26700000000000002</v>
      </c>
      <c r="J38" s="46">
        <f ca="1"/>
        <v>0.26700000000000002</v>
      </c>
      <c r="K38" s="46">
        <f ca="1"/>
        <v>0.26700000000000002</v>
      </c>
      <c r="L38" s="46">
        <f ca="1"/>
        <v>0.26700000000000002</v>
      </c>
      <c r="M38" s="46">
        <f ca="1"/>
        <v>0.26700000000000002</v>
      </c>
      <c r="N38" s="46">
        <f ca="1"/>
        <v>0.26700000000000002</v>
      </c>
      <c r="O38" s="46">
        <f ca="1"/>
        <v>0.26700000000000002</v>
      </c>
      <c r="P38" s="46">
        <f ca="1"/>
        <v>0.26700000000000002</v>
      </c>
      <c r="Q38" s="46">
        <f ca="1"/>
        <v>0.26700000000000002</v>
      </c>
      <c r="R38" s="46">
        <f ca="1"/>
        <v>0.26700000000000002</v>
      </c>
      <c r="S38" s="46">
        <f ca="1"/>
        <v>0.26700000000000002</v>
      </c>
      <c r="T38" s="46">
        <f ca="1"/>
        <v>0.26700000000000002</v>
      </c>
      <c r="U38" s="46">
        <f ca="1"/>
        <v>0.26700000000000002</v>
      </c>
      <c r="V38" s="46">
        <f ca="1"/>
        <v>0.26700000000000002</v>
      </c>
      <c r="W38" s="46">
        <f ca="1"/>
        <v>0.26700000000000002</v>
      </c>
      <c r="X38" s="46">
        <f ca="1"/>
        <v>0.26700000000000002</v>
      </c>
      <c r="Y38" s="46">
        <f ca="1"/>
        <v>0.26700000000000002</v>
      </c>
      <c r="Z38" s="46">
        <f ca="1"/>
        <v>0.26700000000000002</v>
      </c>
      <c r="AA38" s="46">
        <f ca="1"/>
        <v>0.26700000000000002</v>
      </c>
      <c r="AB38" s="46">
        <f ca="1"/>
        <v>0.26700000000000002</v>
      </c>
      <c r="AC38" s="46">
        <f ca="1"/>
        <v>0.26700000000000002</v>
      </c>
      <c r="AD38" s="46">
        <f ca="1"/>
        <v>0.26700000000000002</v>
      </c>
      <c r="AE38" s="46">
        <f ca="1"/>
        <v>0.26700000000000002</v>
      </c>
      <c r="AF38" s="46">
        <f ca="1"/>
        <v>0.26700000000000002</v>
      </c>
      <c r="AG38" s="46">
        <f ca="1"/>
        <v>0.26700000000000002</v>
      </c>
      <c r="AH38" s="46">
        <f ca="1"/>
        <v>0.26700000000000002</v>
      </c>
      <c r="AI38" s="46">
        <f ca="1"/>
        <v>0.26700000000000002</v>
      </c>
      <c r="AJ38" s="46">
        <f ca="1"/>
        <v>0.26700000000000002</v>
      </c>
      <c r="AK38" s="46">
        <f ca="1"/>
        <v>0.26700000000000002</v>
      </c>
      <c r="AL38" s="47">
        <f ca="1"/>
        <v>0.26700000000000002</v>
      </c>
      <c r="AM38" s="10"/>
    </row>
    <row r="39" spans="2:39" ht="15">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2:39" ht="15">
      <c r="B40" s="10"/>
      <c r="C40" s="22" t="s">
        <v>90</v>
      </c>
      <c r="D40" s="23"/>
      <c r="E40" s="24">
        <f t="array" ref="E40:AL40">_yS</f>
        <v>2019</v>
      </c>
      <c r="F40" s="24">
        <v>2020</v>
      </c>
      <c r="G40" s="24">
        <v>2021</v>
      </c>
      <c r="H40" s="24">
        <v>2022</v>
      </c>
      <c r="I40" s="24">
        <v>2023</v>
      </c>
      <c r="J40" s="24">
        <v>2024</v>
      </c>
      <c r="K40" s="24">
        <v>2025</v>
      </c>
      <c r="L40" s="24">
        <v>2026</v>
      </c>
      <c r="M40" s="24">
        <v>2027</v>
      </c>
      <c r="N40" s="24">
        <v>2028</v>
      </c>
      <c r="O40" s="24">
        <v>2029</v>
      </c>
      <c r="P40" s="24">
        <v>2030</v>
      </c>
      <c r="Q40" s="24">
        <v>2031</v>
      </c>
      <c r="R40" s="24">
        <v>2032</v>
      </c>
      <c r="S40" s="24">
        <v>2033</v>
      </c>
      <c r="T40" s="24">
        <v>2034</v>
      </c>
      <c r="U40" s="24">
        <v>2035</v>
      </c>
      <c r="V40" s="24">
        <v>2036</v>
      </c>
      <c r="W40" s="24">
        <v>2037</v>
      </c>
      <c r="X40" s="24">
        <v>2038</v>
      </c>
      <c r="Y40" s="24">
        <v>2039</v>
      </c>
      <c r="Z40" s="24">
        <v>2040</v>
      </c>
      <c r="AA40" s="24">
        <v>2041</v>
      </c>
      <c r="AB40" s="24">
        <v>2042</v>
      </c>
      <c r="AC40" s="24">
        <v>2043</v>
      </c>
      <c r="AD40" s="24">
        <v>2044</v>
      </c>
      <c r="AE40" s="24">
        <v>2045</v>
      </c>
      <c r="AF40" s="24">
        <v>2046</v>
      </c>
      <c r="AG40" s="24">
        <v>2047</v>
      </c>
      <c r="AH40" s="24">
        <v>2048</v>
      </c>
      <c r="AI40" s="24">
        <v>2049</v>
      </c>
      <c r="AJ40" s="24">
        <v>2050</v>
      </c>
      <c r="AK40" s="24">
        <v>2051</v>
      </c>
      <c r="AL40" s="25">
        <v>2052</v>
      </c>
      <c r="AM40" s="10"/>
    </row>
    <row r="41" spans="2:39" ht="15">
      <c r="B41" s="10"/>
      <c r="C41" s="11" t="str">
        <f>"EL 0: " &amp; INDEX(_doName,4,1)</f>
        <v>EL 0: EL 3</v>
      </c>
      <c r="D41" s="12" t="s">
        <v>47</v>
      </c>
      <c r="E41" s="29">
        <f t="array" ref="E41:E47">TRANSPOSE(bcCnU)</f>
        <v>1.7000000000000001E-2</v>
      </c>
      <c r="F41" s="29">
        <f t="array" ref="F41:AL41">$E$41</f>
        <v>1.7000000000000001E-2</v>
      </c>
      <c r="G41" s="29">
        <v>1.7000000000000001E-2</v>
      </c>
      <c r="H41" s="29">
        <v>1.7000000000000001E-2</v>
      </c>
      <c r="I41" s="29">
        <v>1.7000000000000001E-2</v>
      </c>
      <c r="J41" s="29">
        <v>1.7000000000000001E-2</v>
      </c>
      <c r="K41" s="29">
        <v>1.7000000000000001E-2</v>
      </c>
      <c r="L41" s="29">
        <v>1.7000000000000001E-2</v>
      </c>
      <c r="M41" s="29">
        <v>1.7000000000000001E-2</v>
      </c>
      <c r="N41" s="29">
        <v>1.7000000000000001E-2</v>
      </c>
      <c r="O41" s="29">
        <v>1.7000000000000001E-2</v>
      </c>
      <c r="P41" s="29">
        <v>1.7000000000000001E-2</v>
      </c>
      <c r="Q41" s="29">
        <v>1.7000000000000001E-2</v>
      </c>
      <c r="R41" s="29">
        <v>1.7000000000000001E-2</v>
      </c>
      <c r="S41" s="29">
        <v>1.7000000000000001E-2</v>
      </c>
      <c r="T41" s="29">
        <v>1.7000000000000001E-2</v>
      </c>
      <c r="U41" s="29">
        <v>1.7000000000000001E-2</v>
      </c>
      <c r="V41" s="29">
        <v>1.7000000000000001E-2</v>
      </c>
      <c r="W41" s="29">
        <v>1.7000000000000001E-2</v>
      </c>
      <c r="X41" s="29">
        <v>1.7000000000000001E-2</v>
      </c>
      <c r="Y41" s="29">
        <v>1.7000000000000001E-2</v>
      </c>
      <c r="Z41" s="29">
        <v>1.7000000000000001E-2</v>
      </c>
      <c r="AA41" s="29">
        <v>1.7000000000000001E-2</v>
      </c>
      <c r="AB41" s="29">
        <v>1.7000000000000001E-2</v>
      </c>
      <c r="AC41" s="29">
        <v>1.7000000000000001E-2</v>
      </c>
      <c r="AD41" s="29">
        <v>1.7000000000000001E-2</v>
      </c>
      <c r="AE41" s="29">
        <v>1.7000000000000001E-2</v>
      </c>
      <c r="AF41" s="29">
        <v>1.7000000000000001E-2</v>
      </c>
      <c r="AG41" s="29">
        <v>1.7000000000000001E-2</v>
      </c>
      <c r="AH41" s="29">
        <v>1.7000000000000001E-2</v>
      </c>
      <c r="AI41" s="29">
        <v>1.7000000000000001E-2</v>
      </c>
      <c r="AJ41" s="29">
        <v>1.7000000000000001E-2</v>
      </c>
      <c r="AK41" s="29">
        <v>1.7000000000000001E-2</v>
      </c>
      <c r="AL41" s="44">
        <v>1.7000000000000001E-2</v>
      </c>
      <c r="AM41" s="10"/>
    </row>
    <row r="42" spans="2:39" ht="15">
      <c r="B42" s="10"/>
      <c r="C42" s="11" t="str">
        <f>"EL 1: " &amp; INDEX(_doName,4,2)</f>
        <v>EL 1: EL 1</v>
      </c>
      <c r="D42" s="12" t="s">
        <v>47</v>
      </c>
      <c r="E42" s="29">
        <v>1.2E-2</v>
      </c>
      <c r="F42" s="29">
        <f t="array" ref="F42:AL42">$E$42</f>
        <v>1.2E-2</v>
      </c>
      <c r="G42" s="29">
        <v>1.2E-2</v>
      </c>
      <c r="H42" s="29">
        <v>1.2E-2</v>
      </c>
      <c r="I42" s="29">
        <v>1.2E-2</v>
      </c>
      <c r="J42" s="29">
        <v>1.2E-2</v>
      </c>
      <c r="K42" s="29">
        <v>1.2E-2</v>
      </c>
      <c r="L42" s="29">
        <v>1.2E-2</v>
      </c>
      <c r="M42" s="29">
        <v>1.2E-2</v>
      </c>
      <c r="N42" s="29">
        <v>1.2E-2</v>
      </c>
      <c r="O42" s="29">
        <v>1.2E-2</v>
      </c>
      <c r="P42" s="29">
        <v>1.2E-2</v>
      </c>
      <c r="Q42" s="29">
        <v>1.2E-2</v>
      </c>
      <c r="R42" s="29">
        <v>1.2E-2</v>
      </c>
      <c r="S42" s="29">
        <v>1.2E-2</v>
      </c>
      <c r="T42" s="29">
        <v>1.2E-2</v>
      </c>
      <c r="U42" s="29">
        <v>1.2E-2</v>
      </c>
      <c r="V42" s="29">
        <v>1.2E-2</v>
      </c>
      <c r="W42" s="29">
        <v>1.2E-2</v>
      </c>
      <c r="X42" s="29">
        <v>1.2E-2</v>
      </c>
      <c r="Y42" s="29">
        <v>1.2E-2</v>
      </c>
      <c r="Z42" s="29">
        <v>1.2E-2</v>
      </c>
      <c r="AA42" s="29">
        <v>1.2E-2</v>
      </c>
      <c r="AB42" s="29">
        <v>1.2E-2</v>
      </c>
      <c r="AC42" s="29">
        <v>1.2E-2</v>
      </c>
      <c r="AD42" s="29">
        <v>1.2E-2</v>
      </c>
      <c r="AE42" s="29">
        <v>1.2E-2</v>
      </c>
      <c r="AF42" s="29">
        <v>1.2E-2</v>
      </c>
      <c r="AG42" s="29">
        <v>1.2E-2</v>
      </c>
      <c r="AH42" s="29">
        <v>1.2E-2</v>
      </c>
      <c r="AI42" s="29">
        <v>1.2E-2</v>
      </c>
      <c r="AJ42" s="29">
        <v>1.2E-2</v>
      </c>
      <c r="AK42" s="29">
        <v>1.2E-2</v>
      </c>
      <c r="AL42" s="44">
        <v>1.2E-2</v>
      </c>
      <c r="AM42" s="10"/>
    </row>
    <row r="43" spans="2:39" ht="15">
      <c r="B43" s="10"/>
      <c r="C43" s="11" t="str">
        <f>"EL 2: " &amp; INDEX(_doName,4,3)</f>
        <v>EL 2: EL 2</v>
      </c>
      <c r="D43" s="12" t="s">
        <v>47</v>
      </c>
      <c r="E43" s="29">
        <v>2.3E-2</v>
      </c>
      <c r="F43" s="29">
        <f t="array" ref="F43:AL43">$E$43</f>
        <v>2.3E-2</v>
      </c>
      <c r="G43" s="29">
        <v>2.3E-2</v>
      </c>
      <c r="H43" s="29">
        <v>2.3E-2</v>
      </c>
      <c r="I43" s="29">
        <v>2.3E-2</v>
      </c>
      <c r="J43" s="29">
        <v>2.3E-2</v>
      </c>
      <c r="K43" s="29">
        <v>2.3E-2</v>
      </c>
      <c r="L43" s="29">
        <v>2.3E-2</v>
      </c>
      <c r="M43" s="29">
        <v>2.3E-2</v>
      </c>
      <c r="N43" s="29">
        <v>2.3E-2</v>
      </c>
      <c r="O43" s="29">
        <v>2.3E-2</v>
      </c>
      <c r="P43" s="29">
        <v>2.3E-2</v>
      </c>
      <c r="Q43" s="29">
        <v>2.3E-2</v>
      </c>
      <c r="R43" s="29">
        <v>2.3E-2</v>
      </c>
      <c r="S43" s="29">
        <v>2.3E-2</v>
      </c>
      <c r="T43" s="29">
        <v>2.3E-2</v>
      </c>
      <c r="U43" s="29">
        <v>2.3E-2</v>
      </c>
      <c r="V43" s="29">
        <v>2.3E-2</v>
      </c>
      <c r="W43" s="29">
        <v>2.3E-2</v>
      </c>
      <c r="X43" s="29">
        <v>2.3E-2</v>
      </c>
      <c r="Y43" s="29">
        <v>2.3E-2</v>
      </c>
      <c r="Z43" s="29">
        <v>2.3E-2</v>
      </c>
      <c r="AA43" s="29">
        <v>2.3E-2</v>
      </c>
      <c r="AB43" s="29">
        <v>2.3E-2</v>
      </c>
      <c r="AC43" s="29">
        <v>2.3E-2</v>
      </c>
      <c r="AD43" s="29">
        <v>2.3E-2</v>
      </c>
      <c r="AE43" s="29">
        <v>2.3E-2</v>
      </c>
      <c r="AF43" s="29">
        <v>2.3E-2</v>
      </c>
      <c r="AG43" s="29">
        <v>2.3E-2</v>
      </c>
      <c r="AH43" s="29">
        <v>2.3E-2</v>
      </c>
      <c r="AI43" s="29">
        <v>2.3E-2</v>
      </c>
      <c r="AJ43" s="29">
        <v>2.3E-2</v>
      </c>
      <c r="AK43" s="29">
        <v>2.3E-2</v>
      </c>
      <c r="AL43" s="44">
        <v>2.3E-2</v>
      </c>
      <c r="AM43" s="10"/>
    </row>
    <row r="44" spans="2:39" ht="15">
      <c r="B44" s="10"/>
      <c r="C44" s="11" t="str">
        <f>"EL 3: " &amp; INDEX(_doName,4,4)</f>
        <v>EL 3: EL 3</v>
      </c>
      <c r="D44" s="12" t="s">
        <v>47</v>
      </c>
      <c r="E44" s="29">
        <v>0.04</v>
      </c>
      <c r="F44" s="29">
        <f t="array" ref="F44:AL44">$E$44</f>
        <v>0.04</v>
      </c>
      <c r="G44" s="29">
        <v>0.04</v>
      </c>
      <c r="H44" s="29">
        <v>0.04</v>
      </c>
      <c r="I44" s="29">
        <v>0.04</v>
      </c>
      <c r="J44" s="29">
        <v>0.04</v>
      </c>
      <c r="K44" s="29">
        <v>0.04</v>
      </c>
      <c r="L44" s="29">
        <v>0.04</v>
      </c>
      <c r="M44" s="29">
        <v>0.04</v>
      </c>
      <c r="N44" s="29">
        <v>0.04</v>
      </c>
      <c r="O44" s="29">
        <v>0.04</v>
      </c>
      <c r="P44" s="29">
        <v>0.04</v>
      </c>
      <c r="Q44" s="29">
        <v>0.04</v>
      </c>
      <c r="R44" s="29">
        <v>0.04</v>
      </c>
      <c r="S44" s="29">
        <v>0.04</v>
      </c>
      <c r="T44" s="29">
        <v>0.04</v>
      </c>
      <c r="U44" s="29">
        <v>0.04</v>
      </c>
      <c r="V44" s="29">
        <v>0.04</v>
      </c>
      <c r="W44" s="29">
        <v>0.04</v>
      </c>
      <c r="X44" s="29">
        <v>0.04</v>
      </c>
      <c r="Y44" s="29">
        <v>0.04</v>
      </c>
      <c r="Z44" s="29">
        <v>0.04</v>
      </c>
      <c r="AA44" s="29">
        <v>0.04</v>
      </c>
      <c r="AB44" s="29">
        <v>0.04</v>
      </c>
      <c r="AC44" s="29">
        <v>0.04</v>
      </c>
      <c r="AD44" s="29">
        <v>0.04</v>
      </c>
      <c r="AE44" s="29">
        <v>0.04</v>
      </c>
      <c r="AF44" s="29">
        <v>0.04</v>
      </c>
      <c r="AG44" s="29">
        <v>0.04</v>
      </c>
      <c r="AH44" s="29">
        <v>0.04</v>
      </c>
      <c r="AI44" s="29">
        <v>0.04</v>
      </c>
      <c r="AJ44" s="29">
        <v>0.04</v>
      </c>
      <c r="AK44" s="29">
        <v>0.04</v>
      </c>
      <c r="AL44" s="44">
        <v>0.04</v>
      </c>
      <c r="AM44" s="10"/>
    </row>
    <row r="45" spans="2:39" ht="15">
      <c r="B45" s="10"/>
      <c r="C45" s="11" t="str">
        <f>"EL 4: " &amp; INDEX(_doName,4,5)</f>
        <v>EL 4: EL 4</v>
      </c>
      <c r="D45" s="12" t="s">
        <v>47</v>
      </c>
      <c r="E45" s="29">
        <v>6.9000000000000006E-2</v>
      </c>
      <c r="F45" s="29">
        <f t="array" ref="F45:AL45">$E$45</f>
        <v>6.9000000000000006E-2</v>
      </c>
      <c r="G45" s="29">
        <v>6.9000000000000006E-2</v>
      </c>
      <c r="H45" s="29">
        <v>6.9000000000000006E-2</v>
      </c>
      <c r="I45" s="29">
        <v>6.9000000000000006E-2</v>
      </c>
      <c r="J45" s="29">
        <v>6.9000000000000006E-2</v>
      </c>
      <c r="K45" s="29">
        <v>6.9000000000000006E-2</v>
      </c>
      <c r="L45" s="29">
        <v>6.9000000000000006E-2</v>
      </c>
      <c r="M45" s="29">
        <v>6.9000000000000006E-2</v>
      </c>
      <c r="N45" s="29">
        <v>6.9000000000000006E-2</v>
      </c>
      <c r="O45" s="29">
        <v>6.9000000000000006E-2</v>
      </c>
      <c r="P45" s="29">
        <v>6.9000000000000006E-2</v>
      </c>
      <c r="Q45" s="29">
        <v>6.9000000000000006E-2</v>
      </c>
      <c r="R45" s="29">
        <v>6.9000000000000006E-2</v>
      </c>
      <c r="S45" s="29">
        <v>6.9000000000000006E-2</v>
      </c>
      <c r="T45" s="29">
        <v>6.9000000000000006E-2</v>
      </c>
      <c r="U45" s="29">
        <v>6.9000000000000006E-2</v>
      </c>
      <c r="V45" s="29">
        <v>6.9000000000000006E-2</v>
      </c>
      <c r="W45" s="29">
        <v>6.9000000000000006E-2</v>
      </c>
      <c r="X45" s="29">
        <v>6.9000000000000006E-2</v>
      </c>
      <c r="Y45" s="29">
        <v>6.9000000000000006E-2</v>
      </c>
      <c r="Z45" s="29">
        <v>6.9000000000000006E-2</v>
      </c>
      <c r="AA45" s="29">
        <v>6.9000000000000006E-2</v>
      </c>
      <c r="AB45" s="29">
        <v>6.9000000000000006E-2</v>
      </c>
      <c r="AC45" s="29">
        <v>6.9000000000000006E-2</v>
      </c>
      <c r="AD45" s="29">
        <v>6.9000000000000006E-2</v>
      </c>
      <c r="AE45" s="29">
        <v>6.9000000000000006E-2</v>
      </c>
      <c r="AF45" s="29">
        <v>6.9000000000000006E-2</v>
      </c>
      <c r="AG45" s="29">
        <v>6.9000000000000006E-2</v>
      </c>
      <c r="AH45" s="29">
        <v>6.9000000000000006E-2</v>
      </c>
      <c r="AI45" s="29">
        <v>6.9000000000000006E-2</v>
      </c>
      <c r="AJ45" s="29">
        <v>6.9000000000000006E-2</v>
      </c>
      <c r="AK45" s="29">
        <v>6.9000000000000006E-2</v>
      </c>
      <c r="AL45" s="44">
        <v>6.9000000000000006E-2</v>
      </c>
      <c r="AM45" s="10"/>
    </row>
    <row r="46" spans="2:39" ht="15">
      <c r="B46" s="10"/>
      <c r="C46" s="11" t="str">
        <f>"EL 5: " &amp; INDEX(_doName,4,6)</f>
        <v>EL 5: EL 5</v>
      </c>
      <c r="D46" s="12" t="s">
        <v>47</v>
      </c>
      <c r="E46" s="29">
        <v>0.57199999999999995</v>
      </c>
      <c r="F46" s="29">
        <f t="array" ref="F46:AL46">$E$46</f>
        <v>0.57199999999999995</v>
      </c>
      <c r="G46" s="29">
        <v>0.57199999999999995</v>
      </c>
      <c r="H46" s="29">
        <v>0.57199999999999995</v>
      </c>
      <c r="I46" s="29">
        <v>0.57199999999999995</v>
      </c>
      <c r="J46" s="29">
        <v>0.57199999999999995</v>
      </c>
      <c r="K46" s="29">
        <v>0.57199999999999995</v>
      </c>
      <c r="L46" s="29">
        <v>0.57199999999999995</v>
      </c>
      <c r="M46" s="29">
        <v>0.57199999999999995</v>
      </c>
      <c r="N46" s="29">
        <v>0.57199999999999995</v>
      </c>
      <c r="O46" s="29">
        <v>0.57199999999999995</v>
      </c>
      <c r="P46" s="29">
        <v>0.57199999999999995</v>
      </c>
      <c r="Q46" s="29">
        <v>0.57199999999999995</v>
      </c>
      <c r="R46" s="29">
        <v>0.57199999999999995</v>
      </c>
      <c r="S46" s="29">
        <v>0.57199999999999995</v>
      </c>
      <c r="T46" s="29">
        <v>0.57199999999999995</v>
      </c>
      <c r="U46" s="29">
        <v>0.57199999999999995</v>
      </c>
      <c r="V46" s="29">
        <v>0.57199999999999995</v>
      </c>
      <c r="W46" s="29">
        <v>0.57199999999999995</v>
      </c>
      <c r="X46" s="29">
        <v>0.57199999999999995</v>
      </c>
      <c r="Y46" s="29">
        <v>0.57199999999999995</v>
      </c>
      <c r="Z46" s="29">
        <v>0.57199999999999995</v>
      </c>
      <c r="AA46" s="29">
        <v>0.57199999999999995</v>
      </c>
      <c r="AB46" s="29">
        <v>0.57199999999999995</v>
      </c>
      <c r="AC46" s="29">
        <v>0.57199999999999995</v>
      </c>
      <c r="AD46" s="29">
        <v>0.57199999999999995</v>
      </c>
      <c r="AE46" s="29">
        <v>0.57199999999999995</v>
      </c>
      <c r="AF46" s="29">
        <v>0.57199999999999995</v>
      </c>
      <c r="AG46" s="29">
        <v>0.57199999999999995</v>
      </c>
      <c r="AH46" s="29">
        <v>0.57199999999999995</v>
      </c>
      <c r="AI46" s="29">
        <v>0.57199999999999995</v>
      </c>
      <c r="AJ46" s="29">
        <v>0.57199999999999995</v>
      </c>
      <c r="AK46" s="29">
        <v>0.57199999999999995</v>
      </c>
      <c r="AL46" s="44">
        <v>0.57199999999999995</v>
      </c>
      <c r="AM46" s="10"/>
    </row>
    <row r="47" spans="2:39">
      <c r="B47" s="10"/>
      <c r="C47" s="21" t="str">
        <f>"EL 6: " &amp; INDEX(_doName,4,7)</f>
        <v>EL 6: EL 6</v>
      </c>
      <c r="D47" s="18" t="s">
        <v>47</v>
      </c>
      <c r="E47" s="46">
        <v>0.26700000000000002</v>
      </c>
      <c r="F47" s="46">
        <f t="array" ref="F47:AL47">$E$47</f>
        <v>0.26700000000000002</v>
      </c>
      <c r="G47" s="46">
        <v>0.26700000000000002</v>
      </c>
      <c r="H47" s="46">
        <v>0.26700000000000002</v>
      </c>
      <c r="I47" s="46">
        <v>0.26700000000000002</v>
      </c>
      <c r="J47" s="46">
        <v>0.26700000000000002</v>
      </c>
      <c r="K47" s="46">
        <v>0.26700000000000002</v>
      </c>
      <c r="L47" s="46">
        <v>0.26700000000000002</v>
      </c>
      <c r="M47" s="46">
        <v>0.26700000000000002</v>
      </c>
      <c r="N47" s="46">
        <v>0.26700000000000002</v>
      </c>
      <c r="O47" s="46">
        <v>0.26700000000000002</v>
      </c>
      <c r="P47" s="46">
        <v>0.26700000000000002</v>
      </c>
      <c r="Q47" s="46">
        <v>0.26700000000000002</v>
      </c>
      <c r="R47" s="46">
        <v>0.26700000000000002</v>
      </c>
      <c r="S47" s="46">
        <v>0.26700000000000002</v>
      </c>
      <c r="T47" s="46">
        <v>0.26700000000000002</v>
      </c>
      <c r="U47" s="46">
        <v>0.26700000000000002</v>
      </c>
      <c r="V47" s="46">
        <v>0.26700000000000002</v>
      </c>
      <c r="W47" s="46">
        <v>0.26700000000000002</v>
      </c>
      <c r="X47" s="46">
        <v>0.26700000000000002</v>
      </c>
      <c r="Y47" s="46">
        <v>0.26700000000000002</v>
      </c>
      <c r="Z47" s="46">
        <v>0.26700000000000002</v>
      </c>
      <c r="AA47" s="46">
        <v>0.26700000000000002</v>
      </c>
      <c r="AB47" s="46">
        <v>0.26700000000000002</v>
      </c>
      <c r="AC47" s="46">
        <v>0.26700000000000002</v>
      </c>
      <c r="AD47" s="46">
        <v>0.26700000000000002</v>
      </c>
      <c r="AE47" s="46">
        <v>0.26700000000000002</v>
      </c>
      <c r="AF47" s="46">
        <v>0.26700000000000002</v>
      </c>
      <c r="AG47" s="46">
        <v>0.26700000000000002</v>
      </c>
      <c r="AH47" s="46">
        <v>0.26700000000000002</v>
      </c>
      <c r="AI47" s="46">
        <v>0.26700000000000002</v>
      </c>
      <c r="AJ47" s="46">
        <v>0.26700000000000002</v>
      </c>
      <c r="AK47" s="46">
        <v>0.26700000000000002</v>
      </c>
      <c r="AL47" s="47">
        <v>0.26700000000000002</v>
      </c>
      <c r="AM47" s="10"/>
    </row>
    <row r="48" spans="2:39">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2:39" ht="15" hidden="1">
      <c r="B49" s="10"/>
      <c r="C49" s="22" t="s">
        <v>89</v>
      </c>
      <c r="D49" s="23"/>
      <c r="E49" s="24">
        <f t="array" ref="E49:AL49">_yS</f>
        <v>2019</v>
      </c>
      <c r="F49" s="24">
        <v>2020</v>
      </c>
      <c r="G49" s="24">
        <v>2021</v>
      </c>
      <c r="H49" s="24">
        <v>2022</v>
      </c>
      <c r="I49" s="24">
        <v>2023</v>
      </c>
      <c r="J49" s="24">
        <v>2024</v>
      </c>
      <c r="K49" s="24">
        <v>2025</v>
      </c>
      <c r="L49" s="24">
        <v>2026</v>
      </c>
      <c r="M49" s="24">
        <v>2027</v>
      </c>
      <c r="N49" s="24">
        <v>2028</v>
      </c>
      <c r="O49" s="24">
        <v>2029</v>
      </c>
      <c r="P49" s="24">
        <v>2030</v>
      </c>
      <c r="Q49" s="24">
        <v>2031</v>
      </c>
      <c r="R49" s="24">
        <v>2032</v>
      </c>
      <c r="S49" s="24">
        <v>2033</v>
      </c>
      <c r="T49" s="24">
        <v>2034</v>
      </c>
      <c r="U49" s="24">
        <v>2035</v>
      </c>
      <c r="V49" s="24">
        <v>2036</v>
      </c>
      <c r="W49" s="24">
        <v>2037</v>
      </c>
      <c r="X49" s="24">
        <v>2038</v>
      </c>
      <c r="Y49" s="24">
        <v>2039</v>
      </c>
      <c r="Z49" s="24">
        <v>2040</v>
      </c>
      <c r="AA49" s="24">
        <v>2041</v>
      </c>
      <c r="AB49" s="24">
        <v>2042</v>
      </c>
      <c r="AC49" s="24">
        <v>2043</v>
      </c>
      <c r="AD49" s="24">
        <v>2044</v>
      </c>
      <c r="AE49" s="24">
        <v>2045</v>
      </c>
      <c r="AF49" s="24">
        <v>2046</v>
      </c>
      <c r="AG49" s="24">
        <v>2047</v>
      </c>
      <c r="AH49" s="24">
        <v>2048</v>
      </c>
      <c r="AI49" s="24">
        <v>2049</v>
      </c>
      <c r="AJ49" s="24">
        <v>2050</v>
      </c>
      <c r="AK49" s="24">
        <v>2051</v>
      </c>
      <c r="AL49" s="25">
        <v>2052</v>
      </c>
      <c r="AM49" s="10"/>
    </row>
    <row r="50" spans="2:39" ht="15" hidden="1">
      <c r="B50" s="10"/>
      <c r="C50" s="11" t="str">
        <f>"EL 0: " &amp; INDEX(_doName,4,1)</f>
        <v>EL 0: EL 3</v>
      </c>
      <c r="D50" s="12"/>
      <c r="E50" s="13">
        <f t="array" ref="E50:AL50">tlccQubc0</f>
        <v>3815.7517763157898</v>
      </c>
      <c r="F50" s="13">
        <v>3815.7517763157898</v>
      </c>
      <c r="G50" s="13">
        <v>3815.7517763157898</v>
      </c>
      <c r="H50" s="13">
        <v>3815.7517763157898</v>
      </c>
      <c r="I50" s="13">
        <v>3815.7517763157898</v>
      </c>
      <c r="J50" s="13">
        <v>3815.7517763157898</v>
      </c>
      <c r="K50" s="13">
        <v>3815.7517763157898</v>
      </c>
      <c r="L50" s="13">
        <v>3815.7517763157898</v>
      </c>
      <c r="M50" s="13">
        <v>3815.7517763157898</v>
      </c>
      <c r="N50" s="13">
        <v>3815.7517763157898</v>
      </c>
      <c r="O50" s="13">
        <v>3815.7517763157898</v>
      </c>
      <c r="P50" s="13">
        <v>3815.7517763157898</v>
      </c>
      <c r="Q50" s="13">
        <v>3815.7517763157898</v>
      </c>
      <c r="R50" s="13">
        <v>3815.7517763157898</v>
      </c>
      <c r="S50" s="13">
        <v>3815.7517763157898</v>
      </c>
      <c r="T50" s="13">
        <v>3815.7517763157898</v>
      </c>
      <c r="U50" s="13">
        <v>3815.7517763157898</v>
      </c>
      <c r="V50" s="13">
        <v>3815.7517763157898</v>
      </c>
      <c r="W50" s="13">
        <v>3815.7517763157898</v>
      </c>
      <c r="X50" s="13">
        <v>3815.7517763157898</v>
      </c>
      <c r="Y50" s="13">
        <v>3815.7517763157898</v>
      </c>
      <c r="Z50" s="13">
        <v>3815.7517763157898</v>
      </c>
      <c r="AA50" s="13">
        <v>3815.7517763157898</v>
      </c>
      <c r="AB50" s="13">
        <v>3815.7517763157898</v>
      </c>
      <c r="AC50" s="13">
        <v>3815.7517763157898</v>
      </c>
      <c r="AD50" s="13">
        <v>3815.7517763157898</v>
      </c>
      <c r="AE50" s="13">
        <v>3815.7517763157898</v>
      </c>
      <c r="AF50" s="13">
        <v>3815.7517763157898</v>
      </c>
      <c r="AG50" s="13">
        <v>3815.7517763157898</v>
      </c>
      <c r="AH50" s="13">
        <v>3815.7517763157898</v>
      </c>
      <c r="AI50" s="13">
        <v>3815.7517763157898</v>
      </c>
      <c r="AJ50" s="13">
        <v>3815.7517763157898</v>
      </c>
      <c r="AK50" s="13">
        <v>3815.7517763157898</v>
      </c>
      <c r="AL50" s="56">
        <v>3815.7517763157898</v>
      </c>
      <c r="AM50" s="10"/>
    </row>
    <row r="51" spans="2:39" ht="15" hidden="1">
      <c r="B51" s="10"/>
      <c r="C51" s="11" t="str">
        <f>"EL 1: " &amp; INDEX(_doName,4,2)</f>
        <v>EL 1: EL 1</v>
      </c>
      <c r="D51" s="12"/>
      <c r="E51" s="13">
        <f t="array" ref="E51:AL51">tlccQubc1</f>
        <v>4557.6058588957003</v>
      </c>
      <c r="F51" s="13">
        <v>4557.6058588957003</v>
      </c>
      <c r="G51" s="13">
        <v>4557.6058588957003</v>
      </c>
      <c r="H51" s="13">
        <v>4557.6058588957003</v>
      </c>
      <c r="I51" s="13">
        <v>4557.6058588957003</v>
      </c>
      <c r="J51" s="13">
        <v>4557.6058588957003</v>
      </c>
      <c r="K51" s="13">
        <v>4557.6058588957003</v>
      </c>
      <c r="L51" s="13">
        <v>4557.6058588957003</v>
      </c>
      <c r="M51" s="13">
        <v>4557.6058588957003</v>
      </c>
      <c r="N51" s="13">
        <v>4557.6058588957003</v>
      </c>
      <c r="O51" s="13">
        <v>4557.6058588957003</v>
      </c>
      <c r="P51" s="13">
        <v>4557.6058588957003</v>
      </c>
      <c r="Q51" s="13">
        <v>4557.6058588957003</v>
      </c>
      <c r="R51" s="13">
        <v>4557.6058588957003</v>
      </c>
      <c r="S51" s="13">
        <v>4557.6058588957003</v>
      </c>
      <c r="T51" s="13">
        <v>4557.6058588957003</v>
      </c>
      <c r="U51" s="13">
        <v>4557.6058588957003</v>
      </c>
      <c r="V51" s="13">
        <v>4557.6058588957003</v>
      </c>
      <c r="W51" s="13">
        <v>4557.6058588957003</v>
      </c>
      <c r="X51" s="13">
        <v>4557.6058588957003</v>
      </c>
      <c r="Y51" s="13">
        <v>4557.6058588957003</v>
      </c>
      <c r="Z51" s="13">
        <v>4557.6058588957003</v>
      </c>
      <c r="AA51" s="13">
        <v>4557.6058588957003</v>
      </c>
      <c r="AB51" s="13">
        <v>4557.6058588957003</v>
      </c>
      <c r="AC51" s="13">
        <v>4557.6058588957003</v>
      </c>
      <c r="AD51" s="13">
        <v>4557.6058588957003</v>
      </c>
      <c r="AE51" s="13">
        <v>4557.6058588957003</v>
      </c>
      <c r="AF51" s="13">
        <v>4557.6058588957003</v>
      </c>
      <c r="AG51" s="13">
        <v>4557.6058588957003</v>
      </c>
      <c r="AH51" s="13">
        <v>4557.6058588957003</v>
      </c>
      <c r="AI51" s="13">
        <v>4557.6058588957003</v>
      </c>
      <c r="AJ51" s="13">
        <v>4557.6058588957003</v>
      </c>
      <c r="AK51" s="13">
        <v>4557.6058588957003</v>
      </c>
      <c r="AL51" s="56">
        <v>4557.6058588957003</v>
      </c>
      <c r="AM51" s="10"/>
    </row>
    <row r="52" spans="2:39" ht="15" hidden="1">
      <c r="B52" s="10"/>
      <c r="C52" s="11" t="str">
        <f>"EL 2: " &amp; INDEX(_doName,4,3)</f>
        <v>EL 2: EL 2</v>
      </c>
      <c r="D52" s="12"/>
      <c r="E52" s="13">
        <f t="array" ref="E52:AL52">tlccQubc2</f>
        <v>3826.8704991948298</v>
      </c>
      <c r="F52" s="13">
        <v>3826.8704991948298</v>
      </c>
      <c r="G52" s="13">
        <v>3826.8704991948298</v>
      </c>
      <c r="H52" s="13">
        <v>3826.8704991948298</v>
      </c>
      <c r="I52" s="13">
        <v>3826.8704991948298</v>
      </c>
      <c r="J52" s="13">
        <v>3826.8704991948298</v>
      </c>
      <c r="K52" s="13">
        <v>3826.8704991948298</v>
      </c>
      <c r="L52" s="13">
        <v>3826.8704991948298</v>
      </c>
      <c r="M52" s="13">
        <v>3826.8704991948298</v>
      </c>
      <c r="N52" s="13">
        <v>3826.8704991948298</v>
      </c>
      <c r="O52" s="13">
        <v>3826.8704991948298</v>
      </c>
      <c r="P52" s="13">
        <v>3826.8704991948298</v>
      </c>
      <c r="Q52" s="13">
        <v>3826.8704991948298</v>
      </c>
      <c r="R52" s="13">
        <v>3826.8704991948298</v>
      </c>
      <c r="S52" s="13">
        <v>3826.8704991948298</v>
      </c>
      <c r="T52" s="13">
        <v>3826.8704991948298</v>
      </c>
      <c r="U52" s="13">
        <v>3826.8704991948298</v>
      </c>
      <c r="V52" s="13">
        <v>3826.8704991948298</v>
      </c>
      <c r="W52" s="13">
        <v>3826.8704991948298</v>
      </c>
      <c r="X52" s="13">
        <v>3826.8704991948298</v>
      </c>
      <c r="Y52" s="13">
        <v>3826.8704991948298</v>
      </c>
      <c r="Z52" s="13">
        <v>3826.8704991948298</v>
      </c>
      <c r="AA52" s="13">
        <v>3826.8704991948298</v>
      </c>
      <c r="AB52" s="13">
        <v>3826.8704991948298</v>
      </c>
      <c r="AC52" s="13">
        <v>3826.8704991948298</v>
      </c>
      <c r="AD52" s="13">
        <v>3826.8704991948298</v>
      </c>
      <c r="AE52" s="13">
        <v>3826.8704991948298</v>
      </c>
      <c r="AF52" s="13">
        <v>3826.8704991948298</v>
      </c>
      <c r="AG52" s="13">
        <v>3826.8704991948298</v>
      </c>
      <c r="AH52" s="13">
        <v>3826.8704991948298</v>
      </c>
      <c r="AI52" s="13">
        <v>3826.8704991948298</v>
      </c>
      <c r="AJ52" s="13">
        <v>3826.8704991948298</v>
      </c>
      <c r="AK52" s="13">
        <v>3826.8704991948298</v>
      </c>
      <c r="AL52" s="56">
        <v>3826.8704991948298</v>
      </c>
      <c r="AM52" s="10"/>
    </row>
    <row r="53" spans="2:39" ht="15" hidden="1">
      <c r="B53" s="10"/>
      <c r="C53" s="11" t="str">
        <f>"EL 3: " &amp; INDEX(_doName,4,4)</f>
        <v>EL 3: EL 3</v>
      </c>
      <c r="D53" s="12"/>
      <c r="E53" s="13">
        <f t="array" ref="E53:AL53">tlccQubc3</f>
        <v>3889.3280650994502</v>
      </c>
      <c r="F53" s="13">
        <v>3889.3280650994502</v>
      </c>
      <c r="G53" s="13">
        <v>3889.3280650994502</v>
      </c>
      <c r="H53" s="13">
        <v>3889.3280650994502</v>
      </c>
      <c r="I53" s="13">
        <v>3889.3280650994502</v>
      </c>
      <c r="J53" s="13">
        <v>3889.3280650994502</v>
      </c>
      <c r="K53" s="13">
        <v>3889.3280650994502</v>
      </c>
      <c r="L53" s="13">
        <v>3889.3280650994502</v>
      </c>
      <c r="M53" s="13">
        <v>3889.3280650994502</v>
      </c>
      <c r="N53" s="13">
        <v>3889.3280650994502</v>
      </c>
      <c r="O53" s="13">
        <v>3889.3280650994502</v>
      </c>
      <c r="P53" s="13">
        <v>3889.3280650994502</v>
      </c>
      <c r="Q53" s="13">
        <v>3889.3280650994502</v>
      </c>
      <c r="R53" s="13">
        <v>3889.3280650994502</v>
      </c>
      <c r="S53" s="13">
        <v>3889.3280650994502</v>
      </c>
      <c r="T53" s="13">
        <v>3889.3280650994502</v>
      </c>
      <c r="U53" s="13">
        <v>3889.3280650994502</v>
      </c>
      <c r="V53" s="13">
        <v>3889.3280650994502</v>
      </c>
      <c r="W53" s="13">
        <v>3889.3280650994502</v>
      </c>
      <c r="X53" s="13">
        <v>3889.3280650994502</v>
      </c>
      <c r="Y53" s="13">
        <v>3889.3280650994502</v>
      </c>
      <c r="Z53" s="13">
        <v>3889.3280650994502</v>
      </c>
      <c r="AA53" s="13">
        <v>3889.3280650994502</v>
      </c>
      <c r="AB53" s="13">
        <v>3889.3280650994502</v>
      </c>
      <c r="AC53" s="13">
        <v>3889.3280650994502</v>
      </c>
      <c r="AD53" s="13">
        <v>3889.3280650994502</v>
      </c>
      <c r="AE53" s="13">
        <v>3889.3280650994502</v>
      </c>
      <c r="AF53" s="13">
        <v>3889.3280650994502</v>
      </c>
      <c r="AG53" s="13">
        <v>3889.3280650994502</v>
      </c>
      <c r="AH53" s="13">
        <v>3889.3280650994502</v>
      </c>
      <c r="AI53" s="13">
        <v>3889.3280650994502</v>
      </c>
      <c r="AJ53" s="13">
        <v>3889.3280650994502</v>
      </c>
      <c r="AK53" s="13">
        <v>3889.3280650994502</v>
      </c>
      <c r="AL53" s="56">
        <v>3889.3280650994502</v>
      </c>
      <c r="AM53" s="10"/>
    </row>
    <row r="54" spans="2:39" ht="15" hidden="1">
      <c r="B54" s="10"/>
      <c r="C54" s="11" t="str">
        <f>"EL 4: " &amp; INDEX(_doName,4,5)</f>
        <v>EL 4: EL 4</v>
      </c>
      <c r="D54" s="12"/>
      <c r="E54" s="13">
        <f t="array" ref="E54:AL54">tlccQubc4</f>
        <v>3850.15970260222</v>
      </c>
      <c r="F54" s="13">
        <v>3850.15970260222</v>
      </c>
      <c r="G54" s="13">
        <v>3850.15970260222</v>
      </c>
      <c r="H54" s="13">
        <v>3850.15970260222</v>
      </c>
      <c r="I54" s="13">
        <v>3850.15970260222</v>
      </c>
      <c r="J54" s="13">
        <v>3850.15970260222</v>
      </c>
      <c r="K54" s="13">
        <v>3850.15970260222</v>
      </c>
      <c r="L54" s="13">
        <v>3850.15970260222</v>
      </c>
      <c r="M54" s="13">
        <v>3850.15970260222</v>
      </c>
      <c r="N54" s="13">
        <v>3850.15970260222</v>
      </c>
      <c r="O54" s="13">
        <v>3850.15970260222</v>
      </c>
      <c r="P54" s="13">
        <v>3850.15970260222</v>
      </c>
      <c r="Q54" s="13">
        <v>3850.15970260222</v>
      </c>
      <c r="R54" s="13">
        <v>3850.15970260222</v>
      </c>
      <c r="S54" s="13">
        <v>3850.15970260222</v>
      </c>
      <c r="T54" s="13">
        <v>3850.15970260222</v>
      </c>
      <c r="U54" s="13">
        <v>3850.15970260222</v>
      </c>
      <c r="V54" s="13">
        <v>3850.15970260222</v>
      </c>
      <c r="W54" s="13">
        <v>3850.15970260222</v>
      </c>
      <c r="X54" s="13">
        <v>3850.15970260222</v>
      </c>
      <c r="Y54" s="13">
        <v>3850.15970260222</v>
      </c>
      <c r="Z54" s="13">
        <v>3850.15970260222</v>
      </c>
      <c r="AA54" s="13">
        <v>3850.15970260222</v>
      </c>
      <c r="AB54" s="13">
        <v>3850.15970260222</v>
      </c>
      <c r="AC54" s="13">
        <v>3850.15970260222</v>
      </c>
      <c r="AD54" s="13">
        <v>3850.15970260222</v>
      </c>
      <c r="AE54" s="13">
        <v>3850.15970260222</v>
      </c>
      <c r="AF54" s="13">
        <v>3850.15970260222</v>
      </c>
      <c r="AG54" s="13">
        <v>3850.15970260222</v>
      </c>
      <c r="AH54" s="13">
        <v>3850.15970260222</v>
      </c>
      <c r="AI54" s="13">
        <v>3850.15970260222</v>
      </c>
      <c r="AJ54" s="13">
        <v>3850.15970260222</v>
      </c>
      <c r="AK54" s="13">
        <v>3850.15970260222</v>
      </c>
      <c r="AL54" s="56">
        <v>3850.15970260222</v>
      </c>
      <c r="AM54" s="10"/>
    </row>
    <row r="55" spans="2:39" ht="15" hidden="1">
      <c r="B55" s="10"/>
      <c r="C55" s="11" t="str">
        <f>"EL 5: " &amp; INDEX(_doName,4,6)</f>
        <v>EL 5: EL 5</v>
      </c>
      <c r="D55" s="12"/>
      <c r="E55" s="13">
        <f t="array" ref="E55:AL55">tlccQubc5</f>
        <v>4270.3221718756804</v>
      </c>
      <c r="F55" s="13">
        <v>4270.3221718756804</v>
      </c>
      <c r="G55" s="13">
        <v>4270.3221718756804</v>
      </c>
      <c r="H55" s="13">
        <v>4270.3221718756804</v>
      </c>
      <c r="I55" s="13">
        <v>4270.3221718756804</v>
      </c>
      <c r="J55" s="13">
        <v>4270.3221718756804</v>
      </c>
      <c r="K55" s="13">
        <v>4270.3221718756804</v>
      </c>
      <c r="L55" s="13">
        <v>4270.3221718756804</v>
      </c>
      <c r="M55" s="13">
        <v>4270.3221718756804</v>
      </c>
      <c r="N55" s="13">
        <v>4270.3221718756804</v>
      </c>
      <c r="O55" s="13">
        <v>4270.3221718756804</v>
      </c>
      <c r="P55" s="13">
        <v>4270.3221718756804</v>
      </c>
      <c r="Q55" s="13">
        <v>4270.3221718756804</v>
      </c>
      <c r="R55" s="13">
        <v>4270.3221718756804</v>
      </c>
      <c r="S55" s="13">
        <v>4270.3221718756804</v>
      </c>
      <c r="T55" s="13">
        <v>4270.3221718756804</v>
      </c>
      <c r="U55" s="13">
        <v>4270.3221718756804</v>
      </c>
      <c r="V55" s="13">
        <v>4270.3221718756804</v>
      </c>
      <c r="W55" s="13">
        <v>4270.3221718756804</v>
      </c>
      <c r="X55" s="13">
        <v>4270.3221718756804</v>
      </c>
      <c r="Y55" s="13">
        <v>4270.3221718756804</v>
      </c>
      <c r="Z55" s="13">
        <v>4270.3221718756804</v>
      </c>
      <c r="AA55" s="13">
        <v>4270.3221718756804</v>
      </c>
      <c r="AB55" s="13">
        <v>4270.3221718756804</v>
      </c>
      <c r="AC55" s="13">
        <v>4270.3221718756804</v>
      </c>
      <c r="AD55" s="13">
        <v>4270.3221718756804</v>
      </c>
      <c r="AE55" s="13">
        <v>4270.3221718756804</v>
      </c>
      <c r="AF55" s="13">
        <v>4270.3221718756804</v>
      </c>
      <c r="AG55" s="13">
        <v>4270.3221718756804</v>
      </c>
      <c r="AH55" s="13">
        <v>4270.3221718756804</v>
      </c>
      <c r="AI55" s="13">
        <v>4270.3221718756804</v>
      </c>
      <c r="AJ55" s="13">
        <v>4270.3221718756804</v>
      </c>
      <c r="AK55" s="13">
        <v>4270.3221718756804</v>
      </c>
      <c r="AL55" s="56">
        <v>4270.3221718756804</v>
      </c>
      <c r="AM55" s="10"/>
    </row>
    <row r="56" spans="2:39" ht="15" hidden="1">
      <c r="B56" s="10"/>
      <c r="C56" s="21" t="str">
        <f>"EL 6: " &amp; INDEX(_doName,4,7)</f>
        <v>EL 6: EL 6</v>
      </c>
      <c r="D56" s="18"/>
      <c r="E56" s="58">
        <f t="array" ref="E56:AL56">tlccQubc6</f>
        <v>3807.3938091960199</v>
      </c>
      <c r="F56" s="58">
        <v>3807.3938091960199</v>
      </c>
      <c r="G56" s="58">
        <v>3807.3938091960199</v>
      </c>
      <c r="H56" s="58">
        <v>3807.3938091960199</v>
      </c>
      <c r="I56" s="58">
        <v>3807.3938091960199</v>
      </c>
      <c r="J56" s="58">
        <v>3807.3938091960199</v>
      </c>
      <c r="K56" s="58">
        <v>3807.3938091960199</v>
      </c>
      <c r="L56" s="58">
        <v>3807.3938091960199</v>
      </c>
      <c r="M56" s="58">
        <v>3807.3938091960199</v>
      </c>
      <c r="N56" s="58">
        <v>3807.3938091960199</v>
      </c>
      <c r="O56" s="58">
        <v>3807.3938091960199</v>
      </c>
      <c r="P56" s="58">
        <v>3807.3938091960199</v>
      </c>
      <c r="Q56" s="58">
        <v>3807.3938091960199</v>
      </c>
      <c r="R56" s="58">
        <v>3807.3938091960199</v>
      </c>
      <c r="S56" s="58">
        <v>3807.3938091960199</v>
      </c>
      <c r="T56" s="58">
        <v>3807.3938091960199</v>
      </c>
      <c r="U56" s="58">
        <v>3807.3938091960199</v>
      </c>
      <c r="V56" s="58">
        <v>3807.3938091960199</v>
      </c>
      <c r="W56" s="58">
        <v>3807.3938091960199</v>
      </c>
      <c r="X56" s="58">
        <v>3807.3938091960199</v>
      </c>
      <c r="Y56" s="58">
        <v>3807.3938091960199</v>
      </c>
      <c r="Z56" s="58">
        <v>3807.3938091960199</v>
      </c>
      <c r="AA56" s="58">
        <v>3807.3938091960199</v>
      </c>
      <c r="AB56" s="58">
        <v>3807.3938091960199</v>
      </c>
      <c r="AC56" s="58">
        <v>3807.3938091960199</v>
      </c>
      <c r="AD56" s="58">
        <v>3807.3938091960199</v>
      </c>
      <c r="AE56" s="58">
        <v>3807.3938091960199</v>
      </c>
      <c r="AF56" s="58">
        <v>3807.3938091960199</v>
      </c>
      <c r="AG56" s="58">
        <v>3807.3938091960199</v>
      </c>
      <c r="AH56" s="58">
        <v>3807.3938091960199</v>
      </c>
      <c r="AI56" s="58">
        <v>3807.3938091960199</v>
      </c>
      <c r="AJ56" s="58">
        <v>3807.3938091960199</v>
      </c>
      <c r="AK56" s="58">
        <v>3807.3938091960199</v>
      </c>
      <c r="AL56" s="59">
        <v>3807.3938091960199</v>
      </c>
      <c r="AM56" s="10"/>
    </row>
    <row r="57" spans="2:39" ht="15" hidden="1">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2:39" ht="15" hidden="1">
      <c r="B58" s="10"/>
      <c r="C58" s="22" t="s">
        <v>88</v>
      </c>
      <c r="D58" s="23"/>
      <c r="E58" s="24">
        <f t="array" ref="E58:AL58">_yS</f>
        <v>2019</v>
      </c>
      <c r="F58" s="24">
        <v>2020</v>
      </c>
      <c r="G58" s="24">
        <v>2021</v>
      </c>
      <c r="H58" s="24">
        <v>2022</v>
      </c>
      <c r="I58" s="24">
        <v>2023</v>
      </c>
      <c r="J58" s="24">
        <v>2024</v>
      </c>
      <c r="K58" s="24">
        <v>2025</v>
      </c>
      <c r="L58" s="24">
        <v>2026</v>
      </c>
      <c r="M58" s="24">
        <v>2027</v>
      </c>
      <c r="N58" s="24">
        <v>2028</v>
      </c>
      <c r="O58" s="24">
        <v>2029</v>
      </c>
      <c r="P58" s="24">
        <v>2030</v>
      </c>
      <c r="Q58" s="24">
        <v>2031</v>
      </c>
      <c r="R58" s="24">
        <v>2032</v>
      </c>
      <c r="S58" s="24">
        <v>2033</v>
      </c>
      <c r="T58" s="24">
        <v>2034</v>
      </c>
      <c r="U58" s="24">
        <v>2035</v>
      </c>
      <c r="V58" s="24">
        <v>2036</v>
      </c>
      <c r="W58" s="24">
        <v>2037</v>
      </c>
      <c r="X58" s="24">
        <v>2038</v>
      </c>
      <c r="Y58" s="24">
        <v>2039</v>
      </c>
      <c r="Z58" s="24">
        <v>2040</v>
      </c>
      <c r="AA58" s="24">
        <v>2041</v>
      </c>
      <c r="AB58" s="24">
        <v>2042</v>
      </c>
      <c r="AC58" s="24">
        <v>2043</v>
      </c>
      <c r="AD58" s="24">
        <v>2044</v>
      </c>
      <c r="AE58" s="24">
        <v>2045</v>
      </c>
      <c r="AF58" s="24">
        <v>2046</v>
      </c>
      <c r="AG58" s="24">
        <v>2047</v>
      </c>
      <c r="AH58" s="24">
        <v>2048</v>
      </c>
      <c r="AI58" s="24">
        <v>2049</v>
      </c>
      <c r="AJ58" s="24">
        <v>2050</v>
      </c>
      <c r="AK58" s="24">
        <v>2051</v>
      </c>
      <c r="AL58" s="25">
        <v>2052</v>
      </c>
      <c r="AM58" s="10"/>
    </row>
    <row r="59" spans="2:39" ht="15" hidden="1">
      <c r="B59" s="10"/>
      <c r="C59" s="11" t="str">
        <f>"EL 0: " &amp; INDEX(_doName,4,1)</f>
        <v>EL 0: EL 3</v>
      </c>
      <c r="D59" s="12"/>
      <c r="E59" s="13">
        <f t="array" aca="1" ref="E59:AL59" ca="1">tlccEubc0</f>
        <v>25758.398171155219</v>
      </c>
      <c r="F59" s="13">
        <f ca="1"/>
        <v>25978.087453252519</v>
      </c>
      <c r="G59" s="13">
        <f ca="1"/>
        <v>26189.84157165022</v>
      </c>
      <c r="H59" s="13">
        <f ca="1"/>
        <v>26376.998983464964</v>
      </c>
      <c r="I59" s="13">
        <f ca="1"/>
        <v>26543.086856061385</v>
      </c>
      <c r="J59" s="13">
        <f ca="1"/>
        <v>26710.24277846278</v>
      </c>
      <c r="K59" s="13">
        <f ca="1"/>
        <v>26878.473781226625</v>
      </c>
      <c r="L59" s="13">
        <f ca="1"/>
        <v>27047.78694234974</v>
      </c>
      <c r="M59" s="13">
        <f ca="1"/>
        <v>27218.189387596303</v>
      </c>
      <c r="N59" s="13">
        <f ca="1"/>
        <v>27389.688290828377</v>
      </c>
      <c r="O59" s="13">
        <f ca="1"/>
        <v>27562.290874338989</v>
      </c>
      <c r="P59" s="13">
        <f ca="1"/>
        <v>27736.004409187033</v>
      </c>
      <c r="Q59" s="13">
        <f ca="1"/>
        <v>27910.836215535135</v>
      </c>
      <c r="R59" s="13">
        <f ca="1"/>
        <v>28086.793662989498</v>
      </c>
      <c r="S59" s="13">
        <f ca="1"/>
        <v>28263.884170942372</v>
      </c>
      <c r="T59" s="13">
        <f ca="1"/>
        <v>28442.115208916846</v>
      </c>
      <c r="U59" s="13">
        <f ca="1"/>
        <v>28621.494296914199</v>
      </c>
      <c r="V59" s="13">
        <f ca="1"/>
        <v>28802.029005763517</v>
      </c>
      <c r="W59" s="13">
        <f ca="1"/>
        <v>28983.726957474024</v>
      </c>
      <c r="X59" s="13">
        <f ca="1"/>
        <v>29166.5958255898</v>
      </c>
      <c r="Y59" s="13">
        <f ca="1"/>
        <v>29350.643335546971</v>
      </c>
      <c r="Z59" s="13">
        <f ca="1"/>
        <v>29535.87726503353</v>
      </c>
      <c r="AA59" s="13">
        <f ca="1"/>
        <v>29722.305444351634</v>
      </c>
      <c r="AB59" s="13">
        <f ca="1"/>
        <v>29909.935756782575</v>
      </c>
      <c r="AC59" s="13">
        <f ca="1"/>
        <v>30098.776138954207</v>
      </c>
      <c r="AD59" s="13">
        <f ca="1"/>
        <v>30288.834581211057</v>
      </c>
      <c r="AE59" s="13">
        <f ca="1"/>
        <v>30480.119127987178</v>
      </c>
      <c r="AF59" s="13">
        <f ca="1"/>
        <v>30672.637878181358</v>
      </c>
      <c r="AG59" s="13">
        <f ca="1"/>
        <v>30866.398985535321</v>
      </c>
      <c r="AH59" s="13">
        <f ca="1"/>
        <v>31061.410659014404</v>
      </c>
      <c r="AI59" s="13">
        <f ca="1"/>
        <v>31257.681163190988</v>
      </c>
      <c r="AJ59" s="13">
        <f ca="1"/>
        <v>31455.218818630787</v>
      </c>
      <c r="AK59" s="13">
        <f ca="1"/>
        <v>31654.032002281594</v>
      </c>
      <c r="AL59" s="56">
        <f ca="1"/>
        <v>31854.129147865122</v>
      </c>
      <c r="AM59" s="10"/>
    </row>
    <row r="60" spans="2:39" ht="15" hidden="1">
      <c r="B60" s="10"/>
      <c r="C60" s="11" t="str">
        <f>"EL 1: " &amp; INDEX(_doName,4,2)</f>
        <v>EL 1: EL 1</v>
      </c>
      <c r="D60" s="12"/>
      <c r="E60" s="13">
        <f t="array" aca="1" ref="E60:AL60" ca="1">tlccEubc1</f>
        <v>31131.953466090468</v>
      </c>
      <c r="F60" s="13">
        <f ca="1"/>
        <v>31397.472946836391</v>
      </c>
      <c r="G60" s="13">
        <f ca="1"/>
        <v>31653.401879854897</v>
      </c>
      <c r="H60" s="13">
        <f ca="1"/>
        <v>31879.602895800665</v>
      </c>
      <c r="I60" s="13">
        <f ca="1"/>
        <v>32080.338977547563</v>
      </c>
      <c r="J60" s="13">
        <f ca="1"/>
        <v>32282.365918943658</v>
      </c>
      <c r="K60" s="13">
        <f ca="1"/>
        <v>32485.692217217256</v>
      </c>
      <c r="L60" s="13">
        <f ca="1"/>
        <v>32690.326426932352</v>
      </c>
      <c r="M60" s="13">
        <f ca="1"/>
        <v>32896.277160385325</v>
      </c>
      <c r="N60" s="13">
        <f ca="1"/>
        <v>33103.553088004395</v>
      </c>
      <c r="O60" s="13">
        <f ca="1"/>
        <v>33312.162938751848</v>
      </c>
      <c r="P60" s="13">
        <f ca="1"/>
        <v>33522.115500529391</v>
      </c>
      <c r="Q60" s="13">
        <f ca="1"/>
        <v>33733.419620585933</v>
      </c>
      <c r="R60" s="13">
        <f ca="1"/>
        <v>33946.08420592863</v>
      </c>
      <c r="S60" s="13">
        <f ca="1"/>
        <v>34160.118223736805</v>
      </c>
      <c r="T60" s="13">
        <f ca="1"/>
        <v>34375.530701778567</v>
      </c>
      <c r="U60" s="13">
        <f ca="1"/>
        <v>34592.33072883058</v>
      </c>
      <c r="V60" s="13">
        <f ca="1"/>
        <v>34810.52745510079</v>
      </c>
      <c r="W60" s="13">
        <f ca="1"/>
        <v>35030.130092654144</v>
      </c>
      <c r="X60" s="13">
        <f ca="1"/>
        <v>35251.147915841349</v>
      </c>
      <c r="Y60" s="13">
        <f ca="1"/>
        <v>35473.590261730424</v>
      </c>
      <c r="Z60" s="13">
        <f ca="1"/>
        <v>35697.466530541817</v>
      </c>
      <c r="AA60" s="13">
        <f ca="1"/>
        <v>35922.786186086196</v>
      </c>
      <c r="AB60" s="13">
        <f ca="1"/>
        <v>36149.558756205435</v>
      </c>
      <c r="AC60" s="13">
        <f ca="1"/>
        <v>36377.793833216878</v>
      </c>
      <c r="AD60" s="13">
        <f ca="1"/>
        <v>36607.50107436064</v>
      </c>
      <c r="AE60" s="13">
        <f ca="1"/>
        <v>36838.690202250022</v>
      </c>
      <c r="AF60" s="13">
        <f ca="1"/>
        <v>37071.371005325193</v>
      </c>
      <c r="AG60" s="13">
        <f ca="1"/>
        <v>37305.553338310354</v>
      </c>
      <c r="AH60" s="13">
        <f ca="1"/>
        <v>37541.247122673594</v>
      </c>
      <c r="AI60" s="13">
        <f ca="1"/>
        <v>37778.462347090586</v>
      </c>
      <c r="AJ60" s="13">
        <f ca="1"/>
        <v>38017.209067911084</v>
      </c>
      <c r="AK60" s="13">
        <f ca="1"/>
        <v>38257.497409629214</v>
      </c>
      <c r="AL60" s="56">
        <f ca="1"/>
        <v>38499.337565356771</v>
      </c>
      <c r="AM60" s="10"/>
    </row>
    <row r="61" spans="2:39" ht="15" hidden="1">
      <c r="B61" s="10"/>
      <c r="C61" s="11" t="str">
        <f>"EL 2: " &amp; INDEX(_doName,4,3)</f>
        <v>EL 2: EL 2</v>
      </c>
      <c r="D61" s="12"/>
      <c r="E61" s="13">
        <f t="array" aca="1" ref="E61:AL61" ca="1">tlccEubc2</f>
        <v>29152.630643405566</v>
      </c>
      <c r="F61" s="13">
        <f ca="1"/>
        <v>29401.268794533647</v>
      </c>
      <c r="G61" s="13">
        <f ca="1"/>
        <v>29640.926150548145</v>
      </c>
      <c r="H61" s="13">
        <f ca="1"/>
        <v>29852.745645788382</v>
      </c>
      <c r="I61" s="13">
        <f ca="1"/>
        <v>30040.719229082661</v>
      </c>
      <c r="J61" s="13">
        <f ca="1"/>
        <v>30229.901601109279</v>
      </c>
      <c r="K61" s="13">
        <f ca="1"/>
        <v>30420.300718855542</v>
      </c>
      <c r="L61" s="13">
        <f ca="1"/>
        <v>30611.924592999101</v>
      </c>
      <c r="M61" s="13">
        <f ca="1"/>
        <v>30804.781288279504</v>
      </c>
      <c r="N61" s="13">
        <f ca="1"/>
        <v>30998.878923872133</v>
      </c>
      <c r="O61" s="13">
        <f ca="1"/>
        <v>31194.225673765013</v>
      </c>
      <c r="P61" s="13">
        <f ca="1"/>
        <v>31390.829767138192</v>
      </c>
      <c r="Q61" s="13">
        <f ca="1"/>
        <v>31588.69948874585</v>
      </c>
      <c r="R61" s="13">
        <f ca="1"/>
        <v>31787.843179301017</v>
      </c>
      <c r="S61" s="13">
        <f ca="1"/>
        <v>31988.269235863198</v>
      </c>
      <c r="T61" s="13">
        <f ca="1"/>
        <v>32189.986112228573</v>
      </c>
      <c r="U61" s="13">
        <f ca="1"/>
        <v>32393.00231932307</v>
      </c>
      <c r="V61" s="13">
        <f ca="1"/>
        <v>32597.32642559813</v>
      </c>
      <c r="W61" s="13">
        <f ca="1"/>
        <v>32802.967057429494</v>
      </c>
      <c r="X61" s="13">
        <f ca="1"/>
        <v>33009.932899518491</v>
      </c>
      <c r="Y61" s="13">
        <f ca="1"/>
        <v>33218.232695296472</v>
      </c>
      <c r="Z61" s="13">
        <f ca="1"/>
        <v>33427.875247332013</v>
      </c>
      <c r="AA61" s="13">
        <f ca="1"/>
        <v>33638.86941774084</v>
      </c>
      <c r="AB61" s="13">
        <f ca="1"/>
        <v>33851.224128599024</v>
      </c>
      <c r="AC61" s="13">
        <f ca="1"/>
        <v>34064.948362358809</v>
      </c>
      <c r="AD61" s="13">
        <f ca="1"/>
        <v>34280.05116226738</v>
      </c>
      <c r="AE61" s="13">
        <f ca="1"/>
        <v>34496.54163278894</v>
      </c>
      <c r="AF61" s="13">
        <f ca="1"/>
        <v>34714.428940029407</v>
      </c>
      <c r="AG61" s="13">
        <f ca="1"/>
        <v>34933.722312164355</v>
      </c>
      <c r="AH61" s="13">
        <f ca="1"/>
        <v>35154.431039869902</v>
      </c>
      <c r="AI61" s="13">
        <f ca="1"/>
        <v>35376.56447675659</v>
      </c>
      <c r="AJ61" s="13">
        <f ca="1"/>
        <v>35600.132039806769</v>
      </c>
      <c r="AK61" s="13">
        <f ca="1"/>
        <v>35825.143209814261</v>
      </c>
      <c r="AL61" s="56">
        <f ca="1"/>
        <v>36051.607531828246</v>
      </c>
      <c r="AM61" s="10"/>
    </row>
    <row r="62" spans="2:39" ht="15" hidden="1">
      <c r="B62" s="10"/>
      <c r="C62" s="11" t="str">
        <f>"EL 3: " &amp; INDEX(_doName,4,4)</f>
        <v>EL 3: EL 3</v>
      </c>
      <c r="D62" s="12"/>
      <c r="E62" s="13">
        <f t="array" aca="1" ref="E62:AL62" ca="1">tlccEubc3</f>
        <v>26491.475009857528</v>
      </c>
      <c r="F62" s="13">
        <f ca="1"/>
        <v>26717.41658774381</v>
      </c>
      <c r="G62" s="13">
        <f ca="1"/>
        <v>26935.197169381405</v>
      </c>
      <c r="H62" s="13">
        <f ca="1"/>
        <v>27127.681029016429</v>
      </c>
      <c r="I62" s="13">
        <f ca="1"/>
        <v>27298.495716214486</v>
      </c>
      <c r="J62" s="13">
        <f ca="1"/>
        <v>27470.40884961751</v>
      </c>
      <c r="K62" s="13">
        <f ca="1"/>
        <v>27643.427659870737</v>
      </c>
      <c r="L62" s="13">
        <f ca="1"/>
        <v>27817.559426408756</v>
      </c>
      <c r="M62" s="13">
        <f ca="1"/>
        <v>27992.811477793006</v>
      </c>
      <c r="N62" s="13">
        <f ca="1"/>
        <v>28169.191192051741</v>
      </c>
      <c r="O62" s="13">
        <f ca="1"/>
        <v>28346.705997022353</v>
      </c>
      <c r="P62" s="13">
        <f ca="1"/>
        <v>28525.363370696083</v>
      </c>
      <c r="Q62" s="13">
        <f ca="1"/>
        <v>28705.170841565345</v>
      </c>
      <c r="R62" s="13">
        <f ca="1"/>
        <v>28886.135988973299</v>
      </c>
      <c r="S62" s="13">
        <f ca="1"/>
        <v>29068.266443466018</v>
      </c>
      <c r="T62" s="13">
        <f ca="1"/>
        <v>29251.569887147114</v>
      </c>
      <c r="U62" s="13">
        <f ca="1"/>
        <v>29436.054054035023</v>
      </c>
      <c r="V62" s="13">
        <f ca="1"/>
        <v>29621.726730422524</v>
      </c>
      <c r="W62" s="13">
        <f ca="1"/>
        <v>29808.595755239112</v>
      </c>
      <c r="X62" s="13">
        <f ca="1"/>
        <v>29996.669020415797</v>
      </c>
      <c r="Y62" s="13">
        <f ca="1"/>
        <v>30185.95447125244</v>
      </c>
      <c r="Z62" s="13">
        <f ca="1"/>
        <v>30376.460106787879</v>
      </c>
      <c r="AA62" s="13">
        <f ca="1"/>
        <v>30568.193980172502</v>
      </c>
      <c r="AB62" s="13">
        <f ca="1"/>
        <v>30761.164199043578</v>
      </c>
      <c r="AC62" s="13">
        <f ca="1"/>
        <v>30955.378925903173</v>
      </c>
      <c r="AD62" s="13">
        <f ca="1"/>
        <v>31150.846378498834</v>
      </c>
      <c r="AE62" s="13">
        <f ca="1"/>
        <v>31347.574830206893</v>
      </c>
      <c r="AF62" s="13">
        <f ca="1"/>
        <v>31545.572610418581</v>
      </c>
      <c r="AG62" s="13">
        <f ca="1"/>
        <v>31744.848104928878</v>
      </c>
      <c r="AH62" s="13">
        <f ca="1"/>
        <v>31945.409756327932</v>
      </c>
      <c r="AI62" s="13">
        <f ca="1"/>
        <v>32147.266064395615</v>
      </c>
      <c r="AJ62" s="13">
        <f ca="1"/>
        <v>32350.425586498557</v>
      </c>
      <c r="AK62" s="13">
        <f ca="1"/>
        <v>32554.89693799019</v>
      </c>
      <c r="AL62" s="56">
        <f ca="1"/>
        <v>32760.688792613586</v>
      </c>
      <c r="AM62" s="10"/>
    </row>
    <row r="63" spans="2:39" ht="15" hidden="1">
      <c r="B63" s="10"/>
      <c r="C63" s="11" t="str">
        <f>"EL 4: " &amp; INDEX(_doName,4,5)</f>
        <v>EL 4: EL 4</v>
      </c>
      <c r="D63" s="12"/>
      <c r="E63" s="13">
        <f t="array" aca="1" ref="E63:AL63" ca="1">tlccEubc4</f>
        <v>25347.715564952447</v>
      </c>
      <c r="F63" s="13">
        <f ca="1"/>
        <v>25563.902200405057</v>
      </c>
      <c r="G63" s="13">
        <f ca="1"/>
        <v>25772.280187544922</v>
      </c>
      <c r="H63" s="13">
        <f ca="1"/>
        <v>25956.453629116488</v>
      </c>
      <c r="I63" s="13">
        <f ca="1"/>
        <v>26119.893456600668</v>
      </c>
      <c r="J63" s="13">
        <f ca="1"/>
        <v>26284.384305289099</v>
      </c>
      <c r="K63" s="13">
        <f ca="1"/>
        <v>26449.933093646614</v>
      </c>
      <c r="L63" s="13">
        <f ca="1"/>
        <v>26616.546786820967</v>
      </c>
      <c r="M63" s="13">
        <f ca="1"/>
        <v>26784.232396965701</v>
      </c>
      <c r="N63" s="13">
        <f ca="1"/>
        <v>26952.996983565539</v>
      </c>
      <c r="O63" s="13">
        <f ca="1"/>
        <v>27122.847653763736</v>
      </c>
      <c r="P63" s="13">
        <f ca="1"/>
        <v>27293.791562692084</v>
      </c>
      <c r="Q63" s="13">
        <f ca="1"/>
        <v>27465.835913803214</v>
      </c>
      <c r="R63" s="13">
        <f ca="1"/>
        <v>27638.987959204987</v>
      </c>
      <c r="S63" s="13">
        <f ca="1"/>
        <v>27813.254999997484</v>
      </c>
      <c r="T63" s="13">
        <f ca="1"/>
        <v>27988.644386612465</v>
      </c>
      <c r="U63" s="13">
        <f ca="1"/>
        <v>28165.163519154994</v>
      </c>
      <c r="V63" s="13">
        <f ca="1"/>
        <v>28342.819847747607</v>
      </c>
      <c r="W63" s="13">
        <f ca="1"/>
        <v>28521.620872876949</v>
      </c>
      <c r="X63" s="13">
        <f ca="1"/>
        <v>28701.574145742889</v>
      </c>
      <c r="Y63" s="13">
        <f ca="1"/>
        <v>28882.687268609996</v>
      </c>
      <c r="Z63" s="13">
        <f ca="1"/>
        <v>29064.96789516159</v>
      </c>
      <c r="AA63" s="13">
        <f ca="1"/>
        <v>29248.423730856332</v>
      </c>
      <c r="AB63" s="13">
        <f ca="1"/>
        <v>29433.062533287335</v>
      </c>
      <c r="AC63" s="13">
        <f ca="1"/>
        <v>29618.892112543675</v>
      </c>
      <c r="AD63" s="13">
        <f ca="1"/>
        <v>29805.920331574773</v>
      </c>
      <c r="AE63" s="13">
        <f ca="1"/>
        <v>29994.155106557053</v>
      </c>
      <c r="AF63" s="13">
        <f ca="1"/>
        <v>30183.604407263454</v>
      </c>
      <c r="AG63" s="13">
        <f ca="1"/>
        <v>30374.27625743534</v>
      </c>
      <c r="AH63" s="13">
        <f ca="1"/>
        <v>30566.178735157278</v>
      </c>
      <c r="AI63" s="13">
        <f ca="1"/>
        <v>30759.319973234316</v>
      </c>
      <c r="AJ63" s="13">
        <f ca="1"/>
        <v>30953.70815957203</v>
      </c>
      <c r="AK63" s="13">
        <f ca="1"/>
        <v>31149.3515375592</v>
      </c>
      <c r="AL63" s="56">
        <f ca="1"/>
        <v>31346.258406453311</v>
      </c>
      <c r="AM63" s="10"/>
    </row>
    <row r="64" spans="2:39" ht="15" hidden="1">
      <c r="B64" s="10"/>
      <c r="C64" s="11" t="str">
        <f>"EL 5: " &amp; INDEX(_doName,4,6)</f>
        <v>EL 5: EL 5</v>
      </c>
      <c r="D64" s="12"/>
      <c r="E64" s="13">
        <f t="array" aca="1" ref="E64:AL64" ca="1">tlccEubc5</f>
        <v>28915.848984115946</v>
      </c>
      <c r="F64" s="13">
        <f ca="1"/>
        <v>29162.467662123152</v>
      </c>
      <c r="G64" s="13">
        <f ca="1"/>
        <v>29400.178488264883</v>
      </c>
      <c r="H64" s="13">
        <f ca="1"/>
        <v>29610.277556550638</v>
      </c>
      <c r="I64" s="13">
        <f ca="1"/>
        <v>29796.724392653567</v>
      </c>
      <c r="J64" s="13">
        <f ca="1"/>
        <v>29984.370199541172</v>
      </c>
      <c r="K64" s="13">
        <f ca="1"/>
        <v>30173.222869573034</v>
      </c>
      <c r="L64" s="13">
        <f ca="1"/>
        <v>30363.290348362989</v>
      </c>
      <c r="M64" s="13">
        <f ca="1"/>
        <v>30554.580635147635</v>
      </c>
      <c r="N64" s="13">
        <f ca="1"/>
        <v>30747.101783157301</v>
      </c>
      <c r="O64" s="13">
        <f ca="1"/>
        <v>30940.861899989777</v>
      </c>
      <c r="P64" s="13">
        <f ca="1"/>
        <v>31135.869147986581</v>
      </c>
      <c r="Q64" s="13">
        <f ca="1"/>
        <v>31332.131744611979</v>
      </c>
      <c r="R64" s="13">
        <f ca="1"/>
        <v>31529.657962834608</v>
      </c>
      <c r="S64" s="13">
        <f ca="1"/>
        <v>31728.456131511881</v>
      </c>
      <c r="T64" s="13">
        <f ca="1"/>
        <v>31928.534635777087</v>
      </c>
      <c r="U64" s="13">
        <f ca="1"/>
        <v>32129.901917429266</v>
      </c>
      <c r="V64" s="13">
        <f ca="1"/>
        <v>32332.566475325712</v>
      </c>
      <c r="W64" s="13">
        <f ca="1"/>
        <v>32536.536865777551</v>
      </c>
      <c r="X64" s="13">
        <f ca="1"/>
        <v>32741.821702947778</v>
      </c>
      <c r="Y64" s="13">
        <f ca="1"/>
        <v>32948.429659252455</v>
      </c>
      <c r="Z64" s="13">
        <f ca="1"/>
        <v>33156.369465764408</v>
      </c>
      <c r="AA64" s="13">
        <f ca="1"/>
        <v>33365.649912620109</v>
      </c>
      <c r="AB64" s="13">
        <f ca="1"/>
        <v>33576.279849429273</v>
      </c>
      <c r="AC64" s="13">
        <f ca="1"/>
        <v>33788.268185687375</v>
      </c>
      <c r="AD64" s="13">
        <f ca="1"/>
        <v>34001.623891191244</v>
      </c>
      <c r="AE64" s="13">
        <f ca="1"/>
        <v>34216.355996457278</v>
      </c>
      <c r="AF64" s="13">
        <f ca="1"/>
        <v>34432.47359314304</v>
      </c>
      <c r="AG64" s="13">
        <f ca="1"/>
        <v>34649.985834471649</v>
      </c>
      <c r="AH64" s="13">
        <f ca="1"/>
        <v>34868.901935658978</v>
      </c>
      <c r="AI64" s="13">
        <f ca="1"/>
        <v>35089.231174344444</v>
      </c>
      <c r="AJ64" s="13">
        <f ca="1"/>
        <v>35310.982891024141</v>
      </c>
      <c r="AK64" s="13">
        <f ca="1"/>
        <v>35534.166489487783</v>
      </c>
      <c r="AL64" s="56">
        <f ca="1"/>
        <v>35758.791437258231</v>
      </c>
      <c r="AM64" s="10"/>
    </row>
    <row r="65" spans="2:39" ht="15" hidden="1">
      <c r="B65" s="10"/>
      <c r="C65" s="21" t="str">
        <f>"EL 6: " &amp; INDEX(_doName,4,7)</f>
        <v>EL 6: EL 6</v>
      </c>
      <c r="D65" s="18"/>
      <c r="E65" s="58">
        <f t="array" aca="1" ref="E65:AL65" ca="1">tlccEubc6</f>
        <v>19960.13909314838</v>
      </c>
      <c r="F65" s="58">
        <f ca="1"/>
        <v>20130.375945564392</v>
      </c>
      <c r="G65" s="58">
        <f ca="1"/>
        <v>20294.463853076366</v>
      </c>
      <c r="H65" s="58">
        <f ca="1"/>
        <v>20439.491814338297</v>
      </c>
      <c r="I65" s="58">
        <f ca="1"/>
        <v>20568.193025364009</v>
      </c>
      <c r="J65" s="58">
        <f ca="1"/>
        <v>20697.721866373682</v>
      </c>
      <c r="K65" s="58">
        <f ca="1"/>
        <v>20828.083785334406</v>
      </c>
      <c r="L65" s="58">
        <f ca="1"/>
        <v>20959.284266973922</v>
      </c>
      <c r="M65" s="58">
        <f ca="1"/>
        <v>21091.328833034811</v>
      </c>
      <c r="N65" s="58">
        <f ca="1"/>
        <v>21224.22304253067</v>
      </c>
      <c r="O65" s="58">
        <f ca="1"/>
        <v>21357.972492004043</v>
      </c>
      <c r="P65" s="58">
        <f ca="1"/>
        <v>21492.582815786209</v>
      </c>
      <c r="Q65" s="58">
        <f ca="1"/>
        <v>21628.059686258788</v>
      </c>
      <c r="R65" s="58">
        <f ca="1"/>
        <v>21764.408814117112</v>
      </c>
      <c r="S65" s="58">
        <f ca="1"/>
        <v>21901.635948635678</v>
      </c>
      <c r="T65" s="58">
        <f ca="1"/>
        <v>22039.746877935249</v>
      </c>
      <c r="U65" s="58">
        <f ca="1"/>
        <v>22178.747429252093</v>
      </c>
      <c r="V65" s="58">
        <f ca="1"/>
        <v>22318.643469208819</v>
      </c>
      <c r="W65" s="58">
        <f ca="1"/>
        <v>22459.440904087493</v>
      </c>
      <c r="X65" s="58">
        <f ca="1"/>
        <v>22601.145680104379</v>
      </c>
      <c r="Y65" s="58">
        <f ca="1"/>
        <v>22743.763783686849</v>
      </c>
      <c r="Z65" s="58">
        <f ca="1"/>
        <v>22887.301241752186</v>
      </c>
      <c r="AA65" s="58">
        <f ca="1"/>
        <v>23031.764121988235</v>
      </c>
      <c r="AB65" s="58">
        <f ca="1"/>
        <v>23177.158533136284</v>
      </c>
      <c r="AC65" s="58">
        <f ca="1"/>
        <v>23323.490625275848</v>
      </c>
      <c r="AD65" s="58">
        <f ca="1"/>
        <v>23470.766590111372</v>
      </c>
      <c r="AE65" s="58">
        <f ca="1"/>
        <v>23618.992661261102</v>
      </c>
      <c r="AF65" s="58">
        <f ca="1"/>
        <v>23768.175114548038</v>
      </c>
      <c r="AG65" s="58">
        <f ca="1"/>
        <v>23918.320268292828</v>
      </c>
      <c r="AH65" s="58">
        <f ca="1"/>
        <v>24069.434483608809</v>
      </c>
      <c r="AI65" s="58">
        <f ca="1"/>
        <v>24221.524164699054</v>
      </c>
      <c r="AJ65" s="58">
        <f ca="1"/>
        <v>24374.595759155865</v>
      </c>
      <c r="AK65" s="58">
        <f ca="1"/>
        <v>24528.655758261939</v>
      </c>
      <c r="AL65" s="59">
        <f ca="1"/>
        <v>24683.7106972939</v>
      </c>
      <c r="AM65" s="10"/>
    </row>
    <row r="66" spans="2:39" ht="15" hidden="1">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2:39" ht="15" hidden="1">
      <c r="B67" s="10"/>
      <c r="C67" s="22" t="s">
        <v>87</v>
      </c>
      <c r="D67" s="23"/>
      <c r="E67" s="24">
        <f t="array" ref="E67:AL67">_yS</f>
        <v>2019</v>
      </c>
      <c r="F67" s="24">
        <v>2020</v>
      </c>
      <c r="G67" s="24">
        <v>2021</v>
      </c>
      <c r="H67" s="24">
        <v>2022</v>
      </c>
      <c r="I67" s="24">
        <v>2023</v>
      </c>
      <c r="J67" s="24">
        <v>2024</v>
      </c>
      <c r="K67" s="24">
        <v>2025</v>
      </c>
      <c r="L67" s="24">
        <v>2026</v>
      </c>
      <c r="M67" s="24">
        <v>2027</v>
      </c>
      <c r="N67" s="24">
        <v>2028</v>
      </c>
      <c r="O67" s="24">
        <v>2029</v>
      </c>
      <c r="P67" s="24">
        <v>2030</v>
      </c>
      <c r="Q67" s="24">
        <v>2031</v>
      </c>
      <c r="R67" s="24">
        <v>2032</v>
      </c>
      <c r="S67" s="24">
        <v>2033</v>
      </c>
      <c r="T67" s="24">
        <v>2034</v>
      </c>
      <c r="U67" s="24">
        <v>2035</v>
      </c>
      <c r="V67" s="24">
        <v>2036</v>
      </c>
      <c r="W67" s="24">
        <v>2037</v>
      </c>
      <c r="X67" s="24">
        <v>2038</v>
      </c>
      <c r="Y67" s="24">
        <v>2039</v>
      </c>
      <c r="Z67" s="24">
        <v>2040</v>
      </c>
      <c r="AA67" s="24">
        <v>2041</v>
      </c>
      <c r="AB67" s="24">
        <v>2042</v>
      </c>
      <c r="AC67" s="24">
        <v>2043</v>
      </c>
      <c r="AD67" s="24">
        <v>2044</v>
      </c>
      <c r="AE67" s="24">
        <v>2045</v>
      </c>
      <c r="AF67" s="24">
        <v>2046</v>
      </c>
      <c r="AG67" s="24">
        <v>2047</v>
      </c>
      <c r="AH67" s="24">
        <v>2048</v>
      </c>
      <c r="AI67" s="24">
        <v>2049</v>
      </c>
      <c r="AJ67" s="24">
        <v>2050</v>
      </c>
      <c r="AK67" s="24">
        <v>2051</v>
      </c>
      <c r="AL67" s="25">
        <v>2052</v>
      </c>
      <c r="AM67" s="10"/>
    </row>
    <row r="68" spans="2:39" ht="15" hidden="1">
      <c r="B68" s="10"/>
      <c r="C68" s="11" t="str">
        <f>"EL 0: " &amp; INDEX(_doName,4,1)</f>
        <v>EL 0: EL 3</v>
      </c>
      <c r="D68" s="12"/>
      <c r="E68" s="13">
        <f t="array" aca="1" ref="E68:AL68" ca="1">tlccFubcElec0</f>
        <v>4279.2381141165997</v>
      </c>
      <c r="F68" s="13">
        <f ca="1"/>
        <v>4236.9649072136053</v>
      </c>
      <c r="G68" s="13">
        <f ca="1"/>
        <v>4199.3459345790743</v>
      </c>
      <c r="H68" s="13">
        <f ca="1"/>
        <v>4163.2096246000674</v>
      </c>
      <c r="I68" s="13">
        <f ca="1"/>
        <v>4131.3063466777812</v>
      </c>
      <c r="J68" s="13">
        <f ca="1"/>
        <v>4106.2706905202367</v>
      </c>
      <c r="K68" s="13">
        <f ca="1"/>
        <v>4085.2175491795851</v>
      </c>
      <c r="L68" s="13">
        <f ca="1"/>
        <v>4063.8611304592014</v>
      </c>
      <c r="M68" s="13">
        <f ca="1"/>
        <v>4046.5418713868285</v>
      </c>
      <c r="N68" s="13">
        <f ca="1"/>
        <v>4034.3312428626468</v>
      </c>
      <c r="O68" s="13">
        <f ca="1"/>
        <v>4025.2194360807434</v>
      </c>
      <c r="P68" s="13">
        <f ca="1"/>
        <v>4017.4407588543932</v>
      </c>
      <c r="Q68" s="13">
        <f ca="1"/>
        <v>4011.599103746677</v>
      </c>
      <c r="R68" s="13">
        <f ca="1"/>
        <v>4007.0678406507218</v>
      </c>
      <c r="S68" s="13">
        <f ca="1"/>
        <v>4006.1433576667182</v>
      </c>
      <c r="T68" s="13">
        <f ca="1"/>
        <v>4006.8615083056848</v>
      </c>
      <c r="U68" s="13">
        <f ca="1"/>
        <v>4008.1301213472207</v>
      </c>
      <c r="V68" s="13">
        <f ca="1"/>
        <v>4010.0947837985204</v>
      </c>
      <c r="W68" s="13">
        <f ca="1"/>
        <v>4011.9884193938824</v>
      </c>
      <c r="X68" s="13">
        <f ca="1"/>
        <v>4013.5611095103432</v>
      </c>
      <c r="Y68" s="13">
        <f ca="1"/>
        <v>4014.614720387508</v>
      </c>
      <c r="Z68" s="13">
        <f ca="1"/>
        <v>4015.340287506081</v>
      </c>
      <c r="AA68" s="13">
        <f ca="1"/>
        <v>4015.340287506081</v>
      </c>
      <c r="AB68" s="13">
        <f ca="1"/>
        <v>4015.340287506081</v>
      </c>
      <c r="AC68" s="13">
        <f ca="1"/>
        <v>4015.340287506081</v>
      </c>
      <c r="AD68" s="13">
        <f ca="1"/>
        <v>4015.340287506081</v>
      </c>
      <c r="AE68" s="13">
        <f ca="1"/>
        <v>4015.340287506081</v>
      </c>
      <c r="AF68" s="13">
        <f ca="1"/>
        <v>4015.340287506081</v>
      </c>
      <c r="AG68" s="13">
        <f ca="1"/>
        <v>4015.340287506081</v>
      </c>
      <c r="AH68" s="13">
        <f ca="1"/>
        <v>4015.340287506081</v>
      </c>
      <c r="AI68" s="13">
        <f ca="1"/>
        <v>4015.340287506081</v>
      </c>
      <c r="AJ68" s="13">
        <f ca="1"/>
        <v>4015.340287506081</v>
      </c>
      <c r="AK68" s="13">
        <f ca="1"/>
        <v>4015.340287506081</v>
      </c>
      <c r="AL68" s="56">
        <f ca="1"/>
        <v>4015.340287506081</v>
      </c>
      <c r="AM68" s="10"/>
    </row>
    <row r="69" spans="2:39" ht="15" hidden="1">
      <c r="B69" s="10"/>
      <c r="C69" s="11" t="str">
        <f>"EL 1: " &amp; INDEX(_doName,4,2)</f>
        <v>EL 1: EL 1</v>
      </c>
      <c r="D69" s="12"/>
      <c r="E69" s="13">
        <f t="array" aca="1" ref="E69:AL69" ca="1">tlccFubcElec1</f>
        <v>5171.9459010530545</v>
      </c>
      <c r="F69" s="13">
        <f ca="1"/>
        <v>5120.853923150481</v>
      </c>
      <c r="G69" s="13">
        <f ca="1"/>
        <v>5075.3871166465005</v>
      </c>
      <c r="H69" s="13">
        <f ca="1"/>
        <v>5031.7122765719168</v>
      </c>
      <c r="I69" s="13">
        <f ca="1"/>
        <v>4993.1535371234122</v>
      </c>
      <c r="J69" s="13">
        <f ca="1"/>
        <v>4962.8950995718678</v>
      </c>
      <c r="K69" s="13">
        <f ca="1"/>
        <v>4937.4499840729459</v>
      </c>
      <c r="L69" s="13">
        <f ca="1"/>
        <v>4911.6383233715496</v>
      </c>
      <c r="M69" s="13">
        <f ca="1"/>
        <v>4890.706029215462</v>
      </c>
      <c r="N69" s="13">
        <f ca="1"/>
        <v>4875.9480960365172</v>
      </c>
      <c r="O69" s="13">
        <f ca="1"/>
        <v>4864.9354413348792</v>
      </c>
      <c r="P69" s="13">
        <f ca="1"/>
        <v>4855.5340253062359</v>
      </c>
      <c r="Q69" s="13">
        <f ca="1"/>
        <v>4848.4737207884646</v>
      </c>
      <c r="R69" s="13">
        <f ca="1"/>
        <v>4842.9971740362735</v>
      </c>
      <c r="S69" s="13">
        <f ca="1"/>
        <v>4841.8798312167801</v>
      </c>
      <c r="T69" s="13">
        <f ca="1"/>
        <v>4842.7477979329315</v>
      </c>
      <c r="U69" s="13">
        <f ca="1"/>
        <v>4844.2810610618399</v>
      </c>
      <c r="V69" s="13">
        <f ca="1"/>
        <v>4846.6555790580305</v>
      </c>
      <c r="W69" s="13">
        <f ca="1"/>
        <v>4848.9442530215592</v>
      </c>
      <c r="X69" s="13">
        <f ca="1"/>
        <v>4850.8450278755281</v>
      </c>
      <c r="Y69" s="13">
        <f ca="1"/>
        <v>4852.1184364384872</v>
      </c>
      <c r="Z69" s="13">
        <f ca="1"/>
        <v>4852.9953668136541</v>
      </c>
      <c r="AA69" s="13">
        <f ca="1"/>
        <v>4852.9953668136541</v>
      </c>
      <c r="AB69" s="13">
        <f ca="1"/>
        <v>4852.9953668136541</v>
      </c>
      <c r="AC69" s="13">
        <f ca="1"/>
        <v>4852.9953668136541</v>
      </c>
      <c r="AD69" s="13">
        <f ca="1"/>
        <v>4852.9953668136541</v>
      </c>
      <c r="AE69" s="13">
        <f ca="1"/>
        <v>4852.9953668136541</v>
      </c>
      <c r="AF69" s="13">
        <f ca="1"/>
        <v>4852.9953668136541</v>
      </c>
      <c r="AG69" s="13">
        <f ca="1"/>
        <v>4852.9953668136541</v>
      </c>
      <c r="AH69" s="13">
        <f ca="1"/>
        <v>4852.9953668136541</v>
      </c>
      <c r="AI69" s="13">
        <f ca="1"/>
        <v>4852.9953668136541</v>
      </c>
      <c r="AJ69" s="13">
        <f ca="1"/>
        <v>4852.9953668136541</v>
      </c>
      <c r="AK69" s="13">
        <f ca="1"/>
        <v>4852.9953668136541</v>
      </c>
      <c r="AL69" s="56">
        <f ca="1"/>
        <v>4852.9953668136541</v>
      </c>
      <c r="AM69" s="10"/>
    </row>
    <row r="70" spans="2:39" ht="15" hidden="1">
      <c r="B70" s="10"/>
      <c r="C70" s="11" t="str">
        <f>"EL 2: " &amp; INDEX(_doName,4,3)</f>
        <v>EL 2: EL 2</v>
      </c>
      <c r="D70" s="12"/>
      <c r="E70" s="13">
        <f t="array" aca="1" ref="E70:AL70" ca="1">tlccFubcElec2</f>
        <v>4843.121351999418</v>
      </c>
      <c r="F70" s="13">
        <f ca="1"/>
        <v>4795.2777252813848</v>
      </c>
      <c r="G70" s="13">
        <f ca="1"/>
        <v>4752.7016300167725</v>
      </c>
      <c r="H70" s="13">
        <f ca="1"/>
        <v>4711.8035706485753</v>
      </c>
      <c r="I70" s="13">
        <f ca="1"/>
        <v>4675.6963379160734</v>
      </c>
      <c r="J70" s="13">
        <f ca="1"/>
        <v>4647.3616863579064</v>
      </c>
      <c r="K70" s="13">
        <f ca="1"/>
        <v>4623.5343330687265</v>
      </c>
      <c r="L70" s="13">
        <f ca="1"/>
        <v>4599.3637389702762</v>
      </c>
      <c r="M70" s="13">
        <f ca="1"/>
        <v>4579.7622886238896</v>
      </c>
      <c r="N70" s="13">
        <f ca="1"/>
        <v>4565.9426426612808</v>
      </c>
      <c r="O70" s="13">
        <f ca="1"/>
        <v>4555.6301559980238</v>
      </c>
      <c r="P70" s="13">
        <f ca="1"/>
        <v>4546.8264678739706</v>
      </c>
      <c r="Q70" s="13">
        <f ca="1"/>
        <v>4540.2150469086664</v>
      </c>
      <c r="R70" s="13">
        <f ca="1"/>
        <v>4535.0866907699528</v>
      </c>
      <c r="S70" s="13">
        <f ca="1"/>
        <v>4534.0403869280108</v>
      </c>
      <c r="T70" s="13">
        <f ca="1"/>
        <v>4534.85316962455</v>
      </c>
      <c r="U70" s="13">
        <f ca="1"/>
        <v>4536.2889501875943</v>
      </c>
      <c r="V70" s="13">
        <f ca="1"/>
        <v>4538.5124998975243</v>
      </c>
      <c r="W70" s="13">
        <f ca="1"/>
        <v>4540.6556634093995</v>
      </c>
      <c r="X70" s="13">
        <f ca="1"/>
        <v>4542.4355898542453</v>
      </c>
      <c r="Y70" s="13">
        <f ca="1"/>
        <v>4543.6280370141885</v>
      </c>
      <c r="Z70" s="13">
        <f ca="1"/>
        <v>4544.4492134737739</v>
      </c>
      <c r="AA70" s="13">
        <f ca="1"/>
        <v>4544.4492134737739</v>
      </c>
      <c r="AB70" s="13">
        <f ca="1"/>
        <v>4544.4492134737739</v>
      </c>
      <c r="AC70" s="13">
        <f ca="1"/>
        <v>4544.4492134737739</v>
      </c>
      <c r="AD70" s="13">
        <f ca="1"/>
        <v>4544.4492134737739</v>
      </c>
      <c r="AE70" s="13">
        <f ca="1"/>
        <v>4544.4492134737739</v>
      </c>
      <c r="AF70" s="13">
        <f ca="1"/>
        <v>4544.4492134737739</v>
      </c>
      <c r="AG70" s="13">
        <f ca="1"/>
        <v>4544.4492134737739</v>
      </c>
      <c r="AH70" s="13">
        <f ca="1"/>
        <v>4544.4492134737739</v>
      </c>
      <c r="AI70" s="13">
        <f ca="1"/>
        <v>4544.4492134737739</v>
      </c>
      <c r="AJ70" s="13">
        <f ca="1"/>
        <v>4544.4492134737739</v>
      </c>
      <c r="AK70" s="13">
        <f ca="1"/>
        <v>4544.4492134737739</v>
      </c>
      <c r="AL70" s="56">
        <f ca="1"/>
        <v>4544.4492134737739</v>
      </c>
      <c r="AM70" s="10"/>
    </row>
    <row r="71" spans="2:39" ht="15" hidden="1">
      <c r="B71" s="10"/>
      <c r="C71" s="11" t="str">
        <f>"EL 3: " &amp; INDEX(_doName,4,4)</f>
        <v>EL 3: EL 3</v>
      </c>
      <c r="D71" s="12"/>
      <c r="E71" s="13">
        <f t="array" aca="1" ref="E71:AL71" ca="1">tlccFubcElec3</f>
        <v>4401.0240391538146</v>
      </c>
      <c r="F71" s="13">
        <f ca="1"/>
        <v>4357.547748554688</v>
      </c>
      <c r="G71" s="13">
        <f ca="1"/>
        <v>4318.8581504351796</v>
      </c>
      <c r="H71" s="13">
        <f ca="1"/>
        <v>4281.6934111374821</v>
      </c>
      <c r="I71" s="13">
        <f ca="1"/>
        <v>4248.8821748100117</v>
      </c>
      <c r="J71" s="13">
        <f ca="1"/>
        <v>4223.1340108502018</v>
      </c>
      <c r="K71" s="13">
        <f ca="1"/>
        <v>4201.4817029699125</v>
      </c>
      <c r="L71" s="13">
        <f ca="1"/>
        <v>4179.5174865201234</v>
      </c>
      <c r="M71" s="13">
        <f ca="1"/>
        <v>4161.705326157653</v>
      </c>
      <c r="N71" s="13">
        <f ca="1"/>
        <v>4149.1471865461126</v>
      </c>
      <c r="O71" s="13">
        <f ca="1"/>
        <v>4139.7760602806702</v>
      </c>
      <c r="P71" s="13">
        <f ca="1"/>
        <v>4131.7760040666799</v>
      </c>
      <c r="Q71" s="13">
        <f ca="1"/>
        <v>4125.7680970813935</v>
      </c>
      <c r="R71" s="13">
        <f ca="1"/>
        <v>4121.1078754996024</v>
      </c>
      <c r="S71" s="13">
        <f ca="1"/>
        <v>4120.1570819873259</v>
      </c>
      <c r="T71" s="13">
        <f ca="1"/>
        <v>4120.8956709934846</v>
      </c>
      <c r="U71" s="13">
        <f ca="1"/>
        <v>4122.2003884088972</v>
      </c>
      <c r="V71" s="13">
        <f ca="1"/>
        <v>4124.2209646064375</v>
      </c>
      <c r="W71" s="13">
        <f ca="1"/>
        <v>4126.1684925435002</v>
      </c>
      <c r="X71" s="13">
        <f ca="1"/>
        <v>4127.7859409827106</v>
      </c>
      <c r="Y71" s="13">
        <f ca="1"/>
        <v>4128.869537332027</v>
      </c>
      <c r="Z71" s="13">
        <f ca="1"/>
        <v>4129.6157538887373</v>
      </c>
      <c r="AA71" s="13">
        <f ca="1"/>
        <v>4129.6157538887373</v>
      </c>
      <c r="AB71" s="13">
        <f ca="1"/>
        <v>4129.6157538887373</v>
      </c>
      <c r="AC71" s="13">
        <f ca="1"/>
        <v>4129.6157538887373</v>
      </c>
      <c r="AD71" s="13">
        <f ca="1"/>
        <v>4129.6157538887373</v>
      </c>
      <c r="AE71" s="13">
        <f ca="1"/>
        <v>4129.6157538887373</v>
      </c>
      <c r="AF71" s="13">
        <f ca="1"/>
        <v>4129.6157538887373</v>
      </c>
      <c r="AG71" s="13">
        <f ca="1"/>
        <v>4129.6157538887373</v>
      </c>
      <c r="AH71" s="13">
        <f ca="1"/>
        <v>4129.6157538887373</v>
      </c>
      <c r="AI71" s="13">
        <f ca="1"/>
        <v>4129.6157538887373</v>
      </c>
      <c r="AJ71" s="13">
        <f ca="1"/>
        <v>4129.6157538887373</v>
      </c>
      <c r="AK71" s="13">
        <f ca="1"/>
        <v>4129.6157538887373</v>
      </c>
      <c r="AL71" s="56">
        <f ca="1"/>
        <v>4129.6157538887373</v>
      </c>
      <c r="AM71" s="10"/>
    </row>
    <row r="72" spans="2:39" ht="15" hidden="1">
      <c r="B72" s="10"/>
      <c r="C72" s="11" t="str">
        <f>"EL 4: " &amp; INDEX(_doName,4,5)</f>
        <v>EL 4: EL 4</v>
      </c>
      <c r="D72" s="12"/>
      <c r="E72" s="13">
        <f t="array" aca="1" ref="E72:AL72" ca="1">tlccFubcElec4</f>
        <v>4211.0114856752552</v>
      </c>
      <c r="F72" s="13">
        <f ca="1"/>
        <v>4169.4122675299532</v>
      </c>
      <c r="G72" s="13">
        <f ca="1"/>
        <v>4132.3930782212919</v>
      </c>
      <c r="H72" s="13">
        <f ca="1"/>
        <v>4096.8329125297587</v>
      </c>
      <c r="I72" s="13">
        <f ca="1"/>
        <v>4065.4382889592075</v>
      </c>
      <c r="J72" s="13">
        <f ca="1"/>
        <v>4040.8017922699819</v>
      </c>
      <c r="K72" s="13">
        <f ca="1"/>
        <v>4020.0843146183947</v>
      </c>
      <c r="L72" s="13">
        <f ca="1"/>
        <v>3999.0683949321879</v>
      </c>
      <c r="M72" s="13">
        <f ca="1"/>
        <v>3982.0252678772686</v>
      </c>
      <c r="N72" s="13">
        <f ca="1"/>
        <v>3970.0093212083925</v>
      </c>
      <c r="O72" s="13">
        <f ca="1"/>
        <v>3961.0427897860645</v>
      </c>
      <c r="P72" s="13">
        <f ca="1"/>
        <v>3953.3881329826809</v>
      </c>
      <c r="Q72" s="13">
        <f ca="1"/>
        <v>3947.6396151161957</v>
      </c>
      <c r="R72" s="13">
        <f ca="1"/>
        <v>3943.1805968440558</v>
      </c>
      <c r="S72" s="13">
        <f ca="1"/>
        <v>3942.2708534831736</v>
      </c>
      <c r="T72" s="13">
        <f ca="1"/>
        <v>3942.9775541874778</v>
      </c>
      <c r="U72" s="13">
        <f ca="1"/>
        <v>3944.2259409204253</v>
      </c>
      <c r="V72" s="13">
        <f ca="1"/>
        <v>3946.1592795024981</v>
      </c>
      <c r="W72" s="13">
        <f ca="1"/>
        <v>3948.0227236551955</v>
      </c>
      <c r="X72" s="13">
        <f ca="1"/>
        <v>3949.5703393679037</v>
      </c>
      <c r="Y72" s="13">
        <f ca="1"/>
        <v>3950.6071518534104</v>
      </c>
      <c r="Z72" s="13">
        <f ca="1"/>
        <v>3951.3211507916467</v>
      </c>
      <c r="AA72" s="13">
        <f ca="1"/>
        <v>3951.3211507916467</v>
      </c>
      <c r="AB72" s="13">
        <f ca="1"/>
        <v>3951.3211507916467</v>
      </c>
      <c r="AC72" s="13">
        <f ca="1"/>
        <v>3951.3211507916467</v>
      </c>
      <c r="AD72" s="13">
        <f ca="1"/>
        <v>3951.3211507916467</v>
      </c>
      <c r="AE72" s="13">
        <f ca="1"/>
        <v>3951.3211507916467</v>
      </c>
      <c r="AF72" s="13">
        <f ca="1"/>
        <v>3951.3211507916467</v>
      </c>
      <c r="AG72" s="13">
        <f ca="1"/>
        <v>3951.3211507916467</v>
      </c>
      <c r="AH72" s="13">
        <f ca="1"/>
        <v>3951.3211507916467</v>
      </c>
      <c r="AI72" s="13">
        <f ca="1"/>
        <v>3951.3211507916467</v>
      </c>
      <c r="AJ72" s="13">
        <f ca="1"/>
        <v>3951.3211507916467</v>
      </c>
      <c r="AK72" s="13">
        <f ca="1"/>
        <v>3951.3211507916467</v>
      </c>
      <c r="AL72" s="56">
        <f ca="1"/>
        <v>3951.3211507916467</v>
      </c>
      <c r="AM72" s="10"/>
    </row>
    <row r="73" spans="2:39" ht="15" hidden="1">
      <c r="B73" s="10"/>
      <c r="C73" s="11" t="str">
        <f>"EL 5: " &amp; INDEX(_doName,4,6)</f>
        <v>EL 5: EL 5</v>
      </c>
      <c r="D73" s="12"/>
      <c r="E73" s="13">
        <f t="array" aca="1" ref="E73:AL73" ca="1">tlccFubcElec5</f>
        <v>4803.7848569882281</v>
      </c>
      <c r="F73" s="13">
        <f ca="1"/>
        <v>4756.3298227598179</v>
      </c>
      <c r="G73" s="13">
        <f ca="1"/>
        <v>4714.0995363728389</v>
      </c>
      <c r="H73" s="13">
        <f ca="1"/>
        <v>4673.5336566448714</v>
      </c>
      <c r="I73" s="13">
        <f ca="1"/>
        <v>4637.7196918024392</v>
      </c>
      <c r="J73" s="13">
        <f ca="1"/>
        <v>4609.6151781653871</v>
      </c>
      <c r="K73" s="13">
        <f ca="1"/>
        <v>4585.9813539033921</v>
      </c>
      <c r="L73" s="13">
        <f ca="1"/>
        <v>4562.0070766809949</v>
      </c>
      <c r="M73" s="13">
        <f ca="1"/>
        <v>4542.564831999247</v>
      </c>
      <c r="N73" s="13">
        <f ca="1"/>
        <v>4528.8574310941012</v>
      </c>
      <c r="O73" s="13">
        <f ca="1"/>
        <v>4518.628703860084</v>
      </c>
      <c r="P73" s="13">
        <f ca="1"/>
        <v>4509.8965204968645</v>
      </c>
      <c r="Q73" s="13">
        <f ca="1"/>
        <v>4503.3387983982457</v>
      </c>
      <c r="R73" s="13">
        <f ca="1"/>
        <v>4498.2520954705515</v>
      </c>
      <c r="S73" s="13">
        <f ca="1"/>
        <v>4497.2142898517313</v>
      </c>
      <c r="T73" s="13">
        <f ca="1"/>
        <v>4498.0204710158787</v>
      </c>
      <c r="U73" s="13">
        <f ca="1"/>
        <v>4499.4445899725224</v>
      </c>
      <c r="V73" s="13">
        <f ca="1"/>
        <v>4501.6500797071349</v>
      </c>
      <c r="W73" s="13">
        <f ca="1"/>
        <v>4503.7758361514061</v>
      </c>
      <c r="X73" s="13">
        <f ca="1"/>
        <v>4505.5413057898613</v>
      </c>
      <c r="Y73" s="13">
        <f ca="1"/>
        <v>4506.7240677306336</v>
      </c>
      <c r="Z73" s="13">
        <f ca="1"/>
        <v>4507.5385744825326</v>
      </c>
      <c r="AA73" s="13">
        <f ca="1"/>
        <v>4507.5385744825326</v>
      </c>
      <c r="AB73" s="13">
        <f ca="1"/>
        <v>4507.5385744825326</v>
      </c>
      <c r="AC73" s="13">
        <f ca="1"/>
        <v>4507.5385744825326</v>
      </c>
      <c r="AD73" s="13">
        <f ca="1"/>
        <v>4507.5385744825326</v>
      </c>
      <c r="AE73" s="13">
        <f ca="1"/>
        <v>4507.5385744825326</v>
      </c>
      <c r="AF73" s="13">
        <f ca="1"/>
        <v>4507.5385744825326</v>
      </c>
      <c r="AG73" s="13">
        <f ca="1"/>
        <v>4507.5385744825326</v>
      </c>
      <c r="AH73" s="13">
        <f ca="1"/>
        <v>4507.5385744825326</v>
      </c>
      <c r="AI73" s="13">
        <f ca="1"/>
        <v>4507.5385744825326</v>
      </c>
      <c r="AJ73" s="13">
        <f ca="1"/>
        <v>4507.5385744825326</v>
      </c>
      <c r="AK73" s="13">
        <f ca="1"/>
        <v>4507.5385744825326</v>
      </c>
      <c r="AL73" s="56">
        <f ca="1"/>
        <v>4507.5385744825326</v>
      </c>
      <c r="AM73" s="10"/>
    </row>
    <row r="74" spans="2:39" ht="15" hidden="1">
      <c r="B74" s="10"/>
      <c r="C74" s="21" t="str">
        <f>"EL 6: " &amp; INDEX(_doName,4,7)</f>
        <v>EL 6: EL 6</v>
      </c>
      <c r="D74" s="18"/>
      <c r="E74" s="58">
        <f t="array" aca="1" ref="E74:AL74" ca="1">tlccFubcElec6</f>
        <v>3315.9743631153988</v>
      </c>
      <c r="F74" s="58">
        <f ca="1"/>
        <v>3283.2169267216232</v>
      </c>
      <c r="G74" s="58">
        <f ca="1"/>
        <v>3254.0660485755025</v>
      </c>
      <c r="H74" s="58">
        <f ca="1"/>
        <v>3226.0640832086565</v>
      </c>
      <c r="I74" s="58">
        <f ca="1"/>
        <v>3201.3422872093497</v>
      </c>
      <c r="J74" s="58">
        <f ca="1"/>
        <v>3181.9421996778028</v>
      </c>
      <c r="K74" s="58">
        <f ca="1"/>
        <v>3165.6281561291744</v>
      </c>
      <c r="L74" s="58">
        <f ca="1"/>
        <v>3149.0791034529202</v>
      </c>
      <c r="M74" s="58">
        <f ca="1"/>
        <v>3135.6584389466179</v>
      </c>
      <c r="N74" s="58">
        <f ca="1"/>
        <v>3126.1964435951222</v>
      </c>
      <c r="O74" s="58">
        <f ca="1"/>
        <v>3119.1357199605154</v>
      </c>
      <c r="P74" s="58">
        <f ca="1"/>
        <v>3113.1080361594113</v>
      </c>
      <c r="Q74" s="58">
        <f ca="1"/>
        <v>3108.5813475155974</v>
      </c>
      <c r="R74" s="58">
        <f ca="1"/>
        <v>3105.0700794211316</v>
      </c>
      <c r="S74" s="58">
        <f ca="1"/>
        <v>3104.3536991234378</v>
      </c>
      <c r="T74" s="58">
        <f ca="1"/>
        <v>3104.910192836609</v>
      </c>
      <c r="U74" s="58">
        <f ca="1"/>
        <v>3105.8932389327283</v>
      </c>
      <c r="V74" s="58">
        <f ca="1"/>
        <v>3107.4156525369617</v>
      </c>
      <c r="W74" s="58">
        <f ca="1"/>
        <v>3108.8830275508899</v>
      </c>
      <c r="X74" s="58">
        <f ca="1"/>
        <v>3110.1017024570856</v>
      </c>
      <c r="Y74" s="58">
        <f ca="1"/>
        <v>3110.9181437403722</v>
      </c>
      <c r="Z74" s="58">
        <f ca="1"/>
        <v>3111.4803844710223</v>
      </c>
      <c r="AA74" s="58">
        <f ca="1"/>
        <v>3111.4803844710223</v>
      </c>
      <c r="AB74" s="58">
        <f ca="1"/>
        <v>3111.4803844710223</v>
      </c>
      <c r="AC74" s="58">
        <f ca="1"/>
        <v>3111.4803844710223</v>
      </c>
      <c r="AD74" s="58">
        <f ca="1"/>
        <v>3111.4803844710223</v>
      </c>
      <c r="AE74" s="58">
        <f ca="1"/>
        <v>3111.4803844710223</v>
      </c>
      <c r="AF74" s="58">
        <f ca="1"/>
        <v>3111.4803844710223</v>
      </c>
      <c r="AG74" s="58">
        <f ca="1"/>
        <v>3111.4803844710223</v>
      </c>
      <c r="AH74" s="58">
        <f ca="1"/>
        <v>3111.4803844710223</v>
      </c>
      <c r="AI74" s="58">
        <f ca="1"/>
        <v>3111.4803844710223</v>
      </c>
      <c r="AJ74" s="58">
        <f ca="1"/>
        <v>3111.4803844710223</v>
      </c>
      <c r="AK74" s="58">
        <f ca="1"/>
        <v>3111.4803844710223</v>
      </c>
      <c r="AL74" s="59">
        <f ca="1"/>
        <v>3111.4803844710223</v>
      </c>
      <c r="AM74" s="10"/>
    </row>
    <row r="75" spans="2:39" ht="15" hidden="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2:39" ht="15" hidden="1">
      <c r="B76" s="10"/>
      <c r="C76" s="22" t="s">
        <v>86</v>
      </c>
      <c r="D76" s="23"/>
      <c r="E76" s="24">
        <f t="array" ref="E76:AL76">_yS</f>
        <v>2019</v>
      </c>
      <c r="F76" s="24">
        <v>2020</v>
      </c>
      <c r="G76" s="24">
        <v>2021</v>
      </c>
      <c r="H76" s="24">
        <v>2022</v>
      </c>
      <c r="I76" s="24">
        <v>2023</v>
      </c>
      <c r="J76" s="24">
        <v>2024</v>
      </c>
      <c r="K76" s="24">
        <v>2025</v>
      </c>
      <c r="L76" s="24">
        <v>2026</v>
      </c>
      <c r="M76" s="24">
        <v>2027</v>
      </c>
      <c r="N76" s="24">
        <v>2028</v>
      </c>
      <c r="O76" s="24">
        <v>2029</v>
      </c>
      <c r="P76" s="24">
        <v>2030</v>
      </c>
      <c r="Q76" s="24">
        <v>2031</v>
      </c>
      <c r="R76" s="24">
        <v>2032</v>
      </c>
      <c r="S76" s="24">
        <v>2033</v>
      </c>
      <c r="T76" s="24">
        <v>2034</v>
      </c>
      <c r="U76" s="24">
        <v>2035</v>
      </c>
      <c r="V76" s="24">
        <v>2036</v>
      </c>
      <c r="W76" s="24">
        <v>2037</v>
      </c>
      <c r="X76" s="24">
        <v>2038</v>
      </c>
      <c r="Y76" s="24">
        <v>2039</v>
      </c>
      <c r="Z76" s="24">
        <v>2040</v>
      </c>
      <c r="AA76" s="24">
        <v>2041</v>
      </c>
      <c r="AB76" s="24">
        <v>2042</v>
      </c>
      <c r="AC76" s="24">
        <v>2043</v>
      </c>
      <c r="AD76" s="24">
        <v>2044</v>
      </c>
      <c r="AE76" s="24">
        <v>2045</v>
      </c>
      <c r="AF76" s="24">
        <v>2046</v>
      </c>
      <c r="AG76" s="24">
        <v>2047</v>
      </c>
      <c r="AH76" s="24">
        <v>2048</v>
      </c>
      <c r="AI76" s="24">
        <v>2049</v>
      </c>
      <c r="AJ76" s="24">
        <v>2050</v>
      </c>
      <c r="AK76" s="24">
        <v>2051</v>
      </c>
      <c r="AL76" s="25">
        <v>2052</v>
      </c>
      <c r="AM76" s="10"/>
    </row>
    <row r="77" spans="2:39" ht="15" hidden="1">
      <c r="B77" s="10"/>
      <c r="C77" s="11" t="str">
        <f>"EL 0: " &amp; INDEX(_doName,4,1)</f>
        <v>EL 0: EL 3</v>
      </c>
      <c r="D77" s="12"/>
      <c r="E77" s="13">
        <f t="array" aca="1" ref="E77:AL77" ca="1">tlccQupol0</f>
        <v>0</v>
      </c>
      <c r="F77" s="13">
        <f ca="1"/>
        <v>0</v>
      </c>
      <c r="G77" s="13">
        <f ca="1"/>
        <v>0</v>
      </c>
      <c r="H77" s="13">
        <f ca="1"/>
        <v>0</v>
      </c>
      <c r="I77" s="13">
        <f ca="1"/>
        <v>0</v>
      </c>
      <c r="J77" s="13">
        <f ca="1"/>
        <v>0</v>
      </c>
      <c r="K77" s="13">
        <f ca="1"/>
        <v>0</v>
      </c>
      <c r="L77" s="13">
        <f ca="1"/>
        <v>0</v>
      </c>
      <c r="M77" s="13">
        <f ca="1"/>
        <v>0</v>
      </c>
      <c r="N77" s="13">
        <f ca="1"/>
        <v>0</v>
      </c>
      <c r="O77" s="13">
        <f ca="1"/>
        <v>0</v>
      </c>
      <c r="P77" s="13">
        <f ca="1"/>
        <v>0</v>
      </c>
      <c r="Q77" s="13">
        <f ca="1"/>
        <v>0</v>
      </c>
      <c r="R77" s="13">
        <f ca="1"/>
        <v>0</v>
      </c>
      <c r="S77" s="13">
        <f ca="1"/>
        <v>0</v>
      </c>
      <c r="T77" s="13">
        <f ca="1"/>
        <v>0</v>
      </c>
      <c r="U77" s="13">
        <f ca="1"/>
        <v>0</v>
      </c>
      <c r="V77" s="13">
        <f ca="1"/>
        <v>0</v>
      </c>
      <c r="W77" s="13">
        <f ca="1"/>
        <v>0</v>
      </c>
      <c r="X77" s="13">
        <f ca="1"/>
        <v>0</v>
      </c>
      <c r="Y77" s="13">
        <f ca="1"/>
        <v>0</v>
      </c>
      <c r="Z77" s="13">
        <f ca="1"/>
        <v>0</v>
      </c>
      <c r="AA77" s="13">
        <f ca="1"/>
        <v>0</v>
      </c>
      <c r="AB77" s="13">
        <f ca="1"/>
        <v>0</v>
      </c>
      <c r="AC77" s="13">
        <f ca="1"/>
        <v>0</v>
      </c>
      <c r="AD77" s="13">
        <f ca="1"/>
        <v>0</v>
      </c>
      <c r="AE77" s="13">
        <f ca="1"/>
        <v>0</v>
      </c>
      <c r="AF77" s="13">
        <f ca="1"/>
        <v>0</v>
      </c>
      <c r="AG77" s="13">
        <f ca="1"/>
        <v>0</v>
      </c>
      <c r="AH77" s="13">
        <f ca="1"/>
        <v>0</v>
      </c>
      <c r="AI77" s="13">
        <f ca="1"/>
        <v>0</v>
      </c>
      <c r="AJ77" s="13">
        <f ca="1"/>
        <v>0</v>
      </c>
      <c r="AK77" s="13">
        <f ca="1"/>
        <v>0</v>
      </c>
      <c r="AL77" s="56">
        <f ca="1"/>
        <v>0</v>
      </c>
      <c r="AM77" s="10"/>
    </row>
    <row r="78" spans="2:39" ht="15" hidden="1">
      <c r="B78" s="10"/>
      <c r="C78" s="11" t="str">
        <f>"EL 1: " &amp; INDEX(_doName,4,2)</f>
        <v>EL 1: EL 1</v>
      </c>
      <c r="D78" s="12"/>
      <c r="E78" s="13">
        <f t="array" aca="1" ref="E78:AL78" ca="1">tlccQupol1</f>
        <v>0</v>
      </c>
      <c r="F78" s="13">
        <f ca="1"/>
        <v>0</v>
      </c>
      <c r="G78" s="13">
        <f ca="1"/>
        <v>0</v>
      </c>
      <c r="H78" s="13">
        <f ca="1"/>
        <v>0</v>
      </c>
      <c r="I78" s="13">
        <f ca="1"/>
        <v>0</v>
      </c>
      <c r="J78" s="13">
        <f ca="1"/>
        <v>0</v>
      </c>
      <c r="K78" s="13">
        <f ca="1"/>
        <v>0</v>
      </c>
      <c r="L78" s="13">
        <f ca="1"/>
        <v>0</v>
      </c>
      <c r="M78" s="13">
        <f ca="1"/>
        <v>0</v>
      </c>
      <c r="N78" s="13">
        <f ca="1"/>
        <v>0</v>
      </c>
      <c r="O78" s="13">
        <f ca="1"/>
        <v>0</v>
      </c>
      <c r="P78" s="13">
        <f ca="1"/>
        <v>0</v>
      </c>
      <c r="Q78" s="13">
        <f ca="1"/>
        <v>0</v>
      </c>
      <c r="R78" s="13">
        <f ca="1"/>
        <v>0</v>
      </c>
      <c r="S78" s="13">
        <f ca="1"/>
        <v>0</v>
      </c>
      <c r="T78" s="13">
        <f ca="1"/>
        <v>0</v>
      </c>
      <c r="U78" s="13">
        <f ca="1"/>
        <v>0</v>
      </c>
      <c r="V78" s="13">
        <f ca="1"/>
        <v>0</v>
      </c>
      <c r="W78" s="13">
        <f ca="1"/>
        <v>0</v>
      </c>
      <c r="X78" s="13">
        <f ca="1"/>
        <v>0</v>
      </c>
      <c r="Y78" s="13">
        <f ca="1"/>
        <v>0</v>
      </c>
      <c r="Z78" s="13">
        <f ca="1"/>
        <v>0</v>
      </c>
      <c r="AA78" s="13">
        <f ca="1"/>
        <v>0</v>
      </c>
      <c r="AB78" s="13">
        <f ca="1"/>
        <v>0</v>
      </c>
      <c r="AC78" s="13">
        <f ca="1"/>
        <v>0</v>
      </c>
      <c r="AD78" s="13">
        <f ca="1"/>
        <v>0</v>
      </c>
      <c r="AE78" s="13">
        <f ca="1"/>
        <v>0</v>
      </c>
      <c r="AF78" s="13">
        <f ca="1"/>
        <v>0</v>
      </c>
      <c r="AG78" s="13">
        <f ca="1"/>
        <v>0</v>
      </c>
      <c r="AH78" s="13">
        <f ca="1"/>
        <v>0</v>
      </c>
      <c r="AI78" s="13">
        <f ca="1"/>
        <v>0</v>
      </c>
      <c r="AJ78" s="13">
        <f ca="1"/>
        <v>0</v>
      </c>
      <c r="AK78" s="13">
        <f ca="1"/>
        <v>0</v>
      </c>
      <c r="AL78" s="56">
        <f ca="1"/>
        <v>0</v>
      </c>
      <c r="AM78" s="10"/>
    </row>
    <row r="79" spans="2:39" ht="15" hidden="1">
      <c r="B79" s="10"/>
      <c r="C79" s="11" t="str">
        <f>"EL 2: " &amp; INDEX(_doName,4,3)</f>
        <v>EL 2: EL 2</v>
      </c>
      <c r="D79" s="12"/>
      <c r="E79" s="13">
        <f t="array" aca="1" ref="E79:AL79" ca="1">tlccQupol2</f>
        <v>0</v>
      </c>
      <c r="F79" s="13">
        <f ca="1"/>
        <v>0</v>
      </c>
      <c r="G79" s="13">
        <f ca="1"/>
        <v>0</v>
      </c>
      <c r="H79" s="13">
        <f ca="1"/>
        <v>0</v>
      </c>
      <c r="I79" s="13">
        <f ca="1"/>
        <v>0</v>
      </c>
      <c r="J79" s="13">
        <f ca="1"/>
        <v>0</v>
      </c>
      <c r="K79" s="13">
        <f ca="1"/>
        <v>0</v>
      </c>
      <c r="L79" s="13">
        <f ca="1"/>
        <v>0</v>
      </c>
      <c r="M79" s="13">
        <f ca="1"/>
        <v>0</v>
      </c>
      <c r="N79" s="13">
        <f ca="1"/>
        <v>0</v>
      </c>
      <c r="O79" s="13">
        <f ca="1"/>
        <v>0</v>
      </c>
      <c r="P79" s="13">
        <f ca="1"/>
        <v>0</v>
      </c>
      <c r="Q79" s="13">
        <f ca="1"/>
        <v>0</v>
      </c>
      <c r="R79" s="13">
        <f ca="1"/>
        <v>0</v>
      </c>
      <c r="S79" s="13">
        <f ca="1"/>
        <v>0</v>
      </c>
      <c r="T79" s="13">
        <f ca="1"/>
        <v>0</v>
      </c>
      <c r="U79" s="13">
        <f ca="1"/>
        <v>0</v>
      </c>
      <c r="V79" s="13">
        <f ca="1"/>
        <v>0</v>
      </c>
      <c r="W79" s="13">
        <f ca="1"/>
        <v>0</v>
      </c>
      <c r="X79" s="13">
        <f ca="1"/>
        <v>0</v>
      </c>
      <c r="Y79" s="13">
        <f ca="1"/>
        <v>0</v>
      </c>
      <c r="Z79" s="13">
        <f ca="1"/>
        <v>0</v>
      </c>
      <c r="AA79" s="13">
        <f ca="1"/>
        <v>0</v>
      </c>
      <c r="AB79" s="13">
        <f ca="1"/>
        <v>0</v>
      </c>
      <c r="AC79" s="13">
        <f ca="1"/>
        <v>0</v>
      </c>
      <c r="AD79" s="13">
        <f ca="1"/>
        <v>0</v>
      </c>
      <c r="AE79" s="13">
        <f ca="1"/>
        <v>0</v>
      </c>
      <c r="AF79" s="13">
        <f ca="1"/>
        <v>0</v>
      </c>
      <c r="AG79" s="13">
        <f ca="1"/>
        <v>0</v>
      </c>
      <c r="AH79" s="13">
        <f ca="1"/>
        <v>0</v>
      </c>
      <c r="AI79" s="13">
        <f ca="1"/>
        <v>0</v>
      </c>
      <c r="AJ79" s="13">
        <f ca="1"/>
        <v>0</v>
      </c>
      <c r="AK79" s="13">
        <f ca="1"/>
        <v>0</v>
      </c>
      <c r="AL79" s="56">
        <f ca="1"/>
        <v>0</v>
      </c>
      <c r="AM79" s="10"/>
    </row>
    <row r="80" spans="2:39" ht="15" hidden="1">
      <c r="B80" s="10"/>
      <c r="C80" s="11" t="str">
        <f>"EL 3: " &amp; INDEX(_doName,4,4)</f>
        <v>EL 3: EL 3</v>
      </c>
      <c r="D80" s="12"/>
      <c r="E80" s="13">
        <f t="array" aca="1" ref="E80:AL80" ca="1">tlccQupol3</f>
        <v>0</v>
      </c>
      <c r="F80" s="13">
        <f ca="1"/>
        <v>0</v>
      </c>
      <c r="G80" s="13">
        <f ca="1"/>
        <v>0</v>
      </c>
      <c r="H80" s="13">
        <f ca="1"/>
        <v>0</v>
      </c>
      <c r="I80" s="13">
        <f ca="1"/>
        <v>0</v>
      </c>
      <c r="J80" s="13">
        <f ca="1"/>
        <v>0</v>
      </c>
      <c r="K80" s="13">
        <f ca="1"/>
        <v>0</v>
      </c>
      <c r="L80" s="13">
        <f ca="1"/>
        <v>0</v>
      </c>
      <c r="M80" s="13">
        <f ca="1"/>
        <v>0</v>
      </c>
      <c r="N80" s="13">
        <f ca="1"/>
        <v>0</v>
      </c>
      <c r="O80" s="13">
        <f ca="1"/>
        <v>0</v>
      </c>
      <c r="P80" s="13">
        <f ca="1"/>
        <v>0</v>
      </c>
      <c r="Q80" s="13">
        <f ca="1"/>
        <v>0</v>
      </c>
      <c r="R80" s="13">
        <f ca="1"/>
        <v>0</v>
      </c>
      <c r="S80" s="13">
        <f ca="1"/>
        <v>0</v>
      </c>
      <c r="T80" s="13">
        <f ca="1"/>
        <v>0</v>
      </c>
      <c r="U80" s="13">
        <f ca="1"/>
        <v>0</v>
      </c>
      <c r="V80" s="13">
        <f ca="1"/>
        <v>0</v>
      </c>
      <c r="W80" s="13">
        <f ca="1"/>
        <v>0</v>
      </c>
      <c r="X80" s="13">
        <f ca="1"/>
        <v>0</v>
      </c>
      <c r="Y80" s="13">
        <f ca="1"/>
        <v>0</v>
      </c>
      <c r="Z80" s="13">
        <f ca="1"/>
        <v>0</v>
      </c>
      <c r="AA80" s="13">
        <f ca="1"/>
        <v>0</v>
      </c>
      <c r="AB80" s="13">
        <f ca="1"/>
        <v>0</v>
      </c>
      <c r="AC80" s="13">
        <f ca="1"/>
        <v>0</v>
      </c>
      <c r="AD80" s="13">
        <f ca="1"/>
        <v>0</v>
      </c>
      <c r="AE80" s="13">
        <f ca="1"/>
        <v>0</v>
      </c>
      <c r="AF80" s="13">
        <f ca="1"/>
        <v>0</v>
      </c>
      <c r="AG80" s="13">
        <f ca="1"/>
        <v>0</v>
      </c>
      <c r="AH80" s="13">
        <f ca="1"/>
        <v>0</v>
      </c>
      <c r="AI80" s="13">
        <f ca="1"/>
        <v>0</v>
      </c>
      <c r="AJ80" s="13">
        <f ca="1"/>
        <v>0</v>
      </c>
      <c r="AK80" s="13">
        <f ca="1"/>
        <v>0</v>
      </c>
      <c r="AL80" s="56">
        <f ca="1"/>
        <v>0</v>
      </c>
      <c r="AM80" s="10"/>
    </row>
    <row r="81" spans="2:39" ht="15" hidden="1">
      <c r="B81" s="10"/>
      <c r="C81" s="11" t="str">
        <f>"EL 4: " &amp; INDEX(_doName,4,5)</f>
        <v>EL 4: EL 4</v>
      </c>
      <c r="D81" s="12"/>
      <c r="E81" s="13">
        <f t="array" aca="1" ref="E81:AL81" ca="1">tlccQupol4</f>
        <v>0</v>
      </c>
      <c r="F81" s="13">
        <f ca="1"/>
        <v>0</v>
      </c>
      <c r="G81" s="13">
        <f ca="1"/>
        <v>0</v>
      </c>
      <c r="H81" s="13">
        <f ca="1"/>
        <v>0</v>
      </c>
      <c r="I81" s="13">
        <f ca="1"/>
        <v>0</v>
      </c>
      <c r="J81" s="13">
        <f ca="1"/>
        <v>0</v>
      </c>
      <c r="K81" s="13">
        <f ca="1"/>
        <v>0</v>
      </c>
      <c r="L81" s="13">
        <f ca="1"/>
        <v>0</v>
      </c>
      <c r="M81" s="13">
        <f ca="1"/>
        <v>0</v>
      </c>
      <c r="N81" s="13">
        <f ca="1"/>
        <v>0</v>
      </c>
      <c r="O81" s="13">
        <f ca="1"/>
        <v>0</v>
      </c>
      <c r="P81" s="13">
        <f ca="1"/>
        <v>0</v>
      </c>
      <c r="Q81" s="13">
        <f ca="1"/>
        <v>0</v>
      </c>
      <c r="R81" s="13">
        <f ca="1"/>
        <v>0</v>
      </c>
      <c r="S81" s="13">
        <f ca="1"/>
        <v>0</v>
      </c>
      <c r="T81" s="13">
        <f ca="1"/>
        <v>0</v>
      </c>
      <c r="U81" s="13">
        <f ca="1"/>
        <v>0</v>
      </c>
      <c r="V81" s="13">
        <f ca="1"/>
        <v>0</v>
      </c>
      <c r="W81" s="13">
        <f ca="1"/>
        <v>0</v>
      </c>
      <c r="X81" s="13">
        <f ca="1"/>
        <v>0</v>
      </c>
      <c r="Y81" s="13">
        <f ca="1"/>
        <v>0</v>
      </c>
      <c r="Z81" s="13">
        <f ca="1"/>
        <v>0</v>
      </c>
      <c r="AA81" s="13">
        <f ca="1"/>
        <v>0</v>
      </c>
      <c r="AB81" s="13">
        <f ca="1"/>
        <v>0</v>
      </c>
      <c r="AC81" s="13">
        <f ca="1"/>
        <v>0</v>
      </c>
      <c r="AD81" s="13">
        <f ca="1"/>
        <v>0</v>
      </c>
      <c r="AE81" s="13">
        <f ca="1"/>
        <v>0</v>
      </c>
      <c r="AF81" s="13">
        <f ca="1"/>
        <v>0</v>
      </c>
      <c r="AG81" s="13">
        <f ca="1"/>
        <v>0</v>
      </c>
      <c r="AH81" s="13">
        <f ca="1"/>
        <v>0</v>
      </c>
      <c r="AI81" s="13">
        <f ca="1"/>
        <v>0</v>
      </c>
      <c r="AJ81" s="13">
        <f ca="1"/>
        <v>0</v>
      </c>
      <c r="AK81" s="13">
        <f ca="1"/>
        <v>0</v>
      </c>
      <c r="AL81" s="56">
        <f ca="1"/>
        <v>0</v>
      </c>
      <c r="AM81" s="10"/>
    </row>
    <row r="82" spans="2:39" ht="15" hidden="1">
      <c r="B82" s="10"/>
      <c r="C82" s="11" t="str">
        <f>"EL 5: " &amp; INDEX(_doName,4,6)</f>
        <v>EL 5: EL 5</v>
      </c>
      <c r="D82" s="12"/>
      <c r="E82" s="13">
        <f t="array" aca="1" ref="E82:AL82" ca="1">tlccQupol5</f>
        <v>4302.6824232711597</v>
      </c>
      <c r="F82" s="13">
        <f ca="1"/>
        <v>4302.6824232711597</v>
      </c>
      <c r="G82" s="13">
        <f ca="1"/>
        <v>4302.6824232711597</v>
      </c>
      <c r="H82" s="13">
        <f ca="1"/>
        <v>4302.6824232711597</v>
      </c>
      <c r="I82" s="13">
        <f ca="1"/>
        <v>4302.6824232711597</v>
      </c>
      <c r="J82" s="13">
        <f ca="1"/>
        <v>4302.6824232711597</v>
      </c>
      <c r="K82" s="13">
        <f ca="1"/>
        <v>4302.6824232711597</v>
      </c>
      <c r="L82" s="13">
        <f ca="1"/>
        <v>4302.6824232711597</v>
      </c>
      <c r="M82" s="13">
        <f ca="1"/>
        <v>4302.6824232711597</v>
      </c>
      <c r="N82" s="13">
        <f ca="1"/>
        <v>4302.6824232711597</v>
      </c>
      <c r="O82" s="13">
        <f ca="1"/>
        <v>4302.6824232711597</v>
      </c>
      <c r="P82" s="13">
        <f ca="1"/>
        <v>4302.6824232711597</v>
      </c>
      <c r="Q82" s="13">
        <f ca="1"/>
        <v>4302.6824232711597</v>
      </c>
      <c r="R82" s="13">
        <f ca="1"/>
        <v>4302.6824232711597</v>
      </c>
      <c r="S82" s="13">
        <f ca="1"/>
        <v>4302.6824232711597</v>
      </c>
      <c r="T82" s="13">
        <f ca="1"/>
        <v>4302.6824232711597</v>
      </c>
      <c r="U82" s="13">
        <f ca="1"/>
        <v>4302.6824232711597</v>
      </c>
      <c r="V82" s="13">
        <f ca="1"/>
        <v>4302.6824232711597</v>
      </c>
      <c r="W82" s="13">
        <f ca="1"/>
        <v>4302.6824232711597</v>
      </c>
      <c r="X82" s="13">
        <f ca="1"/>
        <v>4302.6824232711597</v>
      </c>
      <c r="Y82" s="13">
        <f ca="1"/>
        <v>4302.6824232711597</v>
      </c>
      <c r="Z82" s="13">
        <f ca="1"/>
        <v>4302.6824232711597</v>
      </c>
      <c r="AA82" s="13">
        <f ca="1"/>
        <v>4302.6824232711597</v>
      </c>
      <c r="AB82" s="13">
        <f ca="1"/>
        <v>4302.6824232711597</v>
      </c>
      <c r="AC82" s="13">
        <f ca="1"/>
        <v>4302.6824232711597</v>
      </c>
      <c r="AD82" s="13">
        <f ca="1"/>
        <v>4302.6824232711597</v>
      </c>
      <c r="AE82" s="13">
        <f ca="1"/>
        <v>4302.6824232711597</v>
      </c>
      <c r="AF82" s="13">
        <f ca="1"/>
        <v>4302.6824232711597</v>
      </c>
      <c r="AG82" s="13">
        <f ca="1"/>
        <v>4302.6824232711597</v>
      </c>
      <c r="AH82" s="13">
        <f ca="1"/>
        <v>4302.6824232711597</v>
      </c>
      <c r="AI82" s="13">
        <f ca="1"/>
        <v>4302.6824232711597</v>
      </c>
      <c r="AJ82" s="13">
        <f ca="1"/>
        <v>4302.6824232711597</v>
      </c>
      <c r="AK82" s="13">
        <f ca="1"/>
        <v>4302.6824232711597</v>
      </c>
      <c r="AL82" s="56">
        <f ca="1"/>
        <v>4302.6824232711597</v>
      </c>
      <c r="AM82" s="10"/>
    </row>
    <row r="83" spans="2:39" ht="15" hidden="1">
      <c r="B83" s="10"/>
      <c r="C83" s="21" t="str">
        <f>"EL 6: " &amp; INDEX(_doName,4,7)</f>
        <v>EL 6: EL 6</v>
      </c>
      <c r="D83" s="18"/>
      <c r="E83" s="58">
        <f t="array" aca="1" ref="E83:AL83" ca="1">tlccQupol6</f>
        <v>3807.3938091960199</v>
      </c>
      <c r="F83" s="58">
        <f ca="1"/>
        <v>3807.3938091960199</v>
      </c>
      <c r="G83" s="58">
        <f ca="1"/>
        <v>3807.3938091960199</v>
      </c>
      <c r="H83" s="58">
        <f ca="1"/>
        <v>3807.3938091960199</v>
      </c>
      <c r="I83" s="58">
        <f ca="1"/>
        <v>3807.3938091960199</v>
      </c>
      <c r="J83" s="58">
        <f ca="1"/>
        <v>3807.3938091960199</v>
      </c>
      <c r="K83" s="58">
        <f ca="1"/>
        <v>3807.3938091960199</v>
      </c>
      <c r="L83" s="58">
        <f ca="1"/>
        <v>3807.3938091960199</v>
      </c>
      <c r="M83" s="58">
        <f ca="1"/>
        <v>3807.3938091960199</v>
      </c>
      <c r="N83" s="58">
        <f ca="1"/>
        <v>3807.3938091960199</v>
      </c>
      <c r="O83" s="58">
        <f ca="1"/>
        <v>3807.3938091960199</v>
      </c>
      <c r="P83" s="58">
        <f ca="1"/>
        <v>3807.3938091960199</v>
      </c>
      <c r="Q83" s="58">
        <f ca="1"/>
        <v>3807.3938091960199</v>
      </c>
      <c r="R83" s="58">
        <f ca="1"/>
        <v>3807.3938091960199</v>
      </c>
      <c r="S83" s="58">
        <f ca="1"/>
        <v>3807.3938091960199</v>
      </c>
      <c r="T83" s="58">
        <f ca="1"/>
        <v>3807.3938091960199</v>
      </c>
      <c r="U83" s="58">
        <f ca="1"/>
        <v>3807.3938091960199</v>
      </c>
      <c r="V83" s="58">
        <f ca="1"/>
        <v>3807.3938091960199</v>
      </c>
      <c r="W83" s="58">
        <f ca="1"/>
        <v>3807.3938091960199</v>
      </c>
      <c r="X83" s="58">
        <f ca="1"/>
        <v>3807.3938091960199</v>
      </c>
      <c r="Y83" s="58">
        <f ca="1"/>
        <v>3807.3938091960199</v>
      </c>
      <c r="Z83" s="58">
        <f ca="1"/>
        <v>3807.3938091960199</v>
      </c>
      <c r="AA83" s="58">
        <f ca="1"/>
        <v>3807.3938091960199</v>
      </c>
      <c r="AB83" s="58">
        <f ca="1"/>
        <v>3807.3938091960199</v>
      </c>
      <c r="AC83" s="58">
        <f ca="1"/>
        <v>3807.3938091960199</v>
      </c>
      <c r="AD83" s="58">
        <f ca="1"/>
        <v>3807.3938091960199</v>
      </c>
      <c r="AE83" s="58">
        <f ca="1"/>
        <v>3807.3938091960199</v>
      </c>
      <c r="AF83" s="58">
        <f ca="1"/>
        <v>3807.3938091960199</v>
      </c>
      <c r="AG83" s="58">
        <f ca="1"/>
        <v>3807.3938091960199</v>
      </c>
      <c r="AH83" s="58">
        <f ca="1"/>
        <v>3807.3938091960199</v>
      </c>
      <c r="AI83" s="58">
        <f ca="1"/>
        <v>3807.3938091960199</v>
      </c>
      <c r="AJ83" s="58">
        <f ca="1"/>
        <v>3807.3938091960199</v>
      </c>
      <c r="AK83" s="58">
        <f ca="1"/>
        <v>3807.3938091960199</v>
      </c>
      <c r="AL83" s="59">
        <f ca="1"/>
        <v>3807.3938091960199</v>
      </c>
      <c r="AM83" s="10"/>
    </row>
    <row r="84" spans="2:39" ht="15" hidden="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2:39" ht="15" hidden="1">
      <c r="B85" s="10"/>
      <c r="C85" s="22" t="s">
        <v>85</v>
      </c>
      <c r="D85" s="23"/>
      <c r="E85" s="24">
        <f t="array" ref="E85:AL85">_yS</f>
        <v>2019</v>
      </c>
      <c r="F85" s="24">
        <v>2020</v>
      </c>
      <c r="G85" s="24">
        <v>2021</v>
      </c>
      <c r="H85" s="24">
        <v>2022</v>
      </c>
      <c r="I85" s="24">
        <v>2023</v>
      </c>
      <c r="J85" s="24">
        <v>2024</v>
      </c>
      <c r="K85" s="24">
        <v>2025</v>
      </c>
      <c r="L85" s="24">
        <v>2026</v>
      </c>
      <c r="M85" s="24">
        <v>2027</v>
      </c>
      <c r="N85" s="24">
        <v>2028</v>
      </c>
      <c r="O85" s="24">
        <v>2029</v>
      </c>
      <c r="P85" s="24">
        <v>2030</v>
      </c>
      <c r="Q85" s="24">
        <v>2031</v>
      </c>
      <c r="R85" s="24">
        <v>2032</v>
      </c>
      <c r="S85" s="24">
        <v>2033</v>
      </c>
      <c r="T85" s="24">
        <v>2034</v>
      </c>
      <c r="U85" s="24">
        <v>2035</v>
      </c>
      <c r="V85" s="24">
        <v>2036</v>
      </c>
      <c r="W85" s="24">
        <v>2037</v>
      </c>
      <c r="X85" s="24">
        <v>2038</v>
      </c>
      <c r="Y85" s="24">
        <v>2039</v>
      </c>
      <c r="Z85" s="24">
        <v>2040</v>
      </c>
      <c r="AA85" s="24">
        <v>2041</v>
      </c>
      <c r="AB85" s="24">
        <v>2042</v>
      </c>
      <c r="AC85" s="24">
        <v>2043</v>
      </c>
      <c r="AD85" s="24">
        <v>2044</v>
      </c>
      <c r="AE85" s="24">
        <v>2045</v>
      </c>
      <c r="AF85" s="24">
        <v>2046</v>
      </c>
      <c r="AG85" s="24">
        <v>2047</v>
      </c>
      <c r="AH85" s="24">
        <v>2048</v>
      </c>
      <c r="AI85" s="24">
        <v>2049</v>
      </c>
      <c r="AJ85" s="24">
        <v>2050</v>
      </c>
      <c r="AK85" s="24">
        <v>2051</v>
      </c>
      <c r="AL85" s="25">
        <v>2052</v>
      </c>
      <c r="AM85" s="10"/>
    </row>
    <row r="86" spans="2:39" ht="15" hidden="1">
      <c r="B86" s="10"/>
      <c r="C86" s="11" t="str">
        <f>"EL 0: " &amp; INDEX(_doName,4,1)</f>
        <v>EL 0: EL 3</v>
      </c>
      <c r="D86" s="12"/>
      <c r="E86" s="13">
        <f t="array" aca="1" ref="E86:AL86" ca="1">tlccEupol0</f>
        <v>0</v>
      </c>
      <c r="F86" s="13">
        <f ca="1"/>
        <v>0</v>
      </c>
      <c r="G86" s="13">
        <f ca="1"/>
        <v>0</v>
      </c>
      <c r="H86" s="13">
        <f ca="1"/>
        <v>0</v>
      </c>
      <c r="I86" s="13">
        <f ca="1"/>
        <v>0</v>
      </c>
      <c r="J86" s="13">
        <f ca="1"/>
        <v>0</v>
      </c>
      <c r="K86" s="13">
        <f ca="1"/>
        <v>0</v>
      </c>
      <c r="L86" s="13">
        <f ca="1"/>
        <v>0</v>
      </c>
      <c r="M86" s="13">
        <f ca="1"/>
        <v>0</v>
      </c>
      <c r="N86" s="13">
        <f ca="1"/>
        <v>0</v>
      </c>
      <c r="O86" s="13">
        <f ca="1"/>
        <v>0</v>
      </c>
      <c r="P86" s="13">
        <f ca="1"/>
        <v>0</v>
      </c>
      <c r="Q86" s="13">
        <f ca="1"/>
        <v>0</v>
      </c>
      <c r="R86" s="13">
        <f ca="1"/>
        <v>0</v>
      </c>
      <c r="S86" s="13">
        <f ca="1"/>
        <v>0</v>
      </c>
      <c r="T86" s="13">
        <f ca="1"/>
        <v>0</v>
      </c>
      <c r="U86" s="13">
        <f ca="1"/>
        <v>0</v>
      </c>
      <c r="V86" s="13">
        <f ca="1"/>
        <v>0</v>
      </c>
      <c r="W86" s="13">
        <f ca="1"/>
        <v>0</v>
      </c>
      <c r="X86" s="13">
        <f ca="1"/>
        <v>0</v>
      </c>
      <c r="Y86" s="13">
        <f ca="1"/>
        <v>0</v>
      </c>
      <c r="Z86" s="13">
        <f ca="1"/>
        <v>0</v>
      </c>
      <c r="AA86" s="13">
        <f ca="1"/>
        <v>0</v>
      </c>
      <c r="AB86" s="13">
        <f ca="1"/>
        <v>0</v>
      </c>
      <c r="AC86" s="13">
        <f ca="1"/>
        <v>0</v>
      </c>
      <c r="AD86" s="13">
        <f ca="1"/>
        <v>0</v>
      </c>
      <c r="AE86" s="13">
        <f ca="1"/>
        <v>0</v>
      </c>
      <c r="AF86" s="13">
        <f ca="1"/>
        <v>0</v>
      </c>
      <c r="AG86" s="13">
        <f ca="1"/>
        <v>0</v>
      </c>
      <c r="AH86" s="13">
        <f ca="1"/>
        <v>0</v>
      </c>
      <c r="AI86" s="13">
        <f ca="1"/>
        <v>0</v>
      </c>
      <c r="AJ86" s="13">
        <f ca="1"/>
        <v>0</v>
      </c>
      <c r="AK86" s="13">
        <f ca="1"/>
        <v>0</v>
      </c>
      <c r="AL86" s="56">
        <f ca="1"/>
        <v>0</v>
      </c>
      <c r="AM86" s="10"/>
    </row>
    <row r="87" spans="2:39" ht="15" hidden="1">
      <c r="B87" s="10"/>
      <c r="C87" s="11" t="str">
        <f>"EL 1: " &amp; INDEX(_doName,4,2)</f>
        <v>EL 1: EL 1</v>
      </c>
      <c r="D87" s="12"/>
      <c r="E87" s="13">
        <f t="array" aca="1" ref="E87:AL87" ca="1">tlccEupol1</f>
        <v>0</v>
      </c>
      <c r="F87" s="13">
        <f ca="1"/>
        <v>0</v>
      </c>
      <c r="G87" s="13">
        <f ca="1"/>
        <v>0</v>
      </c>
      <c r="H87" s="13">
        <f ca="1"/>
        <v>0</v>
      </c>
      <c r="I87" s="13">
        <f ca="1"/>
        <v>0</v>
      </c>
      <c r="J87" s="13">
        <f ca="1"/>
        <v>0</v>
      </c>
      <c r="K87" s="13">
        <f ca="1"/>
        <v>0</v>
      </c>
      <c r="L87" s="13">
        <f ca="1"/>
        <v>0</v>
      </c>
      <c r="M87" s="13">
        <f ca="1"/>
        <v>0</v>
      </c>
      <c r="N87" s="13">
        <f ca="1"/>
        <v>0</v>
      </c>
      <c r="O87" s="13">
        <f ca="1"/>
        <v>0</v>
      </c>
      <c r="P87" s="13">
        <f ca="1"/>
        <v>0</v>
      </c>
      <c r="Q87" s="13">
        <f ca="1"/>
        <v>0</v>
      </c>
      <c r="R87" s="13">
        <f ca="1"/>
        <v>0</v>
      </c>
      <c r="S87" s="13">
        <f ca="1"/>
        <v>0</v>
      </c>
      <c r="T87" s="13">
        <f ca="1"/>
        <v>0</v>
      </c>
      <c r="U87" s="13">
        <f ca="1"/>
        <v>0</v>
      </c>
      <c r="V87" s="13">
        <f ca="1"/>
        <v>0</v>
      </c>
      <c r="W87" s="13">
        <f ca="1"/>
        <v>0</v>
      </c>
      <c r="X87" s="13">
        <f ca="1"/>
        <v>0</v>
      </c>
      <c r="Y87" s="13">
        <f ca="1"/>
        <v>0</v>
      </c>
      <c r="Z87" s="13">
        <f ca="1"/>
        <v>0</v>
      </c>
      <c r="AA87" s="13">
        <f ca="1"/>
        <v>0</v>
      </c>
      <c r="AB87" s="13">
        <f ca="1"/>
        <v>0</v>
      </c>
      <c r="AC87" s="13">
        <f ca="1"/>
        <v>0</v>
      </c>
      <c r="AD87" s="13">
        <f ca="1"/>
        <v>0</v>
      </c>
      <c r="AE87" s="13">
        <f ca="1"/>
        <v>0</v>
      </c>
      <c r="AF87" s="13">
        <f ca="1"/>
        <v>0</v>
      </c>
      <c r="AG87" s="13">
        <f ca="1"/>
        <v>0</v>
      </c>
      <c r="AH87" s="13">
        <f ca="1"/>
        <v>0</v>
      </c>
      <c r="AI87" s="13">
        <f ca="1"/>
        <v>0</v>
      </c>
      <c r="AJ87" s="13">
        <f ca="1"/>
        <v>0</v>
      </c>
      <c r="AK87" s="13">
        <f ca="1"/>
        <v>0</v>
      </c>
      <c r="AL87" s="56">
        <f ca="1"/>
        <v>0</v>
      </c>
      <c r="AM87" s="10"/>
    </row>
    <row r="88" spans="2:39" ht="15" hidden="1">
      <c r="B88" s="10"/>
      <c r="C88" s="11" t="str">
        <f>"EL 2: " &amp; INDEX(_doName,4,3)</f>
        <v>EL 2: EL 2</v>
      </c>
      <c r="D88" s="12"/>
      <c r="E88" s="13">
        <f t="array" aca="1" ref="E88:AL88" ca="1">tlccEupol2</f>
        <v>0</v>
      </c>
      <c r="F88" s="13">
        <f ca="1"/>
        <v>0</v>
      </c>
      <c r="G88" s="13">
        <f ca="1"/>
        <v>0</v>
      </c>
      <c r="H88" s="13">
        <f ca="1"/>
        <v>0</v>
      </c>
      <c r="I88" s="13">
        <f ca="1"/>
        <v>0</v>
      </c>
      <c r="J88" s="13">
        <f ca="1"/>
        <v>0</v>
      </c>
      <c r="K88" s="13">
        <f ca="1"/>
        <v>0</v>
      </c>
      <c r="L88" s="13">
        <f ca="1"/>
        <v>0</v>
      </c>
      <c r="M88" s="13">
        <f ca="1"/>
        <v>0</v>
      </c>
      <c r="N88" s="13">
        <f ca="1"/>
        <v>0</v>
      </c>
      <c r="O88" s="13">
        <f ca="1"/>
        <v>0</v>
      </c>
      <c r="P88" s="13">
        <f ca="1"/>
        <v>0</v>
      </c>
      <c r="Q88" s="13">
        <f ca="1"/>
        <v>0</v>
      </c>
      <c r="R88" s="13">
        <f ca="1"/>
        <v>0</v>
      </c>
      <c r="S88" s="13">
        <f ca="1"/>
        <v>0</v>
      </c>
      <c r="T88" s="13">
        <f ca="1"/>
        <v>0</v>
      </c>
      <c r="U88" s="13">
        <f ca="1"/>
        <v>0</v>
      </c>
      <c r="V88" s="13">
        <f ca="1"/>
        <v>0</v>
      </c>
      <c r="W88" s="13">
        <f ca="1"/>
        <v>0</v>
      </c>
      <c r="X88" s="13">
        <f ca="1"/>
        <v>0</v>
      </c>
      <c r="Y88" s="13">
        <f ca="1"/>
        <v>0</v>
      </c>
      <c r="Z88" s="13">
        <f ca="1"/>
        <v>0</v>
      </c>
      <c r="AA88" s="13">
        <f ca="1"/>
        <v>0</v>
      </c>
      <c r="AB88" s="13">
        <f ca="1"/>
        <v>0</v>
      </c>
      <c r="AC88" s="13">
        <f ca="1"/>
        <v>0</v>
      </c>
      <c r="AD88" s="13">
        <f ca="1"/>
        <v>0</v>
      </c>
      <c r="AE88" s="13">
        <f ca="1"/>
        <v>0</v>
      </c>
      <c r="AF88" s="13">
        <f ca="1"/>
        <v>0</v>
      </c>
      <c r="AG88" s="13">
        <f ca="1"/>
        <v>0</v>
      </c>
      <c r="AH88" s="13">
        <f ca="1"/>
        <v>0</v>
      </c>
      <c r="AI88" s="13">
        <f ca="1"/>
        <v>0</v>
      </c>
      <c r="AJ88" s="13">
        <f ca="1"/>
        <v>0</v>
      </c>
      <c r="AK88" s="13">
        <f ca="1"/>
        <v>0</v>
      </c>
      <c r="AL88" s="56">
        <f ca="1"/>
        <v>0</v>
      </c>
      <c r="AM88" s="10"/>
    </row>
    <row r="89" spans="2:39" ht="15" hidden="1">
      <c r="B89" s="10"/>
      <c r="C89" s="11" t="str">
        <f>"EL 3: " &amp; INDEX(_doName,4,4)</f>
        <v>EL 3: EL 3</v>
      </c>
      <c r="D89" s="12"/>
      <c r="E89" s="13">
        <f t="array" aca="1" ref="E89:AL89" ca="1">tlccEupol3</f>
        <v>0</v>
      </c>
      <c r="F89" s="13">
        <f ca="1"/>
        <v>0</v>
      </c>
      <c r="G89" s="13">
        <f ca="1"/>
        <v>0</v>
      </c>
      <c r="H89" s="13">
        <f ca="1"/>
        <v>0</v>
      </c>
      <c r="I89" s="13">
        <f ca="1"/>
        <v>0</v>
      </c>
      <c r="J89" s="13">
        <f ca="1"/>
        <v>0</v>
      </c>
      <c r="K89" s="13">
        <f ca="1"/>
        <v>0</v>
      </c>
      <c r="L89" s="13">
        <f ca="1"/>
        <v>0</v>
      </c>
      <c r="M89" s="13">
        <f ca="1"/>
        <v>0</v>
      </c>
      <c r="N89" s="13">
        <f ca="1"/>
        <v>0</v>
      </c>
      <c r="O89" s="13">
        <f ca="1"/>
        <v>0</v>
      </c>
      <c r="P89" s="13">
        <f ca="1"/>
        <v>0</v>
      </c>
      <c r="Q89" s="13">
        <f ca="1"/>
        <v>0</v>
      </c>
      <c r="R89" s="13">
        <f ca="1"/>
        <v>0</v>
      </c>
      <c r="S89" s="13">
        <f ca="1"/>
        <v>0</v>
      </c>
      <c r="T89" s="13">
        <f ca="1"/>
        <v>0</v>
      </c>
      <c r="U89" s="13">
        <f ca="1"/>
        <v>0</v>
      </c>
      <c r="V89" s="13">
        <f ca="1"/>
        <v>0</v>
      </c>
      <c r="W89" s="13">
        <f ca="1"/>
        <v>0</v>
      </c>
      <c r="X89" s="13">
        <f ca="1"/>
        <v>0</v>
      </c>
      <c r="Y89" s="13">
        <f ca="1"/>
        <v>0</v>
      </c>
      <c r="Z89" s="13">
        <f ca="1"/>
        <v>0</v>
      </c>
      <c r="AA89" s="13">
        <f ca="1"/>
        <v>0</v>
      </c>
      <c r="AB89" s="13">
        <f ca="1"/>
        <v>0</v>
      </c>
      <c r="AC89" s="13">
        <f ca="1"/>
        <v>0</v>
      </c>
      <c r="AD89" s="13">
        <f ca="1"/>
        <v>0</v>
      </c>
      <c r="AE89" s="13">
        <f ca="1"/>
        <v>0</v>
      </c>
      <c r="AF89" s="13">
        <f ca="1"/>
        <v>0</v>
      </c>
      <c r="AG89" s="13">
        <f ca="1"/>
        <v>0</v>
      </c>
      <c r="AH89" s="13">
        <f ca="1"/>
        <v>0</v>
      </c>
      <c r="AI89" s="13">
        <f ca="1"/>
        <v>0</v>
      </c>
      <c r="AJ89" s="13">
        <f ca="1"/>
        <v>0</v>
      </c>
      <c r="AK89" s="13">
        <f ca="1"/>
        <v>0</v>
      </c>
      <c r="AL89" s="56">
        <f ca="1"/>
        <v>0</v>
      </c>
      <c r="AM89" s="10"/>
    </row>
    <row r="90" spans="2:39" ht="15" hidden="1">
      <c r="B90" s="10"/>
      <c r="C90" s="11" t="str">
        <f>"EL 4: " &amp; INDEX(_doName,4,5)</f>
        <v>EL 4: EL 4</v>
      </c>
      <c r="D90" s="12"/>
      <c r="E90" s="13">
        <f t="array" aca="1" ref="E90:AL90" ca="1">tlccEupol4</f>
        <v>0</v>
      </c>
      <c r="F90" s="13">
        <f ca="1"/>
        <v>0</v>
      </c>
      <c r="G90" s="13">
        <f ca="1"/>
        <v>0</v>
      </c>
      <c r="H90" s="13">
        <f ca="1"/>
        <v>0</v>
      </c>
      <c r="I90" s="13">
        <f ca="1"/>
        <v>0</v>
      </c>
      <c r="J90" s="13">
        <f ca="1"/>
        <v>0</v>
      </c>
      <c r="K90" s="13">
        <f ca="1"/>
        <v>0</v>
      </c>
      <c r="L90" s="13">
        <f ca="1"/>
        <v>0</v>
      </c>
      <c r="M90" s="13">
        <f ca="1"/>
        <v>0</v>
      </c>
      <c r="N90" s="13">
        <f ca="1"/>
        <v>0</v>
      </c>
      <c r="O90" s="13">
        <f ca="1"/>
        <v>0</v>
      </c>
      <c r="P90" s="13">
        <f ca="1"/>
        <v>0</v>
      </c>
      <c r="Q90" s="13">
        <f ca="1"/>
        <v>0</v>
      </c>
      <c r="R90" s="13">
        <f ca="1"/>
        <v>0</v>
      </c>
      <c r="S90" s="13">
        <f ca="1"/>
        <v>0</v>
      </c>
      <c r="T90" s="13">
        <f ca="1"/>
        <v>0</v>
      </c>
      <c r="U90" s="13">
        <f ca="1"/>
        <v>0</v>
      </c>
      <c r="V90" s="13">
        <f ca="1"/>
        <v>0</v>
      </c>
      <c r="W90" s="13">
        <f ca="1"/>
        <v>0</v>
      </c>
      <c r="X90" s="13">
        <f ca="1"/>
        <v>0</v>
      </c>
      <c r="Y90" s="13">
        <f ca="1"/>
        <v>0</v>
      </c>
      <c r="Z90" s="13">
        <f ca="1"/>
        <v>0</v>
      </c>
      <c r="AA90" s="13">
        <f ca="1"/>
        <v>0</v>
      </c>
      <c r="AB90" s="13">
        <f ca="1"/>
        <v>0</v>
      </c>
      <c r="AC90" s="13">
        <f ca="1"/>
        <v>0</v>
      </c>
      <c r="AD90" s="13">
        <f ca="1"/>
        <v>0</v>
      </c>
      <c r="AE90" s="13">
        <f ca="1"/>
        <v>0</v>
      </c>
      <c r="AF90" s="13">
        <f ca="1"/>
        <v>0</v>
      </c>
      <c r="AG90" s="13">
        <f ca="1"/>
        <v>0</v>
      </c>
      <c r="AH90" s="13">
        <f ca="1"/>
        <v>0</v>
      </c>
      <c r="AI90" s="13">
        <f ca="1"/>
        <v>0</v>
      </c>
      <c r="AJ90" s="13">
        <f ca="1"/>
        <v>0</v>
      </c>
      <c r="AK90" s="13">
        <f ca="1"/>
        <v>0</v>
      </c>
      <c r="AL90" s="56">
        <f ca="1"/>
        <v>0</v>
      </c>
      <c r="AM90" s="10"/>
    </row>
    <row r="91" spans="2:39" ht="15" hidden="1">
      <c r="B91" s="10"/>
      <c r="C91" s="11" t="str">
        <f>"EL 5: " &amp; INDEX(_doName,4,6)</f>
        <v>EL 5: EL 5</v>
      </c>
      <c r="D91" s="12"/>
      <c r="E91" s="13">
        <f t="array" aca="1" ref="E91:AL91" ca="1">tlccEupol5</f>
        <v>27991.505663425505</v>
      </c>
      <c r="F91" s="13">
        <f ca="1"/>
        <v>28230.240764232603</v>
      </c>
      <c r="G91" s="13">
        <f ca="1"/>
        <v>28460.352767510049</v>
      </c>
      <c r="H91" s="13">
        <f ca="1"/>
        <v>28663.735668805188</v>
      </c>
      <c r="I91" s="13">
        <f ca="1"/>
        <v>28844.222420951723</v>
      </c>
      <c r="J91" s="13">
        <f ca="1"/>
        <v>29025.869816782928</v>
      </c>
      <c r="K91" s="13">
        <f ca="1"/>
        <v>29208.685496365899</v>
      </c>
      <c r="L91" s="13">
        <f ca="1"/>
        <v>29392.677151319713</v>
      </c>
      <c r="M91" s="13">
        <f ca="1"/>
        <v>29577.852525172017</v>
      </c>
      <c r="N91" s="13">
        <f ca="1"/>
        <v>29764.21941371822</v>
      </c>
      <c r="O91" s="13">
        <f ca="1"/>
        <v>29951.785665383242</v>
      </c>
      <c r="P91" s="13">
        <f ca="1"/>
        <v>30140.55918158573</v>
      </c>
      <c r="Q91" s="13">
        <f ca="1"/>
        <v>30330.547917104992</v>
      </c>
      <c r="R91" s="13">
        <f ca="1"/>
        <v>30521.759880450467</v>
      </c>
      <c r="S91" s="13">
        <f ca="1"/>
        <v>30714.203134233732</v>
      </c>
      <c r="T91" s="13">
        <f ca="1"/>
        <v>30907.885795543309</v>
      </c>
      <c r="U91" s="13">
        <f ca="1"/>
        <v>31102.816036322027</v>
      </c>
      <c r="V91" s="13">
        <f ca="1"/>
        <v>31299.002083747095</v>
      </c>
      <c r="W91" s="13">
        <f ca="1"/>
        <v>31496.452220612871</v>
      </c>
      <c r="X91" s="13">
        <f ca="1"/>
        <v>31695.174785716281</v>
      </c>
      <c r="Y91" s="13">
        <f ca="1"/>
        <v>31895.178174245098</v>
      </c>
      <c r="Z91" s="13">
        <f ca="1"/>
        <v>32096.470838168891</v>
      </c>
      <c r="AA91" s="13">
        <f ca="1"/>
        <v>32299.061286632757</v>
      </c>
      <c r="AB91" s="13">
        <f ca="1"/>
        <v>32502.958086353879</v>
      </c>
      <c r="AC91" s="13">
        <f ca="1"/>
        <v>32708.169862020874</v>
      </c>
      <c r="AD91" s="13">
        <f ca="1"/>
        <v>32914.705296696018</v>
      </c>
      <c r="AE91" s="13">
        <f ca="1"/>
        <v>33122.573132220256</v>
      </c>
      <c r="AF91" s="13">
        <f ca="1"/>
        <v>33331.782169621118</v>
      </c>
      <c r="AG91" s="13">
        <f ca="1"/>
        <v>33542.341269523684</v>
      </c>
      <c r="AH91" s="13">
        <f ca="1"/>
        <v>33754.259352564113</v>
      </c>
      <c r="AI91" s="13">
        <f ca="1"/>
        <v>33967.545399806564</v>
      </c>
      <c r="AJ91" s="13">
        <f ca="1"/>
        <v>34182.208453162675</v>
      </c>
      <c r="AK91" s="13">
        <f ca="1"/>
        <v>34398.257615814277</v>
      </c>
      <c r="AL91" s="56">
        <f ca="1"/>
        <v>34615.702052639142</v>
      </c>
      <c r="AM91" s="10"/>
    </row>
    <row r="92" spans="2:39" ht="15" hidden="1">
      <c r="B92" s="10"/>
      <c r="C92" s="21" t="str">
        <f>"EL 6: " &amp; INDEX(_doName,4,7)</f>
        <v>EL 6: EL 6</v>
      </c>
      <c r="D92" s="18"/>
      <c r="E92" s="58">
        <f t="array" aca="1" ref="E92:AL92" ca="1">tlccEupol6</f>
        <v>19960.13909314838</v>
      </c>
      <c r="F92" s="58">
        <f ca="1"/>
        <v>20130.375945564392</v>
      </c>
      <c r="G92" s="58">
        <f ca="1"/>
        <v>20294.463853076366</v>
      </c>
      <c r="H92" s="58">
        <f ca="1"/>
        <v>20439.491814338297</v>
      </c>
      <c r="I92" s="58">
        <f ca="1"/>
        <v>20568.193025364009</v>
      </c>
      <c r="J92" s="58">
        <f ca="1"/>
        <v>20697.721866373682</v>
      </c>
      <c r="K92" s="58">
        <f ca="1"/>
        <v>20828.083785334406</v>
      </c>
      <c r="L92" s="58">
        <f ca="1"/>
        <v>20959.284266973922</v>
      </c>
      <c r="M92" s="58">
        <f ca="1"/>
        <v>21091.328833034811</v>
      </c>
      <c r="N92" s="58">
        <f ca="1"/>
        <v>21224.22304253067</v>
      </c>
      <c r="O92" s="58">
        <f ca="1"/>
        <v>21357.972492004043</v>
      </c>
      <c r="P92" s="58">
        <f ca="1"/>
        <v>21492.582815786209</v>
      </c>
      <c r="Q92" s="58">
        <f ca="1"/>
        <v>21628.059686258788</v>
      </c>
      <c r="R92" s="58">
        <f ca="1"/>
        <v>21764.408814117112</v>
      </c>
      <c r="S92" s="58">
        <f ca="1"/>
        <v>21901.635948635678</v>
      </c>
      <c r="T92" s="58">
        <f ca="1"/>
        <v>22039.746877935249</v>
      </c>
      <c r="U92" s="58">
        <f ca="1"/>
        <v>22178.747429252093</v>
      </c>
      <c r="V92" s="58">
        <f ca="1"/>
        <v>22318.643469208819</v>
      </c>
      <c r="W92" s="58">
        <f ca="1"/>
        <v>22459.440904087493</v>
      </c>
      <c r="X92" s="58">
        <f ca="1"/>
        <v>22601.145680104379</v>
      </c>
      <c r="Y92" s="58">
        <f ca="1"/>
        <v>22743.763783686849</v>
      </c>
      <c r="Z92" s="58">
        <f ca="1"/>
        <v>22887.301241752186</v>
      </c>
      <c r="AA92" s="58">
        <f ca="1"/>
        <v>23031.764121988235</v>
      </c>
      <c r="AB92" s="58">
        <f ca="1"/>
        <v>23177.158533136284</v>
      </c>
      <c r="AC92" s="58">
        <f ca="1"/>
        <v>23323.490625275848</v>
      </c>
      <c r="AD92" s="58">
        <f ca="1"/>
        <v>23470.766590111372</v>
      </c>
      <c r="AE92" s="58">
        <f ca="1"/>
        <v>23618.992661261102</v>
      </c>
      <c r="AF92" s="58">
        <f ca="1"/>
        <v>23768.175114548038</v>
      </c>
      <c r="AG92" s="58">
        <f ca="1"/>
        <v>23918.320268292828</v>
      </c>
      <c r="AH92" s="58">
        <f ca="1"/>
        <v>24069.434483608809</v>
      </c>
      <c r="AI92" s="58">
        <f ca="1"/>
        <v>24221.524164699054</v>
      </c>
      <c r="AJ92" s="58">
        <f ca="1"/>
        <v>24374.595759155865</v>
      </c>
      <c r="AK92" s="58">
        <f ca="1"/>
        <v>24528.655758261939</v>
      </c>
      <c r="AL92" s="59">
        <f ca="1"/>
        <v>24683.7106972939</v>
      </c>
      <c r="AM92" s="10"/>
    </row>
    <row r="93" spans="2:39" ht="15" hidden="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row>
    <row r="94" spans="2:39" ht="15" hidden="1">
      <c r="B94" s="10"/>
      <c r="C94" s="22" t="s">
        <v>84</v>
      </c>
      <c r="D94" s="23"/>
      <c r="E94" s="24">
        <f t="array" ref="E94:AL94">_yS</f>
        <v>2019</v>
      </c>
      <c r="F94" s="24">
        <v>2020</v>
      </c>
      <c r="G94" s="24">
        <v>2021</v>
      </c>
      <c r="H94" s="24">
        <v>2022</v>
      </c>
      <c r="I94" s="24">
        <v>2023</v>
      </c>
      <c r="J94" s="24">
        <v>2024</v>
      </c>
      <c r="K94" s="24">
        <v>2025</v>
      </c>
      <c r="L94" s="24">
        <v>2026</v>
      </c>
      <c r="M94" s="24">
        <v>2027</v>
      </c>
      <c r="N94" s="24">
        <v>2028</v>
      </c>
      <c r="O94" s="24">
        <v>2029</v>
      </c>
      <c r="P94" s="24">
        <v>2030</v>
      </c>
      <c r="Q94" s="24">
        <v>2031</v>
      </c>
      <c r="R94" s="24">
        <v>2032</v>
      </c>
      <c r="S94" s="24">
        <v>2033</v>
      </c>
      <c r="T94" s="24">
        <v>2034</v>
      </c>
      <c r="U94" s="24">
        <v>2035</v>
      </c>
      <c r="V94" s="24">
        <v>2036</v>
      </c>
      <c r="W94" s="24">
        <v>2037</v>
      </c>
      <c r="X94" s="24">
        <v>2038</v>
      </c>
      <c r="Y94" s="24">
        <v>2039</v>
      </c>
      <c r="Z94" s="24">
        <v>2040</v>
      </c>
      <c r="AA94" s="24">
        <v>2041</v>
      </c>
      <c r="AB94" s="24">
        <v>2042</v>
      </c>
      <c r="AC94" s="24">
        <v>2043</v>
      </c>
      <c r="AD94" s="24">
        <v>2044</v>
      </c>
      <c r="AE94" s="24">
        <v>2045</v>
      </c>
      <c r="AF94" s="24">
        <v>2046</v>
      </c>
      <c r="AG94" s="24">
        <v>2047</v>
      </c>
      <c r="AH94" s="24">
        <v>2048</v>
      </c>
      <c r="AI94" s="24">
        <v>2049</v>
      </c>
      <c r="AJ94" s="24">
        <v>2050</v>
      </c>
      <c r="AK94" s="24">
        <v>2051</v>
      </c>
      <c r="AL94" s="25">
        <v>2052</v>
      </c>
      <c r="AM94" s="10"/>
    </row>
    <row r="95" spans="2:39" ht="15" hidden="1">
      <c r="B95" s="10"/>
      <c r="C95" s="11" t="str">
        <f>"EL 0: " &amp; INDEX(_doName,4,1)</f>
        <v>EL 0: EL 3</v>
      </c>
      <c r="D95" s="12"/>
      <c r="E95" s="13">
        <f t="array" aca="1" ref="E95:AL95" ca="1">tlccFupolElec0</f>
        <v>0</v>
      </c>
      <c r="F95" s="13">
        <f ca="1"/>
        <v>0</v>
      </c>
      <c r="G95" s="13">
        <f ca="1"/>
        <v>0</v>
      </c>
      <c r="H95" s="13">
        <f ca="1"/>
        <v>0</v>
      </c>
      <c r="I95" s="13">
        <f ca="1"/>
        <v>0</v>
      </c>
      <c r="J95" s="13">
        <f ca="1"/>
        <v>0</v>
      </c>
      <c r="K95" s="13">
        <f ca="1"/>
        <v>0</v>
      </c>
      <c r="L95" s="13">
        <f ca="1"/>
        <v>0</v>
      </c>
      <c r="M95" s="13">
        <f ca="1"/>
        <v>0</v>
      </c>
      <c r="N95" s="13">
        <f ca="1"/>
        <v>0</v>
      </c>
      <c r="O95" s="13">
        <f ca="1"/>
        <v>0</v>
      </c>
      <c r="P95" s="13">
        <f ca="1"/>
        <v>0</v>
      </c>
      <c r="Q95" s="13">
        <f ca="1"/>
        <v>0</v>
      </c>
      <c r="R95" s="13">
        <f ca="1"/>
        <v>0</v>
      </c>
      <c r="S95" s="13">
        <f ca="1"/>
        <v>0</v>
      </c>
      <c r="T95" s="13">
        <f ca="1"/>
        <v>0</v>
      </c>
      <c r="U95" s="13">
        <f ca="1"/>
        <v>0</v>
      </c>
      <c r="V95" s="13">
        <f ca="1"/>
        <v>0</v>
      </c>
      <c r="W95" s="13">
        <f ca="1"/>
        <v>0</v>
      </c>
      <c r="X95" s="13">
        <f ca="1"/>
        <v>0</v>
      </c>
      <c r="Y95" s="13">
        <f ca="1"/>
        <v>0</v>
      </c>
      <c r="Z95" s="13">
        <f ca="1"/>
        <v>0</v>
      </c>
      <c r="AA95" s="13">
        <f ca="1"/>
        <v>0</v>
      </c>
      <c r="AB95" s="13">
        <f ca="1"/>
        <v>0</v>
      </c>
      <c r="AC95" s="13">
        <f ca="1"/>
        <v>0</v>
      </c>
      <c r="AD95" s="13">
        <f ca="1"/>
        <v>0</v>
      </c>
      <c r="AE95" s="13">
        <f ca="1"/>
        <v>0</v>
      </c>
      <c r="AF95" s="13">
        <f ca="1"/>
        <v>0</v>
      </c>
      <c r="AG95" s="13">
        <f ca="1"/>
        <v>0</v>
      </c>
      <c r="AH95" s="13">
        <f ca="1"/>
        <v>0</v>
      </c>
      <c r="AI95" s="13">
        <f ca="1"/>
        <v>0</v>
      </c>
      <c r="AJ95" s="13">
        <f ca="1"/>
        <v>0</v>
      </c>
      <c r="AK95" s="13">
        <f ca="1"/>
        <v>0</v>
      </c>
      <c r="AL95" s="56">
        <f ca="1"/>
        <v>0</v>
      </c>
      <c r="AM95" s="10"/>
    </row>
    <row r="96" spans="2:39" ht="15" hidden="1">
      <c r="B96" s="10"/>
      <c r="C96" s="11" t="str">
        <f>"EL 1: " &amp; INDEX(_doName,4,2)</f>
        <v>EL 1: EL 1</v>
      </c>
      <c r="D96" s="12"/>
      <c r="E96" s="13">
        <f t="array" aca="1" ref="E96:AL96" ca="1">tlccFupolElec1</f>
        <v>0</v>
      </c>
      <c r="F96" s="13">
        <f ca="1"/>
        <v>0</v>
      </c>
      <c r="G96" s="13">
        <f ca="1"/>
        <v>0</v>
      </c>
      <c r="H96" s="13">
        <f ca="1"/>
        <v>0</v>
      </c>
      <c r="I96" s="13">
        <f ca="1"/>
        <v>0</v>
      </c>
      <c r="J96" s="13">
        <f ca="1"/>
        <v>0</v>
      </c>
      <c r="K96" s="13">
        <f ca="1"/>
        <v>0</v>
      </c>
      <c r="L96" s="13">
        <f ca="1"/>
        <v>0</v>
      </c>
      <c r="M96" s="13">
        <f ca="1"/>
        <v>0</v>
      </c>
      <c r="N96" s="13">
        <f ca="1"/>
        <v>0</v>
      </c>
      <c r="O96" s="13">
        <f ca="1"/>
        <v>0</v>
      </c>
      <c r="P96" s="13">
        <f ca="1"/>
        <v>0</v>
      </c>
      <c r="Q96" s="13">
        <f ca="1"/>
        <v>0</v>
      </c>
      <c r="R96" s="13">
        <f ca="1"/>
        <v>0</v>
      </c>
      <c r="S96" s="13">
        <f ca="1"/>
        <v>0</v>
      </c>
      <c r="T96" s="13">
        <f ca="1"/>
        <v>0</v>
      </c>
      <c r="U96" s="13">
        <f ca="1"/>
        <v>0</v>
      </c>
      <c r="V96" s="13">
        <f ca="1"/>
        <v>0</v>
      </c>
      <c r="W96" s="13">
        <f ca="1"/>
        <v>0</v>
      </c>
      <c r="X96" s="13">
        <f ca="1"/>
        <v>0</v>
      </c>
      <c r="Y96" s="13">
        <f ca="1"/>
        <v>0</v>
      </c>
      <c r="Z96" s="13">
        <f ca="1"/>
        <v>0</v>
      </c>
      <c r="AA96" s="13">
        <f ca="1"/>
        <v>0</v>
      </c>
      <c r="AB96" s="13">
        <f ca="1"/>
        <v>0</v>
      </c>
      <c r="AC96" s="13">
        <f ca="1"/>
        <v>0</v>
      </c>
      <c r="AD96" s="13">
        <f ca="1"/>
        <v>0</v>
      </c>
      <c r="AE96" s="13">
        <f ca="1"/>
        <v>0</v>
      </c>
      <c r="AF96" s="13">
        <f ca="1"/>
        <v>0</v>
      </c>
      <c r="AG96" s="13">
        <f ca="1"/>
        <v>0</v>
      </c>
      <c r="AH96" s="13">
        <f ca="1"/>
        <v>0</v>
      </c>
      <c r="AI96" s="13">
        <f ca="1"/>
        <v>0</v>
      </c>
      <c r="AJ96" s="13">
        <f ca="1"/>
        <v>0</v>
      </c>
      <c r="AK96" s="13">
        <f ca="1"/>
        <v>0</v>
      </c>
      <c r="AL96" s="56">
        <f ca="1"/>
        <v>0</v>
      </c>
      <c r="AM96" s="10"/>
    </row>
    <row r="97" spans="2:39" ht="15" hidden="1">
      <c r="B97" s="10"/>
      <c r="C97" s="11" t="str">
        <f>"EL 2: " &amp; INDEX(_doName,4,3)</f>
        <v>EL 2: EL 2</v>
      </c>
      <c r="D97" s="12"/>
      <c r="E97" s="13">
        <f t="array" aca="1" ref="E97:AL97" ca="1">tlccFupolElec2</f>
        <v>0</v>
      </c>
      <c r="F97" s="13">
        <f ca="1"/>
        <v>0</v>
      </c>
      <c r="G97" s="13">
        <f ca="1"/>
        <v>0</v>
      </c>
      <c r="H97" s="13">
        <f ca="1"/>
        <v>0</v>
      </c>
      <c r="I97" s="13">
        <f ca="1"/>
        <v>0</v>
      </c>
      <c r="J97" s="13">
        <f ca="1"/>
        <v>0</v>
      </c>
      <c r="K97" s="13">
        <f ca="1"/>
        <v>0</v>
      </c>
      <c r="L97" s="13">
        <f ca="1"/>
        <v>0</v>
      </c>
      <c r="M97" s="13">
        <f ca="1"/>
        <v>0</v>
      </c>
      <c r="N97" s="13">
        <f ca="1"/>
        <v>0</v>
      </c>
      <c r="O97" s="13">
        <f ca="1"/>
        <v>0</v>
      </c>
      <c r="P97" s="13">
        <f ca="1"/>
        <v>0</v>
      </c>
      <c r="Q97" s="13">
        <f ca="1"/>
        <v>0</v>
      </c>
      <c r="R97" s="13">
        <f ca="1"/>
        <v>0</v>
      </c>
      <c r="S97" s="13">
        <f ca="1"/>
        <v>0</v>
      </c>
      <c r="T97" s="13">
        <f ca="1"/>
        <v>0</v>
      </c>
      <c r="U97" s="13">
        <f ca="1"/>
        <v>0</v>
      </c>
      <c r="V97" s="13">
        <f ca="1"/>
        <v>0</v>
      </c>
      <c r="W97" s="13">
        <f ca="1"/>
        <v>0</v>
      </c>
      <c r="X97" s="13">
        <f ca="1"/>
        <v>0</v>
      </c>
      <c r="Y97" s="13">
        <f ca="1"/>
        <v>0</v>
      </c>
      <c r="Z97" s="13">
        <f ca="1"/>
        <v>0</v>
      </c>
      <c r="AA97" s="13">
        <f ca="1"/>
        <v>0</v>
      </c>
      <c r="AB97" s="13">
        <f ca="1"/>
        <v>0</v>
      </c>
      <c r="AC97" s="13">
        <f ca="1"/>
        <v>0</v>
      </c>
      <c r="AD97" s="13">
        <f ca="1"/>
        <v>0</v>
      </c>
      <c r="AE97" s="13">
        <f ca="1"/>
        <v>0</v>
      </c>
      <c r="AF97" s="13">
        <f ca="1"/>
        <v>0</v>
      </c>
      <c r="AG97" s="13">
        <f ca="1"/>
        <v>0</v>
      </c>
      <c r="AH97" s="13">
        <f ca="1"/>
        <v>0</v>
      </c>
      <c r="AI97" s="13">
        <f ca="1"/>
        <v>0</v>
      </c>
      <c r="AJ97" s="13">
        <f ca="1"/>
        <v>0</v>
      </c>
      <c r="AK97" s="13">
        <f ca="1"/>
        <v>0</v>
      </c>
      <c r="AL97" s="56">
        <f ca="1"/>
        <v>0</v>
      </c>
      <c r="AM97" s="10"/>
    </row>
    <row r="98" spans="2:39" ht="15" hidden="1">
      <c r="B98" s="10"/>
      <c r="C98" s="11" t="str">
        <f>"EL 3: " &amp; INDEX(_doName,4,4)</f>
        <v>EL 3: EL 3</v>
      </c>
      <c r="D98" s="12"/>
      <c r="E98" s="13">
        <f t="array" aca="1" ref="E98:AL98" ca="1">tlccFupolElec3</f>
        <v>0</v>
      </c>
      <c r="F98" s="13">
        <f ca="1"/>
        <v>0</v>
      </c>
      <c r="G98" s="13">
        <f ca="1"/>
        <v>0</v>
      </c>
      <c r="H98" s="13">
        <f ca="1"/>
        <v>0</v>
      </c>
      <c r="I98" s="13">
        <f ca="1"/>
        <v>0</v>
      </c>
      <c r="J98" s="13">
        <f ca="1"/>
        <v>0</v>
      </c>
      <c r="K98" s="13">
        <f ca="1"/>
        <v>0</v>
      </c>
      <c r="L98" s="13">
        <f ca="1"/>
        <v>0</v>
      </c>
      <c r="M98" s="13">
        <f ca="1"/>
        <v>0</v>
      </c>
      <c r="N98" s="13">
        <f ca="1"/>
        <v>0</v>
      </c>
      <c r="O98" s="13">
        <f ca="1"/>
        <v>0</v>
      </c>
      <c r="P98" s="13">
        <f ca="1"/>
        <v>0</v>
      </c>
      <c r="Q98" s="13">
        <f ca="1"/>
        <v>0</v>
      </c>
      <c r="R98" s="13">
        <f ca="1"/>
        <v>0</v>
      </c>
      <c r="S98" s="13">
        <f ca="1"/>
        <v>0</v>
      </c>
      <c r="T98" s="13">
        <f ca="1"/>
        <v>0</v>
      </c>
      <c r="U98" s="13">
        <f ca="1"/>
        <v>0</v>
      </c>
      <c r="V98" s="13">
        <f ca="1"/>
        <v>0</v>
      </c>
      <c r="W98" s="13">
        <f ca="1"/>
        <v>0</v>
      </c>
      <c r="X98" s="13">
        <f ca="1"/>
        <v>0</v>
      </c>
      <c r="Y98" s="13">
        <f ca="1"/>
        <v>0</v>
      </c>
      <c r="Z98" s="13">
        <f ca="1"/>
        <v>0</v>
      </c>
      <c r="AA98" s="13">
        <f ca="1"/>
        <v>0</v>
      </c>
      <c r="AB98" s="13">
        <f ca="1"/>
        <v>0</v>
      </c>
      <c r="AC98" s="13">
        <f ca="1"/>
        <v>0</v>
      </c>
      <c r="AD98" s="13">
        <f ca="1"/>
        <v>0</v>
      </c>
      <c r="AE98" s="13">
        <f ca="1"/>
        <v>0</v>
      </c>
      <c r="AF98" s="13">
        <f ca="1"/>
        <v>0</v>
      </c>
      <c r="AG98" s="13">
        <f ca="1"/>
        <v>0</v>
      </c>
      <c r="AH98" s="13">
        <f ca="1"/>
        <v>0</v>
      </c>
      <c r="AI98" s="13">
        <f ca="1"/>
        <v>0</v>
      </c>
      <c r="AJ98" s="13">
        <f ca="1"/>
        <v>0</v>
      </c>
      <c r="AK98" s="13">
        <f ca="1"/>
        <v>0</v>
      </c>
      <c r="AL98" s="56">
        <f ca="1"/>
        <v>0</v>
      </c>
      <c r="AM98" s="10"/>
    </row>
    <row r="99" spans="2:39" ht="15" hidden="1">
      <c r="B99" s="10"/>
      <c r="C99" s="11" t="str">
        <f>"EL 4: " &amp; INDEX(_doName,4,5)</f>
        <v>EL 4: EL 4</v>
      </c>
      <c r="D99" s="12"/>
      <c r="E99" s="13">
        <f t="array" aca="1" ref="E99:AL99" ca="1">tlccFupolElec4</f>
        <v>0</v>
      </c>
      <c r="F99" s="13">
        <f ca="1"/>
        <v>0</v>
      </c>
      <c r="G99" s="13">
        <f ca="1"/>
        <v>0</v>
      </c>
      <c r="H99" s="13">
        <f ca="1"/>
        <v>0</v>
      </c>
      <c r="I99" s="13">
        <f ca="1"/>
        <v>0</v>
      </c>
      <c r="J99" s="13">
        <f ca="1"/>
        <v>0</v>
      </c>
      <c r="K99" s="13">
        <f ca="1"/>
        <v>0</v>
      </c>
      <c r="L99" s="13">
        <f ca="1"/>
        <v>0</v>
      </c>
      <c r="M99" s="13">
        <f ca="1"/>
        <v>0</v>
      </c>
      <c r="N99" s="13">
        <f ca="1"/>
        <v>0</v>
      </c>
      <c r="O99" s="13">
        <f ca="1"/>
        <v>0</v>
      </c>
      <c r="P99" s="13">
        <f ca="1"/>
        <v>0</v>
      </c>
      <c r="Q99" s="13">
        <f ca="1"/>
        <v>0</v>
      </c>
      <c r="R99" s="13">
        <f ca="1"/>
        <v>0</v>
      </c>
      <c r="S99" s="13">
        <f ca="1"/>
        <v>0</v>
      </c>
      <c r="T99" s="13">
        <f ca="1"/>
        <v>0</v>
      </c>
      <c r="U99" s="13">
        <f ca="1"/>
        <v>0</v>
      </c>
      <c r="V99" s="13">
        <f ca="1"/>
        <v>0</v>
      </c>
      <c r="W99" s="13">
        <f ca="1"/>
        <v>0</v>
      </c>
      <c r="X99" s="13">
        <f ca="1"/>
        <v>0</v>
      </c>
      <c r="Y99" s="13">
        <f ca="1"/>
        <v>0</v>
      </c>
      <c r="Z99" s="13">
        <f ca="1"/>
        <v>0</v>
      </c>
      <c r="AA99" s="13">
        <f ca="1"/>
        <v>0</v>
      </c>
      <c r="AB99" s="13">
        <f ca="1"/>
        <v>0</v>
      </c>
      <c r="AC99" s="13">
        <f ca="1"/>
        <v>0</v>
      </c>
      <c r="AD99" s="13">
        <f ca="1"/>
        <v>0</v>
      </c>
      <c r="AE99" s="13">
        <f ca="1"/>
        <v>0</v>
      </c>
      <c r="AF99" s="13">
        <f ca="1"/>
        <v>0</v>
      </c>
      <c r="AG99" s="13">
        <f ca="1"/>
        <v>0</v>
      </c>
      <c r="AH99" s="13">
        <f ca="1"/>
        <v>0</v>
      </c>
      <c r="AI99" s="13">
        <f ca="1"/>
        <v>0</v>
      </c>
      <c r="AJ99" s="13">
        <f ca="1"/>
        <v>0</v>
      </c>
      <c r="AK99" s="13">
        <f ca="1"/>
        <v>0</v>
      </c>
      <c r="AL99" s="56">
        <f ca="1"/>
        <v>0</v>
      </c>
      <c r="AM99" s="10"/>
    </row>
    <row r="100" spans="2:39" ht="15" hidden="1">
      <c r="B100" s="10"/>
      <c r="C100" s="11" t="str">
        <f>"EL 5: " &amp; INDEX(_doName,4,6)</f>
        <v>EL 5: EL 5</v>
      </c>
      <c r="D100" s="12"/>
      <c r="E100" s="13">
        <f t="array" aca="1" ref="E100:AL100" ca="1">tlccFupolElec5</f>
        <v>4650.2238652625465</v>
      </c>
      <c r="F100" s="13">
        <f ca="1"/>
        <v>4604.2858103193121</v>
      </c>
      <c r="G100" s="13">
        <f ca="1"/>
        <v>4563.4054854421638</v>
      </c>
      <c r="H100" s="13">
        <f ca="1"/>
        <v>4524.1363616903081</v>
      </c>
      <c r="I100" s="13">
        <f ca="1"/>
        <v>4489.4672499423759</v>
      </c>
      <c r="J100" s="13">
        <f ca="1"/>
        <v>4462.261143939003</v>
      </c>
      <c r="K100" s="13">
        <f ca="1"/>
        <v>4439.3828142713719</v>
      </c>
      <c r="L100" s="13">
        <f ca="1"/>
        <v>4416.1749147898145</v>
      </c>
      <c r="M100" s="13">
        <f ca="1"/>
        <v>4397.3541738730319</v>
      </c>
      <c r="N100" s="13">
        <f ca="1"/>
        <v>4384.0849528905192</v>
      </c>
      <c r="O100" s="13">
        <f ca="1"/>
        <v>4374.1832039756619</v>
      </c>
      <c r="P100" s="13">
        <f ca="1"/>
        <v>4365.7301594117662</v>
      </c>
      <c r="Q100" s="13">
        <f ca="1"/>
        <v>4359.3820658329305</v>
      </c>
      <c r="R100" s="13">
        <f ca="1"/>
        <v>4354.4579678447662</v>
      </c>
      <c r="S100" s="13">
        <f ca="1"/>
        <v>4353.4533374127595</v>
      </c>
      <c r="T100" s="13">
        <f ca="1"/>
        <v>4354.233747651946</v>
      </c>
      <c r="U100" s="13">
        <f ca="1"/>
        <v>4355.6123422718792</v>
      </c>
      <c r="V100" s="13">
        <f ca="1"/>
        <v>4357.7473298501782</v>
      </c>
      <c r="W100" s="13">
        <f ca="1"/>
        <v>4359.8051329456903</v>
      </c>
      <c r="X100" s="13">
        <f ca="1"/>
        <v>4361.5141664037965</v>
      </c>
      <c r="Y100" s="13">
        <f ca="1"/>
        <v>4362.6591193872564</v>
      </c>
      <c r="Z100" s="13">
        <f ca="1"/>
        <v>4363.4475890729009</v>
      </c>
      <c r="AA100" s="13">
        <f ca="1"/>
        <v>4363.4475890729009</v>
      </c>
      <c r="AB100" s="13">
        <f ca="1"/>
        <v>4363.4475890729009</v>
      </c>
      <c r="AC100" s="13">
        <f ca="1"/>
        <v>4363.4475890729009</v>
      </c>
      <c r="AD100" s="13">
        <f ca="1"/>
        <v>4363.4475890729009</v>
      </c>
      <c r="AE100" s="13">
        <f ca="1"/>
        <v>4363.4475890729009</v>
      </c>
      <c r="AF100" s="13">
        <f ca="1"/>
        <v>4363.4475890729009</v>
      </c>
      <c r="AG100" s="13">
        <f ca="1"/>
        <v>4363.4475890729009</v>
      </c>
      <c r="AH100" s="13">
        <f ca="1"/>
        <v>4363.4475890729009</v>
      </c>
      <c r="AI100" s="13">
        <f ca="1"/>
        <v>4363.4475890729009</v>
      </c>
      <c r="AJ100" s="13">
        <f ca="1"/>
        <v>4363.4475890729009</v>
      </c>
      <c r="AK100" s="13">
        <f ca="1"/>
        <v>4363.4475890729009</v>
      </c>
      <c r="AL100" s="56">
        <f ca="1"/>
        <v>4363.4475890729009</v>
      </c>
      <c r="AM100" s="10"/>
    </row>
    <row r="101" spans="2:39" ht="15" hidden="1">
      <c r="B101" s="10"/>
      <c r="C101" s="21" t="str">
        <f>"EL 6: " &amp; INDEX(_doName,4,7)</f>
        <v>EL 6: EL 6</v>
      </c>
      <c r="D101" s="18"/>
      <c r="E101" s="58">
        <f t="array" aca="1" ref="E101:AL101" ca="1">tlccFupolElec6</f>
        <v>3315.9743631153988</v>
      </c>
      <c r="F101" s="58">
        <f ca="1"/>
        <v>3283.2169267216232</v>
      </c>
      <c r="G101" s="58">
        <f ca="1"/>
        <v>3254.0660485755025</v>
      </c>
      <c r="H101" s="58">
        <f ca="1"/>
        <v>3226.0640832086565</v>
      </c>
      <c r="I101" s="58">
        <f ca="1"/>
        <v>3201.3422872093497</v>
      </c>
      <c r="J101" s="58">
        <f ca="1"/>
        <v>3181.9421996778028</v>
      </c>
      <c r="K101" s="58">
        <f ca="1"/>
        <v>3165.6281561291744</v>
      </c>
      <c r="L101" s="58">
        <f ca="1"/>
        <v>3149.0791034529202</v>
      </c>
      <c r="M101" s="58">
        <f ca="1"/>
        <v>3135.6584389466179</v>
      </c>
      <c r="N101" s="58">
        <f ca="1"/>
        <v>3126.1964435951222</v>
      </c>
      <c r="O101" s="58">
        <f ca="1"/>
        <v>3119.1357199605154</v>
      </c>
      <c r="P101" s="58">
        <f ca="1"/>
        <v>3113.1080361594113</v>
      </c>
      <c r="Q101" s="58">
        <f ca="1"/>
        <v>3108.5813475155974</v>
      </c>
      <c r="R101" s="58">
        <f ca="1"/>
        <v>3105.0700794211316</v>
      </c>
      <c r="S101" s="58">
        <f ca="1"/>
        <v>3104.3536991234378</v>
      </c>
      <c r="T101" s="58">
        <f ca="1"/>
        <v>3104.910192836609</v>
      </c>
      <c r="U101" s="58">
        <f ca="1"/>
        <v>3105.8932389327283</v>
      </c>
      <c r="V101" s="58">
        <f ca="1"/>
        <v>3107.4156525369617</v>
      </c>
      <c r="W101" s="58">
        <f ca="1"/>
        <v>3108.8830275508899</v>
      </c>
      <c r="X101" s="58">
        <f ca="1"/>
        <v>3110.1017024570856</v>
      </c>
      <c r="Y101" s="58">
        <f ca="1"/>
        <v>3110.9181437403722</v>
      </c>
      <c r="Z101" s="58">
        <f ca="1"/>
        <v>3111.4803844710223</v>
      </c>
      <c r="AA101" s="58">
        <f ca="1"/>
        <v>3111.4803844710223</v>
      </c>
      <c r="AB101" s="58">
        <f ca="1"/>
        <v>3111.4803844710223</v>
      </c>
      <c r="AC101" s="58">
        <f ca="1"/>
        <v>3111.4803844710223</v>
      </c>
      <c r="AD101" s="58">
        <f ca="1"/>
        <v>3111.4803844710223</v>
      </c>
      <c r="AE101" s="58">
        <f ca="1"/>
        <v>3111.4803844710223</v>
      </c>
      <c r="AF101" s="58">
        <f ca="1"/>
        <v>3111.4803844710223</v>
      </c>
      <c r="AG101" s="58">
        <f ca="1"/>
        <v>3111.4803844710223</v>
      </c>
      <c r="AH101" s="58">
        <f ca="1"/>
        <v>3111.4803844710223</v>
      </c>
      <c r="AI101" s="58">
        <f ca="1"/>
        <v>3111.4803844710223</v>
      </c>
      <c r="AJ101" s="58">
        <f ca="1"/>
        <v>3111.4803844710223</v>
      </c>
      <c r="AK101" s="58">
        <f ca="1"/>
        <v>3111.4803844710223</v>
      </c>
      <c r="AL101" s="59">
        <f ca="1"/>
        <v>3111.4803844710223</v>
      </c>
      <c r="AM101" s="10"/>
    </row>
    <row r="102" spans="2:39" ht="15" hidden="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row>
    <row r="103" spans="2:39">
      <c r="B103" s="10"/>
      <c r="C103" s="22" t="s">
        <v>82</v>
      </c>
      <c r="D103" s="23"/>
      <c r="E103" s="24">
        <f t="array" ref="E103:AL103">_yS</f>
        <v>2019</v>
      </c>
      <c r="F103" s="24">
        <v>2020</v>
      </c>
      <c r="G103" s="24">
        <v>2021</v>
      </c>
      <c r="H103" s="24">
        <v>2022</v>
      </c>
      <c r="I103" s="24">
        <v>2023</v>
      </c>
      <c r="J103" s="24">
        <v>2024</v>
      </c>
      <c r="K103" s="24">
        <v>2025</v>
      </c>
      <c r="L103" s="24">
        <v>2026</v>
      </c>
      <c r="M103" s="24">
        <v>2027</v>
      </c>
      <c r="N103" s="24">
        <v>2028</v>
      </c>
      <c r="O103" s="24">
        <v>2029</v>
      </c>
      <c r="P103" s="24">
        <v>2030</v>
      </c>
      <c r="Q103" s="24">
        <v>2031</v>
      </c>
      <c r="R103" s="24">
        <v>2032</v>
      </c>
      <c r="S103" s="24">
        <v>2033</v>
      </c>
      <c r="T103" s="24">
        <v>2034</v>
      </c>
      <c r="U103" s="24">
        <v>2035</v>
      </c>
      <c r="V103" s="24">
        <v>2036</v>
      </c>
      <c r="W103" s="24">
        <v>2037</v>
      </c>
      <c r="X103" s="24">
        <v>2038</v>
      </c>
      <c r="Y103" s="24">
        <v>2039</v>
      </c>
      <c r="Z103" s="24">
        <v>2040</v>
      </c>
      <c r="AA103" s="24">
        <v>2041</v>
      </c>
      <c r="AB103" s="24">
        <v>2042</v>
      </c>
      <c r="AC103" s="24">
        <v>2043</v>
      </c>
      <c r="AD103" s="24">
        <v>2044</v>
      </c>
      <c r="AE103" s="24">
        <v>2045</v>
      </c>
      <c r="AF103" s="24">
        <v>2046</v>
      </c>
      <c r="AG103" s="24">
        <v>2047</v>
      </c>
      <c r="AH103" s="24">
        <v>2048</v>
      </c>
      <c r="AI103" s="24">
        <v>2049</v>
      </c>
      <c r="AJ103" s="24">
        <v>2050</v>
      </c>
      <c r="AK103" s="24">
        <v>2051</v>
      </c>
      <c r="AL103" s="25">
        <v>2052</v>
      </c>
      <c r="AM103" s="10"/>
    </row>
    <row r="104" spans="2:39">
      <c r="B104" s="10"/>
      <c r="C104" s="27" t="str">
        <f>"BC (CSL 0): " &amp; INDEX(_doName,4,1)</f>
        <v>BC (CSL 0): EL 3</v>
      </c>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5"/>
      <c r="AM104" s="10"/>
    </row>
    <row r="105" spans="2:39">
      <c r="B105" s="10"/>
      <c r="C105" s="57" t="str">
        <f>"EL 0: " &amp; INDEX(_doName,4,1)</f>
        <v>EL 0: EL 3</v>
      </c>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3"/>
      <c r="AM105" s="10"/>
    </row>
    <row r="106" spans="2:39">
      <c r="B106" s="10"/>
      <c r="C106" s="16" t="s">
        <v>69</v>
      </c>
      <c r="D106" s="12" t="str">
        <f>_yearDol &amp; "$"</f>
        <v>2015$</v>
      </c>
      <c r="E106" s="13">
        <f t="array" ref="E106:AL106">INDEX(mspCnU,1,1)*tPIdxAll + INDEX(instCnU,1,1) + IF(bESav,SUMPRODUCT(dFactor,tpSurvCnU,INDEX(mrCnU,1,1)*allOnes),0)</f>
        <v>3815.7517763157898</v>
      </c>
      <c r="F106" s="13">
        <v>3815.7517763157898</v>
      </c>
      <c r="G106" s="13">
        <v>3815.7517763157898</v>
      </c>
      <c r="H106" s="13">
        <v>3815.7517763157898</v>
      </c>
      <c r="I106" s="13">
        <v>3815.7517763157898</v>
      </c>
      <c r="J106" s="13">
        <v>3815.7517763157898</v>
      </c>
      <c r="K106" s="13">
        <v>3815.7517763157898</v>
      </c>
      <c r="L106" s="13">
        <v>3815.7517763157898</v>
      </c>
      <c r="M106" s="13">
        <v>3815.7517763157898</v>
      </c>
      <c r="N106" s="13">
        <v>3815.7517763157898</v>
      </c>
      <c r="O106" s="13">
        <v>3815.7517763157898</v>
      </c>
      <c r="P106" s="13">
        <v>3815.7517763157898</v>
      </c>
      <c r="Q106" s="13">
        <v>3815.7517763157898</v>
      </c>
      <c r="R106" s="13">
        <v>3815.7517763157898</v>
      </c>
      <c r="S106" s="13">
        <v>3815.7517763157898</v>
      </c>
      <c r="T106" s="13">
        <v>3815.7517763157898</v>
      </c>
      <c r="U106" s="13">
        <v>3815.7517763157898</v>
      </c>
      <c r="V106" s="13">
        <v>3815.7517763157898</v>
      </c>
      <c r="W106" s="13">
        <v>3815.7517763157898</v>
      </c>
      <c r="X106" s="13">
        <v>3815.7517763157898</v>
      </c>
      <c r="Y106" s="13">
        <v>3815.7517763157898</v>
      </c>
      <c r="Z106" s="13">
        <v>3815.7517763157898</v>
      </c>
      <c r="AA106" s="13">
        <v>3815.7517763157898</v>
      </c>
      <c r="AB106" s="13">
        <v>3815.7517763157898</v>
      </c>
      <c r="AC106" s="13">
        <v>3815.7517763157898</v>
      </c>
      <c r="AD106" s="13">
        <v>3815.7517763157898</v>
      </c>
      <c r="AE106" s="13">
        <v>3815.7517763157898</v>
      </c>
      <c r="AF106" s="13">
        <v>3815.7517763157898</v>
      </c>
      <c r="AG106" s="13">
        <v>3815.7517763157898</v>
      </c>
      <c r="AH106" s="13">
        <v>3815.7517763157898</v>
      </c>
      <c r="AI106" s="13">
        <v>3815.7517763157898</v>
      </c>
      <c r="AJ106" s="13">
        <v>3815.7517763157898</v>
      </c>
      <c r="AK106" s="13">
        <v>3815.7517763157898</v>
      </c>
      <c r="AL106" s="56">
        <v>3815.7517763157898</v>
      </c>
      <c r="AM106" s="10"/>
    </row>
    <row r="107" spans="2:39">
      <c r="B107" s="10"/>
      <c r="C107" s="16" t="str">
        <f>zEO&amp;" Costs"</f>
        <v>Operating Costs</v>
      </c>
      <c r="D107" s="12" t="str">
        <f>_yearDol &amp; "$"</f>
        <v>2015$</v>
      </c>
      <c r="E107" s="13">
        <f t="array" aca="1" ref="E107:AL107" ca="1">(tlccEFuElecbc0) + IF(bOSav,SUMPRODUCT(dFactor,tpSurvCnU,INDEX(mrCnU,1,1)*allOnes),0)</f>
        <v>25758.398171155219</v>
      </c>
      <c r="F107" s="13">
        <f ca="1"/>
        <v>25978.087453252519</v>
      </c>
      <c r="G107" s="13">
        <f ca="1"/>
        <v>26189.84157165022</v>
      </c>
      <c r="H107" s="13">
        <f ca="1"/>
        <v>26376.998983464964</v>
      </c>
      <c r="I107" s="13">
        <f ca="1"/>
        <v>26543.086856061385</v>
      </c>
      <c r="J107" s="13">
        <f ca="1"/>
        <v>26710.24277846278</v>
      </c>
      <c r="K107" s="13">
        <f ca="1"/>
        <v>26878.473781226625</v>
      </c>
      <c r="L107" s="13">
        <f ca="1"/>
        <v>27047.78694234974</v>
      </c>
      <c r="M107" s="13">
        <f ca="1"/>
        <v>27218.189387596303</v>
      </c>
      <c r="N107" s="13">
        <f ca="1"/>
        <v>27389.688290828377</v>
      </c>
      <c r="O107" s="13">
        <f ca="1"/>
        <v>27562.290874338989</v>
      </c>
      <c r="P107" s="13">
        <f ca="1"/>
        <v>27736.004409187033</v>
      </c>
      <c r="Q107" s="13">
        <f ca="1"/>
        <v>27910.836215535135</v>
      </c>
      <c r="R107" s="13">
        <f ca="1"/>
        <v>28086.793662989498</v>
      </c>
      <c r="S107" s="13">
        <f ca="1"/>
        <v>28263.884170942372</v>
      </c>
      <c r="T107" s="13">
        <f ca="1"/>
        <v>28442.115208916846</v>
      </c>
      <c r="U107" s="13">
        <f ca="1"/>
        <v>28621.494296914199</v>
      </c>
      <c r="V107" s="13">
        <f ca="1"/>
        <v>28802.029005763517</v>
      </c>
      <c r="W107" s="13">
        <f ca="1"/>
        <v>28983.726957474024</v>
      </c>
      <c r="X107" s="13">
        <f ca="1"/>
        <v>29166.5958255898</v>
      </c>
      <c r="Y107" s="13">
        <f ca="1"/>
        <v>29350.643335546971</v>
      </c>
      <c r="Z107" s="13">
        <f ca="1"/>
        <v>29535.87726503353</v>
      </c>
      <c r="AA107" s="13">
        <f ca="1"/>
        <v>29722.305444351634</v>
      </c>
      <c r="AB107" s="13">
        <f ca="1"/>
        <v>29909.935756782575</v>
      </c>
      <c r="AC107" s="13">
        <f ca="1"/>
        <v>30098.776138954207</v>
      </c>
      <c r="AD107" s="13">
        <f ca="1"/>
        <v>30288.834581211057</v>
      </c>
      <c r="AE107" s="13">
        <f ca="1"/>
        <v>30480.119127987178</v>
      </c>
      <c r="AF107" s="13">
        <f ca="1"/>
        <v>30672.637878181358</v>
      </c>
      <c r="AG107" s="13">
        <f ca="1"/>
        <v>30866.398985535321</v>
      </c>
      <c r="AH107" s="13">
        <f ca="1"/>
        <v>31061.410659014404</v>
      </c>
      <c r="AI107" s="13">
        <f ca="1"/>
        <v>31257.681163190988</v>
      </c>
      <c r="AJ107" s="13">
        <f ca="1"/>
        <v>31455.218818630787</v>
      </c>
      <c r="AK107" s="13">
        <f ca="1"/>
        <v>31654.032002281594</v>
      </c>
      <c r="AL107" s="56">
        <f ca="1"/>
        <v>31854.129147865122</v>
      </c>
      <c r="AM107" s="10"/>
    </row>
    <row r="108" spans="2:39">
      <c r="B108" s="10"/>
      <c r="C108" s="28" t="str">
        <f>INDEX(_fuel,1)</f>
        <v>Electricity</v>
      </c>
      <c r="D108" s="12" t="str">
        <f>_yearDol &amp; "$"</f>
        <v>2015$</v>
      </c>
      <c r="E108" s="13">
        <f ca="1">SUMPRODUCT(dFactor,tpSurvCnU,INDEX(elecCnU,1,1)*allOnes,OFFSET(tPrcElec,0,0,1,_maxLT))</f>
        <v>25758.398171155219</v>
      </c>
      <c r="F108" s="13">
        <f ca="1">SUMPRODUCT(dFactor,tpSurvCnU,INDEX(elecCnU,1,1)*allOnes,OFFSET(tPrcElec,0,1,1,_maxLT))</f>
        <v>25978.087453252519</v>
      </c>
      <c r="G108" s="13">
        <f ca="1">SUMPRODUCT(dFactor,tpSurvCnU,INDEX(elecCnU,1,1)*allOnes,OFFSET(tPrcElec,0,2,1,_maxLT))</f>
        <v>26189.84157165022</v>
      </c>
      <c r="H108" s="13">
        <f ca="1">SUMPRODUCT(dFactor,tpSurvCnU,INDEX(elecCnU,1,1)*allOnes,OFFSET(tPrcElec,0,3,1,_maxLT))</f>
        <v>26376.998983464964</v>
      </c>
      <c r="I108" s="13">
        <f ca="1">SUMPRODUCT(dFactor,tpSurvCnU,INDEX(elecCnU,1,1)*allOnes,OFFSET(tPrcElec,0,4,1,_maxLT))</f>
        <v>26543.086856061385</v>
      </c>
      <c r="J108" s="13">
        <f ca="1">SUMPRODUCT(dFactor,tpSurvCnU,INDEX(elecCnU,1,1)*allOnes,OFFSET(tPrcElec,0,5,1,_maxLT))</f>
        <v>26710.24277846278</v>
      </c>
      <c r="K108" s="13">
        <f ca="1">SUMPRODUCT(dFactor,tpSurvCnU,INDEX(elecCnU,1,1)*allOnes,OFFSET(tPrcElec,0,6,1,_maxLT))</f>
        <v>26878.473781226625</v>
      </c>
      <c r="L108" s="13">
        <f ca="1">SUMPRODUCT(dFactor,tpSurvCnU,INDEX(elecCnU,1,1)*allOnes,OFFSET(tPrcElec,0,7,1,_maxLT))</f>
        <v>27047.78694234974</v>
      </c>
      <c r="M108" s="13">
        <f ca="1">SUMPRODUCT(dFactor,tpSurvCnU,INDEX(elecCnU,1,1)*allOnes,OFFSET(tPrcElec,0,8,1,_maxLT))</f>
        <v>27218.189387596303</v>
      </c>
      <c r="N108" s="13">
        <f ca="1">SUMPRODUCT(dFactor,tpSurvCnU,INDEX(elecCnU,1,1)*allOnes,OFFSET(tPrcElec,0,9,1,_maxLT))</f>
        <v>27389.688290828377</v>
      </c>
      <c r="O108" s="13">
        <f ca="1">SUMPRODUCT(dFactor,tpSurvCnU,INDEX(elecCnU,1,1)*allOnes,OFFSET(tPrcElec,0,10,1,_maxLT))</f>
        <v>27562.290874338989</v>
      </c>
      <c r="P108" s="13">
        <f ca="1">SUMPRODUCT(dFactor,tpSurvCnU,INDEX(elecCnU,1,1)*allOnes,OFFSET(tPrcElec,0,11,1,_maxLT))</f>
        <v>27736.004409187033</v>
      </c>
      <c r="Q108" s="13">
        <f ca="1">SUMPRODUCT(dFactor,tpSurvCnU,INDEX(elecCnU,1,1)*allOnes,OFFSET(tPrcElec,0,12,1,_maxLT))</f>
        <v>27910.836215535135</v>
      </c>
      <c r="R108" s="13">
        <f ca="1">SUMPRODUCT(dFactor,tpSurvCnU,INDEX(elecCnU,1,1)*allOnes,OFFSET(tPrcElec,0,13,1,_maxLT))</f>
        <v>28086.793662989498</v>
      </c>
      <c r="S108" s="13">
        <f ca="1">SUMPRODUCT(dFactor,tpSurvCnU,INDEX(elecCnU,1,1)*allOnes,OFFSET(tPrcElec,0,14,1,_maxLT))</f>
        <v>28263.884170942372</v>
      </c>
      <c r="T108" s="13">
        <f ca="1">SUMPRODUCT(dFactor,tpSurvCnU,INDEX(elecCnU,1,1)*allOnes,OFFSET(tPrcElec,0,15,1,_maxLT))</f>
        <v>28442.115208916846</v>
      </c>
      <c r="U108" s="13">
        <f ca="1">SUMPRODUCT(dFactor,tpSurvCnU,INDEX(elecCnU,1,1)*allOnes,OFFSET(tPrcElec,0,16,1,_maxLT))</f>
        <v>28621.494296914199</v>
      </c>
      <c r="V108" s="13">
        <f ca="1">SUMPRODUCT(dFactor,tpSurvCnU,INDEX(elecCnU,1,1)*allOnes,OFFSET(tPrcElec,0,17,1,_maxLT))</f>
        <v>28802.029005763517</v>
      </c>
      <c r="W108" s="13">
        <f ca="1">SUMPRODUCT(dFactor,tpSurvCnU,INDEX(elecCnU,1,1)*allOnes,OFFSET(tPrcElec,0,18,1,_maxLT))</f>
        <v>28983.726957474024</v>
      </c>
      <c r="X108" s="13">
        <f ca="1">SUMPRODUCT(dFactor,tpSurvCnU,INDEX(elecCnU,1,1)*allOnes,OFFSET(tPrcElec,0,19,1,_maxLT))</f>
        <v>29166.5958255898</v>
      </c>
      <c r="Y108" s="13">
        <f ca="1">SUMPRODUCT(dFactor,tpSurvCnU,INDEX(elecCnU,1,1)*allOnes,OFFSET(tPrcElec,0,20,1,_maxLT))</f>
        <v>29350.643335546971</v>
      </c>
      <c r="Z108" s="13">
        <f ca="1">SUMPRODUCT(dFactor,tpSurvCnU,INDEX(elecCnU,1,1)*allOnes,OFFSET(tPrcElec,0,21,1,_maxLT))</f>
        <v>29535.87726503353</v>
      </c>
      <c r="AA108" s="13">
        <f ca="1">SUMPRODUCT(dFactor,tpSurvCnU,INDEX(elecCnU,1,1)*allOnes,OFFSET(tPrcElec,0,22,1,_maxLT))</f>
        <v>29722.305444351634</v>
      </c>
      <c r="AB108" s="13">
        <f ca="1">SUMPRODUCT(dFactor,tpSurvCnU,INDEX(elecCnU,1,1)*allOnes,OFFSET(tPrcElec,0,23,1,_maxLT))</f>
        <v>29909.935756782575</v>
      </c>
      <c r="AC108" s="13">
        <f ca="1">SUMPRODUCT(dFactor,tpSurvCnU,INDEX(elecCnU,1,1)*allOnes,OFFSET(tPrcElec,0,24,1,_maxLT))</f>
        <v>30098.776138954207</v>
      </c>
      <c r="AD108" s="13">
        <f ca="1">SUMPRODUCT(dFactor,tpSurvCnU,INDEX(elecCnU,1,1)*allOnes,OFFSET(tPrcElec,0,25,1,_maxLT))</f>
        <v>30288.834581211057</v>
      </c>
      <c r="AE108" s="13">
        <f ca="1">SUMPRODUCT(dFactor,tpSurvCnU,INDEX(elecCnU,1,1)*allOnes,OFFSET(tPrcElec,0,26,1,_maxLT))</f>
        <v>30480.119127987178</v>
      </c>
      <c r="AF108" s="13">
        <f ca="1">SUMPRODUCT(dFactor,tpSurvCnU,INDEX(elecCnU,1,1)*allOnes,OFFSET(tPrcElec,0,27,1,_maxLT))</f>
        <v>30672.637878181358</v>
      </c>
      <c r="AG108" s="13">
        <f ca="1">SUMPRODUCT(dFactor,tpSurvCnU,INDEX(elecCnU,1,1)*allOnes,OFFSET(tPrcElec,0,28,1,_maxLT))</f>
        <v>30866.398985535321</v>
      </c>
      <c r="AH108" s="13">
        <f ca="1">SUMPRODUCT(dFactor,tpSurvCnU,INDEX(elecCnU,1,1)*allOnes,OFFSET(tPrcElec,0,29,1,_maxLT))</f>
        <v>31061.410659014404</v>
      </c>
      <c r="AI108" s="13">
        <f ca="1">SUMPRODUCT(dFactor,tpSurvCnU,INDEX(elecCnU,1,1)*allOnes,OFFSET(tPrcElec,0,30,1,_maxLT))</f>
        <v>31257.681163190988</v>
      </c>
      <c r="AJ108" s="13">
        <f ca="1">SUMPRODUCT(dFactor,tpSurvCnU,INDEX(elecCnU,1,1)*allOnes,OFFSET(tPrcElec,0,31,1,_maxLT))</f>
        <v>31455.218818630787</v>
      </c>
      <c r="AK108" s="13">
        <f ca="1">SUMPRODUCT(dFactor,tpSurvCnU,INDEX(elecCnU,1,1)*allOnes,OFFSET(tPrcElec,0,32,1,_maxLT))</f>
        <v>31654.032002281594</v>
      </c>
      <c r="AL108" s="56">
        <f ca="1">SUMPRODUCT(dFactor,tpSurvCnU,INDEX(elecCnU,1,1)*allOnes,OFFSET(tPrcElec,0,33,1,_maxLT))</f>
        <v>31854.129147865122</v>
      </c>
      <c r="AM108" s="10"/>
    </row>
    <row r="109" spans="2:39">
      <c r="B109" s="10"/>
      <c r="C109" s="16" t="s">
        <v>79</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5"/>
      <c r="AM109" s="10"/>
    </row>
    <row r="110" spans="2:39">
      <c r="B110" s="10"/>
      <c r="C110" s="28" t="str">
        <f>INDEX(_fuel,1)</f>
        <v>Electricity</v>
      </c>
      <c r="D110" s="12" t="s">
        <v>83</v>
      </c>
      <c r="E110" s="39">
        <f ca="1">SUMPRODUCT(OFFSET(tConvElecCnU,0,0,1,_maxLT),INDEX(elecCnU,1,1)*allOnes,tpSurvCnU)</f>
        <v>4279.2381141165997</v>
      </c>
      <c r="F110" s="39">
        <f ca="1">SUMPRODUCT(OFFSET(tConvElecCnU,0,1,1,_maxLT),INDEX(elecCnU,1,1)*allOnes,tpSurvCnU)</f>
        <v>4236.9649072136053</v>
      </c>
      <c r="G110" s="39">
        <f ca="1">SUMPRODUCT(OFFSET(tConvElecCnU,0,2,1,_maxLT),INDEX(elecCnU,1,1)*allOnes,tpSurvCnU)</f>
        <v>4199.3459345790743</v>
      </c>
      <c r="H110" s="39">
        <f ca="1">SUMPRODUCT(OFFSET(tConvElecCnU,0,3,1,_maxLT),INDEX(elecCnU,1,1)*allOnes,tpSurvCnU)</f>
        <v>4163.2096246000674</v>
      </c>
      <c r="I110" s="39">
        <f ca="1">SUMPRODUCT(OFFSET(tConvElecCnU,0,4,1,_maxLT),INDEX(elecCnU,1,1)*allOnes,tpSurvCnU)</f>
        <v>4131.3063466777812</v>
      </c>
      <c r="J110" s="39">
        <f ca="1">SUMPRODUCT(OFFSET(tConvElecCnU,0,5,1,_maxLT),INDEX(elecCnU,1,1)*allOnes,tpSurvCnU)</f>
        <v>4106.2706905202367</v>
      </c>
      <c r="K110" s="39">
        <f ca="1">SUMPRODUCT(OFFSET(tConvElecCnU,0,6,1,_maxLT),INDEX(elecCnU,1,1)*allOnes,tpSurvCnU)</f>
        <v>4085.2175491795851</v>
      </c>
      <c r="L110" s="39">
        <f ca="1">SUMPRODUCT(OFFSET(tConvElecCnU,0,7,1,_maxLT),INDEX(elecCnU,1,1)*allOnes,tpSurvCnU)</f>
        <v>4063.8611304592014</v>
      </c>
      <c r="M110" s="39">
        <f ca="1">SUMPRODUCT(OFFSET(tConvElecCnU,0,8,1,_maxLT),INDEX(elecCnU,1,1)*allOnes,tpSurvCnU)</f>
        <v>4046.5418713868285</v>
      </c>
      <c r="N110" s="39">
        <f ca="1">SUMPRODUCT(OFFSET(tConvElecCnU,0,9,1,_maxLT),INDEX(elecCnU,1,1)*allOnes,tpSurvCnU)</f>
        <v>4034.3312428626468</v>
      </c>
      <c r="O110" s="39">
        <f ca="1">SUMPRODUCT(OFFSET(tConvElecCnU,0,10,1,_maxLT),INDEX(elecCnU,1,1)*allOnes,tpSurvCnU)</f>
        <v>4025.2194360807434</v>
      </c>
      <c r="P110" s="39">
        <f ca="1">SUMPRODUCT(OFFSET(tConvElecCnU,0,11,1,_maxLT),INDEX(elecCnU,1,1)*allOnes,tpSurvCnU)</f>
        <v>4017.4407588543932</v>
      </c>
      <c r="Q110" s="39">
        <f ca="1">SUMPRODUCT(OFFSET(tConvElecCnU,0,12,1,_maxLT),INDEX(elecCnU,1,1)*allOnes,tpSurvCnU)</f>
        <v>4011.599103746677</v>
      </c>
      <c r="R110" s="39">
        <f ca="1">SUMPRODUCT(OFFSET(tConvElecCnU,0,13,1,_maxLT),INDEX(elecCnU,1,1)*allOnes,tpSurvCnU)</f>
        <v>4007.0678406507218</v>
      </c>
      <c r="S110" s="39">
        <f ca="1">SUMPRODUCT(OFFSET(tConvElecCnU,0,14,1,_maxLT),INDEX(elecCnU,1,1)*allOnes,tpSurvCnU)</f>
        <v>4006.1433576667182</v>
      </c>
      <c r="T110" s="39">
        <f ca="1">SUMPRODUCT(OFFSET(tConvElecCnU,0,15,1,_maxLT),INDEX(elecCnU,1,1)*allOnes,tpSurvCnU)</f>
        <v>4006.8615083056848</v>
      </c>
      <c r="U110" s="39">
        <f ca="1">SUMPRODUCT(OFFSET(tConvElecCnU,0,16,1,_maxLT),INDEX(elecCnU,1,1)*allOnes,tpSurvCnU)</f>
        <v>4008.1301213472207</v>
      </c>
      <c r="V110" s="39">
        <f ca="1">SUMPRODUCT(OFFSET(tConvElecCnU,0,17,1,_maxLT),INDEX(elecCnU,1,1)*allOnes,tpSurvCnU)</f>
        <v>4010.0947837985204</v>
      </c>
      <c r="W110" s="39">
        <f ca="1">SUMPRODUCT(OFFSET(tConvElecCnU,0,18,1,_maxLT),INDEX(elecCnU,1,1)*allOnes,tpSurvCnU)</f>
        <v>4011.9884193938824</v>
      </c>
      <c r="X110" s="39">
        <f ca="1">SUMPRODUCT(OFFSET(tConvElecCnU,0,19,1,_maxLT),INDEX(elecCnU,1,1)*allOnes,tpSurvCnU)</f>
        <v>4013.5611095103432</v>
      </c>
      <c r="Y110" s="39">
        <f ca="1">SUMPRODUCT(OFFSET(tConvElecCnU,0,20,1,_maxLT),INDEX(elecCnU,1,1)*allOnes,tpSurvCnU)</f>
        <v>4014.614720387508</v>
      </c>
      <c r="Z110" s="39">
        <f ca="1">SUMPRODUCT(OFFSET(tConvElecCnU,0,21,1,_maxLT),INDEX(elecCnU,1,1)*allOnes,tpSurvCnU)</f>
        <v>4015.340287506081</v>
      </c>
      <c r="AA110" s="39">
        <f ca="1">SUMPRODUCT(OFFSET(tConvElecCnU,0,22,1,_maxLT),INDEX(elecCnU,1,1)*allOnes,tpSurvCnU)</f>
        <v>4015.340287506081</v>
      </c>
      <c r="AB110" s="39">
        <f ca="1">SUMPRODUCT(OFFSET(tConvElecCnU,0,23,1,_maxLT),INDEX(elecCnU,1,1)*allOnes,tpSurvCnU)</f>
        <v>4015.340287506081</v>
      </c>
      <c r="AC110" s="39">
        <f ca="1">SUMPRODUCT(OFFSET(tConvElecCnU,0,24,1,_maxLT),INDEX(elecCnU,1,1)*allOnes,tpSurvCnU)</f>
        <v>4015.340287506081</v>
      </c>
      <c r="AD110" s="39">
        <f ca="1">SUMPRODUCT(OFFSET(tConvElecCnU,0,25,1,_maxLT),INDEX(elecCnU,1,1)*allOnes,tpSurvCnU)</f>
        <v>4015.340287506081</v>
      </c>
      <c r="AE110" s="39">
        <f ca="1">SUMPRODUCT(OFFSET(tConvElecCnU,0,26,1,_maxLT),INDEX(elecCnU,1,1)*allOnes,tpSurvCnU)</f>
        <v>4015.340287506081</v>
      </c>
      <c r="AF110" s="39">
        <f ca="1">SUMPRODUCT(OFFSET(tConvElecCnU,0,27,1,_maxLT),INDEX(elecCnU,1,1)*allOnes,tpSurvCnU)</f>
        <v>4015.340287506081</v>
      </c>
      <c r="AG110" s="39">
        <f ca="1">SUMPRODUCT(OFFSET(tConvElecCnU,0,28,1,_maxLT),INDEX(elecCnU,1,1)*allOnes,tpSurvCnU)</f>
        <v>4015.340287506081</v>
      </c>
      <c r="AH110" s="39">
        <f ca="1">SUMPRODUCT(OFFSET(tConvElecCnU,0,29,1,_maxLT),INDEX(elecCnU,1,1)*allOnes,tpSurvCnU)</f>
        <v>4015.340287506081</v>
      </c>
      <c r="AI110" s="39">
        <f ca="1">SUMPRODUCT(OFFSET(tConvElecCnU,0,30,1,_maxLT),INDEX(elecCnU,1,1)*allOnes,tpSurvCnU)</f>
        <v>4015.340287506081</v>
      </c>
      <c r="AJ110" s="39">
        <f ca="1">SUMPRODUCT(OFFSET(tConvElecCnU,0,31,1,_maxLT),INDEX(elecCnU,1,1)*allOnes,tpSurvCnU)</f>
        <v>4015.340287506081</v>
      </c>
      <c r="AK110" s="39">
        <f ca="1">SUMPRODUCT(OFFSET(tConvElecCnU,0,32,1,_maxLT),INDEX(elecCnU,1,1)*allOnes,tpSurvCnU)</f>
        <v>4015.340287506081</v>
      </c>
      <c r="AL110" s="40">
        <f ca="1">SUMPRODUCT(OFFSET(tConvElecCnU,0,33,1,_maxLT),INDEX(elecCnU,1,1)*allOnes,tpSurvCnU)</f>
        <v>4015.340287506081</v>
      </c>
      <c r="AM110" s="10"/>
    </row>
    <row r="111" spans="2:39">
      <c r="B111" s="10"/>
      <c r="C111" s="57" t="str">
        <f>"EL 1: " &amp; INDEX(_doName,4,2)</f>
        <v>EL 1: EL 1</v>
      </c>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3"/>
      <c r="AM111" s="10"/>
    </row>
    <row r="112" spans="2:39">
      <c r="B112" s="10"/>
      <c r="C112" s="16" t="s">
        <v>69</v>
      </c>
      <c r="D112" s="12" t="str">
        <f>_yearDol &amp; "$"</f>
        <v>2015$</v>
      </c>
      <c r="E112" s="13">
        <f t="array" ref="E112:AL112">INDEX(mspCnU,1,2)*tPIdxAll + INDEX(instCnU,1,2) + IF(bESav,SUMPRODUCT(dFactor,tpSurvCnU,INDEX(mrCnU,1,2)*allOnes),0)</f>
        <v>4557.6058588957003</v>
      </c>
      <c r="F112" s="13">
        <v>4557.6058588957003</v>
      </c>
      <c r="G112" s="13">
        <v>4557.6058588957003</v>
      </c>
      <c r="H112" s="13">
        <v>4557.6058588957003</v>
      </c>
      <c r="I112" s="13">
        <v>4557.6058588957003</v>
      </c>
      <c r="J112" s="13">
        <v>4557.6058588957003</v>
      </c>
      <c r="K112" s="13">
        <v>4557.6058588957003</v>
      </c>
      <c r="L112" s="13">
        <v>4557.6058588957003</v>
      </c>
      <c r="M112" s="13">
        <v>4557.6058588957003</v>
      </c>
      <c r="N112" s="13">
        <v>4557.6058588957003</v>
      </c>
      <c r="O112" s="13">
        <v>4557.6058588957003</v>
      </c>
      <c r="P112" s="13">
        <v>4557.6058588957003</v>
      </c>
      <c r="Q112" s="13">
        <v>4557.6058588957003</v>
      </c>
      <c r="R112" s="13">
        <v>4557.6058588957003</v>
      </c>
      <c r="S112" s="13">
        <v>4557.6058588957003</v>
      </c>
      <c r="T112" s="13">
        <v>4557.6058588957003</v>
      </c>
      <c r="U112" s="13">
        <v>4557.6058588957003</v>
      </c>
      <c r="V112" s="13">
        <v>4557.6058588957003</v>
      </c>
      <c r="W112" s="13">
        <v>4557.6058588957003</v>
      </c>
      <c r="X112" s="13">
        <v>4557.6058588957003</v>
      </c>
      <c r="Y112" s="13">
        <v>4557.6058588957003</v>
      </c>
      <c r="Z112" s="13">
        <v>4557.6058588957003</v>
      </c>
      <c r="AA112" s="13">
        <v>4557.6058588957003</v>
      </c>
      <c r="AB112" s="13">
        <v>4557.6058588957003</v>
      </c>
      <c r="AC112" s="13">
        <v>4557.6058588957003</v>
      </c>
      <c r="AD112" s="13">
        <v>4557.6058588957003</v>
      </c>
      <c r="AE112" s="13">
        <v>4557.6058588957003</v>
      </c>
      <c r="AF112" s="13">
        <v>4557.6058588957003</v>
      </c>
      <c r="AG112" s="13">
        <v>4557.6058588957003</v>
      </c>
      <c r="AH112" s="13">
        <v>4557.6058588957003</v>
      </c>
      <c r="AI112" s="13">
        <v>4557.6058588957003</v>
      </c>
      <c r="AJ112" s="13">
        <v>4557.6058588957003</v>
      </c>
      <c r="AK112" s="13">
        <v>4557.6058588957003</v>
      </c>
      <c r="AL112" s="56">
        <v>4557.6058588957003</v>
      </c>
      <c r="AM112" s="10"/>
    </row>
    <row r="113" spans="2:39">
      <c r="B113" s="10"/>
      <c r="C113" s="16" t="str">
        <f>zEO&amp;" Costs"</f>
        <v>Operating Costs</v>
      </c>
      <c r="D113" s="12" t="str">
        <f>_yearDol &amp; "$"</f>
        <v>2015$</v>
      </c>
      <c r="E113" s="13">
        <f t="array" aca="1" ref="E113:AL113" ca="1">(tlccEFuElecbc1) + IF(bOSav,SUMPRODUCT(dFactor,tpSurvCnU,INDEX(mrCnU,1,2)*allOnes),0)</f>
        <v>31131.953466090468</v>
      </c>
      <c r="F113" s="13">
        <f ca="1"/>
        <v>31397.472946836391</v>
      </c>
      <c r="G113" s="13">
        <f ca="1"/>
        <v>31653.401879854897</v>
      </c>
      <c r="H113" s="13">
        <f ca="1"/>
        <v>31879.602895800665</v>
      </c>
      <c r="I113" s="13">
        <f ca="1"/>
        <v>32080.338977547563</v>
      </c>
      <c r="J113" s="13">
        <f ca="1"/>
        <v>32282.365918943658</v>
      </c>
      <c r="K113" s="13">
        <f ca="1"/>
        <v>32485.692217217256</v>
      </c>
      <c r="L113" s="13">
        <f ca="1"/>
        <v>32690.326426932352</v>
      </c>
      <c r="M113" s="13">
        <f ca="1"/>
        <v>32896.277160385325</v>
      </c>
      <c r="N113" s="13">
        <f ca="1"/>
        <v>33103.553088004395</v>
      </c>
      <c r="O113" s="13">
        <f ca="1"/>
        <v>33312.162938751848</v>
      </c>
      <c r="P113" s="13">
        <f ca="1"/>
        <v>33522.115500529391</v>
      </c>
      <c r="Q113" s="13">
        <f ca="1"/>
        <v>33733.419620585933</v>
      </c>
      <c r="R113" s="13">
        <f ca="1"/>
        <v>33946.08420592863</v>
      </c>
      <c r="S113" s="13">
        <f ca="1"/>
        <v>34160.118223736805</v>
      </c>
      <c r="T113" s="13">
        <f ca="1"/>
        <v>34375.530701778567</v>
      </c>
      <c r="U113" s="13">
        <f ca="1"/>
        <v>34592.33072883058</v>
      </c>
      <c r="V113" s="13">
        <f ca="1"/>
        <v>34810.52745510079</v>
      </c>
      <c r="W113" s="13">
        <f ca="1"/>
        <v>35030.130092654144</v>
      </c>
      <c r="X113" s="13">
        <f ca="1"/>
        <v>35251.147915841349</v>
      </c>
      <c r="Y113" s="13">
        <f ca="1"/>
        <v>35473.590261730424</v>
      </c>
      <c r="Z113" s="13">
        <f ca="1"/>
        <v>35697.466530541817</v>
      </c>
      <c r="AA113" s="13">
        <f ca="1"/>
        <v>35922.786186086196</v>
      </c>
      <c r="AB113" s="13">
        <f ca="1"/>
        <v>36149.558756205435</v>
      </c>
      <c r="AC113" s="13">
        <f ca="1"/>
        <v>36377.793833216878</v>
      </c>
      <c r="AD113" s="13">
        <f ca="1"/>
        <v>36607.50107436064</v>
      </c>
      <c r="AE113" s="13">
        <f ca="1"/>
        <v>36838.690202250022</v>
      </c>
      <c r="AF113" s="13">
        <f ca="1"/>
        <v>37071.371005325193</v>
      </c>
      <c r="AG113" s="13">
        <f ca="1"/>
        <v>37305.553338310354</v>
      </c>
      <c r="AH113" s="13">
        <f ca="1"/>
        <v>37541.247122673594</v>
      </c>
      <c r="AI113" s="13">
        <f ca="1"/>
        <v>37778.462347090586</v>
      </c>
      <c r="AJ113" s="13">
        <f ca="1"/>
        <v>38017.209067911084</v>
      </c>
      <c r="AK113" s="13">
        <f ca="1"/>
        <v>38257.497409629214</v>
      </c>
      <c r="AL113" s="56">
        <f ca="1"/>
        <v>38499.337565356771</v>
      </c>
      <c r="AM113" s="10"/>
    </row>
    <row r="114" spans="2:39">
      <c r="B114" s="10"/>
      <c r="C114" s="28" t="str">
        <f>INDEX(_fuel,1)</f>
        <v>Electricity</v>
      </c>
      <c r="D114" s="12" t="str">
        <f>_yearDol &amp; "$"</f>
        <v>2015$</v>
      </c>
      <c r="E114" s="13">
        <f ca="1">SUMPRODUCT(dFactor,tpSurvCnU,INDEX(elecCnU,1,2)*allOnes,OFFSET(tPrcElec,0,0,1,_maxLT))</f>
        <v>31131.953466090468</v>
      </c>
      <c r="F114" s="13">
        <f ca="1">SUMPRODUCT(dFactor,tpSurvCnU,INDEX(elecCnU,1,2)*allOnes,OFFSET(tPrcElec,0,1,1,_maxLT))</f>
        <v>31397.472946836391</v>
      </c>
      <c r="G114" s="13">
        <f ca="1">SUMPRODUCT(dFactor,tpSurvCnU,INDEX(elecCnU,1,2)*allOnes,OFFSET(tPrcElec,0,2,1,_maxLT))</f>
        <v>31653.401879854897</v>
      </c>
      <c r="H114" s="13">
        <f ca="1">SUMPRODUCT(dFactor,tpSurvCnU,INDEX(elecCnU,1,2)*allOnes,OFFSET(tPrcElec,0,3,1,_maxLT))</f>
        <v>31879.602895800665</v>
      </c>
      <c r="I114" s="13">
        <f ca="1">SUMPRODUCT(dFactor,tpSurvCnU,INDEX(elecCnU,1,2)*allOnes,OFFSET(tPrcElec,0,4,1,_maxLT))</f>
        <v>32080.338977547563</v>
      </c>
      <c r="J114" s="13">
        <f ca="1">SUMPRODUCT(dFactor,tpSurvCnU,INDEX(elecCnU,1,2)*allOnes,OFFSET(tPrcElec,0,5,1,_maxLT))</f>
        <v>32282.365918943658</v>
      </c>
      <c r="K114" s="13">
        <f ca="1">SUMPRODUCT(dFactor,tpSurvCnU,INDEX(elecCnU,1,2)*allOnes,OFFSET(tPrcElec,0,6,1,_maxLT))</f>
        <v>32485.692217217256</v>
      </c>
      <c r="L114" s="13">
        <f ca="1">SUMPRODUCT(dFactor,tpSurvCnU,INDEX(elecCnU,1,2)*allOnes,OFFSET(tPrcElec,0,7,1,_maxLT))</f>
        <v>32690.326426932352</v>
      </c>
      <c r="M114" s="13">
        <f ca="1">SUMPRODUCT(dFactor,tpSurvCnU,INDEX(elecCnU,1,2)*allOnes,OFFSET(tPrcElec,0,8,1,_maxLT))</f>
        <v>32896.277160385325</v>
      </c>
      <c r="N114" s="13">
        <f ca="1">SUMPRODUCT(dFactor,tpSurvCnU,INDEX(elecCnU,1,2)*allOnes,OFFSET(tPrcElec,0,9,1,_maxLT))</f>
        <v>33103.553088004395</v>
      </c>
      <c r="O114" s="13">
        <f ca="1">SUMPRODUCT(dFactor,tpSurvCnU,INDEX(elecCnU,1,2)*allOnes,OFFSET(tPrcElec,0,10,1,_maxLT))</f>
        <v>33312.162938751848</v>
      </c>
      <c r="P114" s="13">
        <f ca="1">SUMPRODUCT(dFactor,tpSurvCnU,INDEX(elecCnU,1,2)*allOnes,OFFSET(tPrcElec,0,11,1,_maxLT))</f>
        <v>33522.115500529391</v>
      </c>
      <c r="Q114" s="13">
        <f ca="1">SUMPRODUCT(dFactor,tpSurvCnU,INDEX(elecCnU,1,2)*allOnes,OFFSET(tPrcElec,0,12,1,_maxLT))</f>
        <v>33733.419620585933</v>
      </c>
      <c r="R114" s="13">
        <f ca="1">SUMPRODUCT(dFactor,tpSurvCnU,INDEX(elecCnU,1,2)*allOnes,OFFSET(tPrcElec,0,13,1,_maxLT))</f>
        <v>33946.08420592863</v>
      </c>
      <c r="S114" s="13">
        <f ca="1">SUMPRODUCT(dFactor,tpSurvCnU,INDEX(elecCnU,1,2)*allOnes,OFFSET(tPrcElec,0,14,1,_maxLT))</f>
        <v>34160.118223736805</v>
      </c>
      <c r="T114" s="13">
        <f ca="1">SUMPRODUCT(dFactor,tpSurvCnU,INDEX(elecCnU,1,2)*allOnes,OFFSET(tPrcElec,0,15,1,_maxLT))</f>
        <v>34375.530701778567</v>
      </c>
      <c r="U114" s="13">
        <f ca="1">SUMPRODUCT(dFactor,tpSurvCnU,INDEX(elecCnU,1,2)*allOnes,OFFSET(tPrcElec,0,16,1,_maxLT))</f>
        <v>34592.33072883058</v>
      </c>
      <c r="V114" s="13">
        <f ca="1">SUMPRODUCT(dFactor,tpSurvCnU,INDEX(elecCnU,1,2)*allOnes,OFFSET(tPrcElec,0,17,1,_maxLT))</f>
        <v>34810.52745510079</v>
      </c>
      <c r="W114" s="13">
        <f ca="1">SUMPRODUCT(dFactor,tpSurvCnU,INDEX(elecCnU,1,2)*allOnes,OFFSET(tPrcElec,0,18,1,_maxLT))</f>
        <v>35030.130092654144</v>
      </c>
      <c r="X114" s="13">
        <f ca="1">SUMPRODUCT(dFactor,tpSurvCnU,INDEX(elecCnU,1,2)*allOnes,OFFSET(tPrcElec,0,19,1,_maxLT))</f>
        <v>35251.147915841349</v>
      </c>
      <c r="Y114" s="13">
        <f ca="1">SUMPRODUCT(dFactor,tpSurvCnU,INDEX(elecCnU,1,2)*allOnes,OFFSET(tPrcElec,0,20,1,_maxLT))</f>
        <v>35473.590261730424</v>
      </c>
      <c r="Z114" s="13">
        <f ca="1">SUMPRODUCT(dFactor,tpSurvCnU,INDEX(elecCnU,1,2)*allOnes,OFFSET(tPrcElec,0,21,1,_maxLT))</f>
        <v>35697.466530541817</v>
      </c>
      <c r="AA114" s="13">
        <f ca="1">SUMPRODUCT(dFactor,tpSurvCnU,INDEX(elecCnU,1,2)*allOnes,OFFSET(tPrcElec,0,22,1,_maxLT))</f>
        <v>35922.786186086196</v>
      </c>
      <c r="AB114" s="13">
        <f ca="1">SUMPRODUCT(dFactor,tpSurvCnU,INDEX(elecCnU,1,2)*allOnes,OFFSET(tPrcElec,0,23,1,_maxLT))</f>
        <v>36149.558756205435</v>
      </c>
      <c r="AC114" s="13">
        <f ca="1">SUMPRODUCT(dFactor,tpSurvCnU,INDEX(elecCnU,1,2)*allOnes,OFFSET(tPrcElec,0,24,1,_maxLT))</f>
        <v>36377.793833216878</v>
      </c>
      <c r="AD114" s="13">
        <f ca="1">SUMPRODUCT(dFactor,tpSurvCnU,INDEX(elecCnU,1,2)*allOnes,OFFSET(tPrcElec,0,25,1,_maxLT))</f>
        <v>36607.50107436064</v>
      </c>
      <c r="AE114" s="13">
        <f ca="1">SUMPRODUCT(dFactor,tpSurvCnU,INDEX(elecCnU,1,2)*allOnes,OFFSET(tPrcElec,0,26,1,_maxLT))</f>
        <v>36838.690202250022</v>
      </c>
      <c r="AF114" s="13">
        <f ca="1">SUMPRODUCT(dFactor,tpSurvCnU,INDEX(elecCnU,1,2)*allOnes,OFFSET(tPrcElec,0,27,1,_maxLT))</f>
        <v>37071.371005325193</v>
      </c>
      <c r="AG114" s="13">
        <f ca="1">SUMPRODUCT(dFactor,tpSurvCnU,INDEX(elecCnU,1,2)*allOnes,OFFSET(tPrcElec,0,28,1,_maxLT))</f>
        <v>37305.553338310354</v>
      </c>
      <c r="AH114" s="13">
        <f ca="1">SUMPRODUCT(dFactor,tpSurvCnU,INDEX(elecCnU,1,2)*allOnes,OFFSET(tPrcElec,0,29,1,_maxLT))</f>
        <v>37541.247122673594</v>
      </c>
      <c r="AI114" s="13">
        <f ca="1">SUMPRODUCT(dFactor,tpSurvCnU,INDEX(elecCnU,1,2)*allOnes,OFFSET(tPrcElec,0,30,1,_maxLT))</f>
        <v>37778.462347090586</v>
      </c>
      <c r="AJ114" s="13">
        <f ca="1">SUMPRODUCT(dFactor,tpSurvCnU,INDEX(elecCnU,1,2)*allOnes,OFFSET(tPrcElec,0,31,1,_maxLT))</f>
        <v>38017.209067911084</v>
      </c>
      <c r="AK114" s="13">
        <f ca="1">SUMPRODUCT(dFactor,tpSurvCnU,INDEX(elecCnU,1,2)*allOnes,OFFSET(tPrcElec,0,32,1,_maxLT))</f>
        <v>38257.497409629214</v>
      </c>
      <c r="AL114" s="56">
        <f ca="1">SUMPRODUCT(dFactor,tpSurvCnU,INDEX(elecCnU,1,2)*allOnes,OFFSET(tPrcElec,0,33,1,_maxLT))</f>
        <v>38499.337565356771</v>
      </c>
      <c r="AM114" s="10"/>
    </row>
    <row r="115" spans="2:39">
      <c r="B115" s="10"/>
      <c r="C115" s="16" t="s">
        <v>79</v>
      </c>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5"/>
      <c r="AM115" s="10"/>
    </row>
    <row r="116" spans="2:39">
      <c r="B116" s="10"/>
      <c r="C116" s="28" t="str">
        <f>INDEX(_fuel,1)</f>
        <v>Electricity</v>
      </c>
      <c r="D116" s="12" t="s">
        <v>83</v>
      </c>
      <c r="E116" s="39">
        <f ca="1">SUMPRODUCT(OFFSET(tConvElecCnU,0,0,1,_maxLT),INDEX(elecCnU,1,2)*allOnes,tpSurvCnU)</f>
        <v>5171.9459010530545</v>
      </c>
      <c r="F116" s="39">
        <f ca="1">SUMPRODUCT(OFFSET(tConvElecCnU,0,1,1,_maxLT),INDEX(elecCnU,1,2)*allOnes,tpSurvCnU)</f>
        <v>5120.853923150481</v>
      </c>
      <c r="G116" s="39">
        <f ca="1">SUMPRODUCT(OFFSET(tConvElecCnU,0,2,1,_maxLT),INDEX(elecCnU,1,2)*allOnes,tpSurvCnU)</f>
        <v>5075.3871166465005</v>
      </c>
      <c r="H116" s="39">
        <f ca="1">SUMPRODUCT(OFFSET(tConvElecCnU,0,3,1,_maxLT),INDEX(elecCnU,1,2)*allOnes,tpSurvCnU)</f>
        <v>5031.7122765719168</v>
      </c>
      <c r="I116" s="39">
        <f ca="1">SUMPRODUCT(OFFSET(tConvElecCnU,0,4,1,_maxLT),INDEX(elecCnU,1,2)*allOnes,tpSurvCnU)</f>
        <v>4993.1535371234122</v>
      </c>
      <c r="J116" s="39">
        <f ca="1">SUMPRODUCT(OFFSET(tConvElecCnU,0,5,1,_maxLT),INDEX(elecCnU,1,2)*allOnes,tpSurvCnU)</f>
        <v>4962.8950995718678</v>
      </c>
      <c r="K116" s="39">
        <f ca="1">SUMPRODUCT(OFFSET(tConvElecCnU,0,6,1,_maxLT),INDEX(elecCnU,1,2)*allOnes,tpSurvCnU)</f>
        <v>4937.4499840729459</v>
      </c>
      <c r="L116" s="39">
        <f ca="1">SUMPRODUCT(OFFSET(tConvElecCnU,0,7,1,_maxLT),INDEX(elecCnU,1,2)*allOnes,tpSurvCnU)</f>
        <v>4911.6383233715496</v>
      </c>
      <c r="M116" s="39">
        <f ca="1">SUMPRODUCT(OFFSET(tConvElecCnU,0,8,1,_maxLT),INDEX(elecCnU,1,2)*allOnes,tpSurvCnU)</f>
        <v>4890.706029215462</v>
      </c>
      <c r="N116" s="39">
        <f ca="1">SUMPRODUCT(OFFSET(tConvElecCnU,0,9,1,_maxLT),INDEX(elecCnU,1,2)*allOnes,tpSurvCnU)</f>
        <v>4875.9480960365172</v>
      </c>
      <c r="O116" s="39">
        <f ca="1">SUMPRODUCT(OFFSET(tConvElecCnU,0,10,1,_maxLT),INDEX(elecCnU,1,2)*allOnes,tpSurvCnU)</f>
        <v>4864.9354413348792</v>
      </c>
      <c r="P116" s="39">
        <f ca="1">SUMPRODUCT(OFFSET(tConvElecCnU,0,11,1,_maxLT),INDEX(elecCnU,1,2)*allOnes,tpSurvCnU)</f>
        <v>4855.5340253062359</v>
      </c>
      <c r="Q116" s="39">
        <f ca="1">SUMPRODUCT(OFFSET(tConvElecCnU,0,12,1,_maxLT),INDEX(elecCnU,1,2)*allOnes,tpSurvCnU)</f>
        <v>4848.4737207884646</v>
      </c>
      <c r="R116" s="39">
        <f ca="1">SUMPRODUCT(OFFSET(tConvElecCnU,0,13,1,_maxLT),INDEX(elecCnU,1,2)*allOnes,tpSurvCnU)</f>
        <v>4842.9971740362735</v>
      </c>
      <c r="S116" s="39">
        <f ca="1">SUMPRODUCT(OFFSET(tConvElecCnU,0,14,1,_maxLT),INDEX(elecCnU,1,2)*allOnes,tpSurvCnU)</f>
        <v>4841.8798312167801</v>
      </c>
      <c r="T116" s="39">
        <f ca="1">SUMPRODUCT(OFFSET(tConvElecCnU,0,15,1,_maxLT),INDEX(elecCnU,1,2)*allOnes,tpSurvCnU)</f>
        <v>4842.7477979329315</v>
      </c>
      <c r="U116" s="39">
        <f ca="1">SUMPRODUCT(OFFSET(tConvElecCnU,0,16,1,_maxLT),INDEX(elecCnU,1,2)*allOnes,tpSurvCnU)</f>
        <v>4844.2810610618399</v>
      </c>
      <c r="V116" s="39">
        <f ca="1">SUMPRODUCT(OFFSET(tConvElecCnU,0,17,1,_maxLT),INDEX(elecCnU,1,2)*allOnes,tpSurvCnU)</f>
        <v>4846.6555790580305</v>
      </c>
      <c r="W116" s="39">
        <f ca="1">SUMPRODUCT(OFFSET(tConvElecCnU,0,18,1,_maxLT),INDEX(elecCnU,1,2)*allOnes,tpSurvCnU)</f>
        <v>4848.9442530215592</v>
      </c>
      <c r="X116" s="39">
        <f ca="1">SUMPRODUCT(OFFSET(tConvElecCnU,0,19,1,_maxLT),INDEX(elecCnU,1,2)*allOnes,tpSurvCnU)</f>
        <v>4850.8450278755281</v>
      </c>
      <c r="Y116" s="39">
        <f ca="1">SUMPRODUCT(OFFSET(tConvElecCnU,0,20,1,_maxLT),INDEX(elecCnU,1,2)*allOnes,tpSurvCnU)</f>
        <v>4852.1184364384872</v>
      </c>
      <c r="Z116" s="39">
        <f ca="1">SUMPRODUCT(OFFSET(tConvElecCnU,0,21,1,_maxLT),INDEX(elecCnU,1,2)*allOnes,tpSurvCnU)</f>
        <v>4852.9953668136541</v>
      </c>
      <c r="AA116" s="39">
        <f ca="1">SUMPRODUCT(OFFSET(tConvElecCnU,0,22,1,_maxLT),INDEX(elecCnU,1,2)*allOnes,tpSurvCnU)</f>
        <v>4852.9953668136541</v>
      </c>
      <c r="AB116" s="39">
        <f ca="1">SUMPRODUCT(OFFSET(tConvElecCnU,0,23,1,_maxLT),INDEX(elecCnU,1,2)*allOnes,tpSurvCnU)</f>
        <v>4852.9953668136541</v>
      </c>
      <c r="AC116" s="39">
        <f ca="1">SUMPRODUCT(OFFSET(tConvElecCnU,0,24,1,_maxLT),INDEX(elecCnU,1,2)*allOnes,tpSurvCnU)</f>
        <v>4852.9953668136541</v>
      </c>
      <c r="AD116" s="39">
        <f ca="1">SUMPRODUCT(OFFSET(tConvElecCnU,0,25,1,_maxLT),INDEX(elecCnU,1,2)*allOnes,tpSurvCnU)</f>
        <v>4852.9953668136541</v>
      </c>
      <c r="AE116" s="39">
        <f ca="1">SUMPRODUCT(OFFSET(tConvElecCnU,0,26,1,_maxLT),INDEX(elecCnU,1,2)*allOnes,tpSurvCnU)</f>
        <v>4852.9953668136541</v>
      </c>
      <c r="AF116" s="39">
        <f ca="1">SUMPRODUCT(OFFSET(tConvElecCnU,0,27,1,_maxLT),INDEX(elecCnU,1,2)*allOnes,tpSurvCnU)</f>
        <v>4852.9953668136541</v>
      </c>
      <c r="AG116" s="39">
        <f ca="1">SUMPRODUCT(OFFSET(tConvElecCnU,0,28,1,_maxLT),INDEX(elecCnU,1,2)*allOnes,tpSurvCnU)</f>
        <v>4852.9953668136541</v>
      </c>
      <c r="AH116" s="39">
        <f ca="1">SUMPRODUCT(OFFSET(tConvElecCnU,0,29,1,_maxLT),INDEX(elecCnU,1,2)*allOnes,tpSurvCnU)</f>
        <v>4852.9953668136541</v>
      </c>
      <c r="AI116" s="39">
        <f ca="1">SUMPRODUCT(OFFSET(tConvElecCnU,0,30,1,_maxLT),INDEX(elecCnU,1,2)*allOnes,tpSurvCnU)</f>
        <v>4852.9953668136541</v>
      </c>
      <c r="AJ116" s="39">
        <f ca="1">SUMPRODUCT(OFFSET(tConvElecCnU,0,31,1,_maxLT),INDEX(elecCnU,1,2)*allOnes,tpSurvCnU)</f>
        <v>4852.9953668136541</v>
      </c>
      <c r="AK116" s="39">
        <f ca="1">SUMPRODUCT(OFFSET(tConvElecCnU,0,32,1,_maxLT),INDEX(elecCnU,1,2)*allOnes,tpSurvCnU)</f>
        <v>4852.9953668136541</v>
      </c>
      <c r="AL116" s="40">
        <f ca="1">SUMPRODUCT(OFFSET(tConvElecCnU,0,33,1,_maxLT),INDEX(elecCnU,1,2)*allOnes,tpSurvCnU)</f>
        <v>4852.9953668136541</v>
      </c>
      <c r="AM116" s="10"/>
    </row>
    <row r="117" spans="2:39">
      <c r="B117" s="10"/>
      <c r="C117" s="57" t="str">
        <f>"EL 2: " &amp; INDEX(_doName,4,3)</f>
        <v>EL 2: EL 2</v>
      </c>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3"/>
      <c r="AM117" s="10"/>
    </row>
    <row r="118" spans="2:39">
      <c r="B118" s="10"/>
      <c r="C118" s="16" t="s">
        <v>69</v>
      </c>
      <c r="D118" s="12" t="str">
        <f>_yearDol &amp; "$"</f>
        <v>2015$</v>
      </c>
      <c r="E118" s="13">
        <f t="array" ref="E118:AL118">INDEX(mspCnU,1,3)*tPIdxAll + INDEX(instCnU,1,3) + IF(bESav,SUMPRODUCT(dFactor,tpSurvCnU,INDEX(mrCnU,1,3)*allOnes),0)</f>
        <v>3826.8704991948298</v>
      </c>
      <c r="F118" s="13">
        <v>3826.8704991948298</v>
      </c>
      <c r="G118" s="13">
        <v>3826.8704991948298</v>
      </c>
      <c r="H118" s="13">
        <v>3826.8704991948298</v>
      </c>
      <c r="I118" s="13">
        <v>3826.8704991948298</v>
      </c>
      <c r="J118" s="13">
        <v>3826.8704991948298</v>
      </c>
      <c r="K118" s="13">
        <v>3826.8704991948298</v>
      </c>
      <c r="L118" s="13">
        <v>3826.8704991948298</v>
      </c>
      <c r="M118" s="13">
        <v>3826.8704991948298</v>
      </c>
      <c r="N118" s="13">
        <v>3826.8704991948298</v>
      </c>
      <c r="O118" s="13">
        <v>3826.8704991948298</v>
      </c>
      <c r="P118" s="13">
        <v>3826.8704991948298</v>
      </c>
      <c r="Q118" s="13">
        <v>3826.8704991948298</v>
      </c>
      <c r="R118" s="13">
        <v>3826.8704991948298</v>
      </c>
      <c r="S118" s="13">
        <v>3826.8704991948298</v>
      </c>
      <c r="T118" s="13">
        <v>3826.8704991948298</v>
      </c>
      <c r="U118" s="13">
        <v>3826.8704991948298</v>
      </c>
      <c r="V118" s="13">
        <v>3826.8704991948298</v>
      </c>
      <c r="W118" s="13">
        <v>3826.8704991948298</v>
      </c>
      <c r="X118" s="13">
        <v>3826.8704991948298</v>
      </c>
      <c r="Y118" s="13">
        <v>3826.8704991948298</v>
      </c>
      <c r="Z118" s="13">
        <v>3826.8704991948298</v>
      </c>
      <c r="AA118" s="13">
        <v>3826.8704991948298</v>
      </c>
      <c r="AB118" s="13">
        <v>3826.8704991948298</v>
      </c>
      <c r="AC118" s="13">
        <v>3826.8704991948298</v>
      </c>
      <c r="AD118" s="13">
        <v>3826.8704991948298</v>
      </c>
      <c r="AE118" s="13">
        <v>3826.8704991948298</v>
      </c>
      <c r="AF118" s="13">
        <v>3826.8704991948298</v>
      </c>
      <c r="AG118" s="13">
        <v>3826.8704991948298</v>
      </c>
      <c r="AH118" s="13">
        <v>3826.8704991948298</v>
      </c>
      <c r="AI118" s="13">
        <v>3826.8704991948298</v>
      </c>
      <c r="AJ118" s="13">
        <v>3826.8704991948298</v>
      </c>
      <c r="AK118" s="13">
        <v>3826.8704991948298</v>
      </c>
      <c r="AL118" s="56">
        <v>3826.8704991948298</v>
      </c>
      <c r="AM118" s="10"/>
    </row>
    <row r="119" spans="2:39">
      <c r="B119" s="10"/>
      <c r="C119" s="16" t="str">
        <f>zEO&amp;" Costs"</f>
        <v>Operating Costs</v>
      </c>
      <c r="D119" s="12" t="str">
        <f>_yearDol &amp; "$"</f>
        <v>2015$</v>
      </c>
      <c r="E119" s="13">
        <f t="array" aca="1" ref="E119:AL119" ca="1">(tlccEFuElecbc2) + IF(bOSav,SUMPRODUCT(dFactor,tpSurvCnU,INDEX(mrCnU,1,3)*allOnes),0)</f>
        <v>29152.630643405566</v>
      </c>
      <c r="F119" s="13">
        <f ca="1"/>
        <v>29401.268794533647</v>
      </c>
      <c r="G119" s="13">
        <f ca="1"/>
        <v>29640.926150548145</v>
      </c>
      <c r="H119" s="13">
        <f ca="1"/>
        <v>29852.745645788382</v>
      </c>
      <c r="I119" s="13">
        <f ca="1"/>
        <v>30040.719229082661</v>
      </c>
      <c r="J119" s="13">
        <f ca="1"/>
        <v>30229.901601109279</v>
      </c>
      <c r="K119" s="13">
        <f ca="1"/>
        <v>30420.300718855542</v>
      </c>
      <c r="L119" s="13">
        <f ca="1"/>
        <v>30611.924592999101</v>
      </c>
      <c r="M119" s="13">
        <f ca="1"/>
        <v>30804.781288279504</v>
      </c>
      <c r="N119" s="13">
        <f ca="1"/>
        <v>30998.878923872133</v>
      </c>
      <c r="O119" s="13">
        <f ca="1"/>
        <v>31194.225673765013</v>
      </c>
      <c r="P119" s="13">
        <f ca="1"/>
        <v>31390.829767138192</v>
      </c>
      <c r="Q119" s="13">
        <f ca="1"/>
        <v>31588.69948874585</v>
      </c>
      <c r="R119" s="13">
        <f ca="1"/>
        <v>31787.843179301017</v>
      </c>
      <c r="S119" s="13">
        <f ca="1"/>
        <v>31988.269235863198</v>
      </c>
      <c r="T119" s="13">
        <f ca="1"/>
        <v>32189.986112228573</v>
      </c>
      <c r="U119" s="13">
        <f ca="1"/>
        <v>32393.00231932307</v>
      </c>
      <c r="V119" s="13">
        <f ca="1"/>
        <v>32597.32642559813</v>
      </c>
      <c r="W119" s="13">
        <f ca="1"/>
        <v>32802.967057429494</v>
      </c>
      <c r="X119" s="13">
        <f ca="1"/>
        <v>33009.932899518491</v>
      </c>
      <c r="Y119" s="13">
        <f ca="1"/>
        <v>33218.232695296472</v>
      </c>
      <c r="Z119" s="13">
        <f ca="1"/>
        <v>33427.875247332013</v>
      </c>
      <c r="AA119" s="13">
        <f ca="1"/>
        <v>33638.86941774084</v>
      </c>
      <c r="AB119" s="13">
        <f ca="1"/>
        <v>33851.224128599024</v>
      </c>
      <c r="AC119" s="13">
        <f ca="1"/>
        <v>34064.948362358809</v>
      </c>
      <c r="AD119" s="13">
        <f ca="1"/>
        <v>34280.05116226738</v>
      </c>
      <c r="AE119" s="13">
        <f ca="1"/>
        <v>34496.54163278894</v>
      </c>
      <c r="AF119" s="13">
        <f ca="1"/>
        <v>34714.428940029407</v>
      </c>
      <c r="AG119" s="13">
        <f ca="1"/>
        <v>34933.722312164355</v>
      </c>
      <c r="AH119" s="13">
        <f ca="1"/>
        <v>35154.431039869902</v>
      </c>
      <c r="AI119" s="13">
        <f ca="1"/>
        <v>35376.56447675659</v>
      </c>
      <c r="AJ119" s="13">
        <f ca="1"/>
        <v>35600.132039806769</v>
      </c>
      <c r="AK119" s="13">
        <f ca="1"/>
        <v>35825.143209814261</v>
      </c>
      <c r="AL119" s="56">
        <f ca="1"/>
        <v>36051.607531828246</v>
      </c>
      <c r="AM119" s="10"/>
    </row>
    <row r="120" spans="2:39">
      <c r="B120" s="10"/>
      <c r="C120" s="28" t="str">
        <f>INDEX(_fuel,1)</f>
        <v>Electricity</v>
      </c>
      <c r="D120" s="12" t="str">
        <f>_yearDol &amp; "$"</f>
        <v>2015$</v>
      </c>
      <c r="E120" s="13">
        <f ca="1">SUMPRODUCT(dFactor,tpSurvCnU,INDEX(elecCnU,1,3)*allOnes,OFFSET(tPrcElec,0,0,1,_maxLT))</f>
        <v>29152.630643405566</v>
      </c>
      <c r="F120" s="13">
        <f ca="1">SUMPRODUCT(dFactor,tpSurvCnU,INDEX(elecCnU,1,3)*allOnes,OFFSET(tPrcElec,0,1,1,_maxLT))</f>
        <v>29401.268794533647</v>
      </c>
      <c r="G120" s="13">
        <f ca="1">SUMPRODUCT(dFactor,tpSurvCnU,INDEX(elecCnU,1,3)*allOnes,OFFSET(tPrcElec,0,2,1,_maxLT))</f>
        <v>29640.926150548145</v>
      </c>
      <c r="H120" s="13">
        <f ca="1">SUMPRODUCT(dFactor,tpSurvCnU,INDEX(elecCnU,1,3)*allOnes,OFFSET(tPrcElec,0,3,1,_maxLT))</f>
        <v>29852.745645788382</v>
      </c>
      <c r="I120" s="13">
        <f ca="1">SUMPRODUCT(dFactor,tpSurvCnU,INDEX(elecCnU,1,3)*allOnes,OFFSET(tPrcElec,0,4,1,_maxLT))</f>
        <v>30040.719229082661</v>
      </c>
      <c r="J120" s="13">
        <f ca="1">SUMPRODUCT(dFactor,tpSurvCnU,INDEX(elecCnU,1,3)*allOnes,OFFSET(tPrcElec,0,5,1,_maxLT))</f>
        <v>30229.901601109279</v>
      </c>
      <c r="K120" s="13">
        <f ca="1">SUMPRODUCT(dFactor,tpSurvCnU,INDEX(elecCnU,1,3)*allOnes,OFFSET(tPrcElec,0,6,1,_maxLT))</f>
        <v>30420.300718855542</v>
      </c>
      <c r="L120" s="13">
        <f ca="1">SUMPRODUCT(dFactor,tpSurvCnU,INDEX(elecCnU,1,3)*allOnes,OFFSET(tPrcElec,0,7,1,_maxLT))</f>
        <v>30611.924592999101</v>
      </c>
      <c r="M120" s="13">
        <f ca="1">SUMPRODUCT(dFactor,tpSurvCnU,INDEX(elecCnU,1,3)*allOnes,OFFSET(tPrcElec,0,8,1,_maxLT))</f>
        <v>30804.781288279504</v>
      </c>
      <c r="N120" s="13">
        <f ca="1">SUMPRODUCT(dFactor,tpSurvCnU,INDEX(elecCnU,1,3)*allOnes,OFFSET(tPrcElec,0,9,1,_maxLT))</f>
        <v>30998.878923872133</v>
      </c>
      <c r="O120" s="13">
        <f ca="1">SUMPRODUCT(dFactor,tpSurvCnU,INDEX(elecCnU,1,3)*allOnes,OFFSET(tPrcElec,0,10,1,_maxLT))</f>
        <v>31194.225673765013</v>
      </c>
      <c r="P120" s="13">
        <f ca="1">SUMPRODUCT(dFactor,tpSurvCnU,INDEX(elecCnU,1,3)*allOnes,OFFSET(tPrcElec,0,11,1,_maxLT))</f>
        <v>31390.829767138192</v>
      </c>
      <c r="Q120" s="13">
        <f ca="1">SUMPRODUCT(dFactor,tpSurvCnU,INDEX(elecCnU,1,3)*allOnes,OFFSET(tPrcElec,0,12,1,_maxLT))</f>
        <v>31588.69948874585</v>
      </c>
      <c r="R120" s="13">
        <f ca="1">SUMPRODUCT(dFactor,tpSurvCnU,INDEX(elecCnU,1,3)*allOnes,OFFSET(tPrcElec,0,13,1,_maxLT))</f>
        <v>31787.843179301017</v>
      </c>
      <c r="S120" s="13">
        <f ca="1">SUMPRODUCT(dFactor,tpSurvCnU,INDEX(elecCnU,1,3)*allOnes,OFFSET(tPrcElec,0,14,1,_maxLT))</f>
        <v>31988.269235863198</v>
      </c>
      <c r="T120" s="13">
        <f ca="1">SUMPRODUCT(dFactor,tpSurvCnU,INDEX(elecCnU,1,3)*allOnes,OFFSET(tPrcElec,0,15,1,_maxLT))</f>
        <v>32189.986112228573</v>
      </c>
      <c r="U120" s="13">
        <f ca="1">SUMPRODUCT(dFactor,tpSurvCnU,INDEX(elecCnU,1,3)*allOnes,OFFSET(tPrcElec,0,16,1,_maxLT))</f>
        <v>32393.00231932307</v>
      </c>
      <c r="V120" s="13">
        <f ca="1">SUMPRODUCT(dFactor,tpSurvCnU,INDEX(elecCnU,1,3)*allOnes,OFFSET(tPrcElec,0,17,1,_maxLT))</f>
        <v>32597.32642559813</v>
      </c>
      <c r="W120" s="13">
        <f ca="1">SUMPRODUCT(dFactor,tpSurvCnU,INDEX(elecCnU,1,3)*allOnes,OFFSET(tPrcElec,0,18,1,_maxLT))</f>
        <v>32802.967057429494</v>
      </c>
      <c r="X120" s="13">
        <f ca="1">SUMPRODUCT(dFactor,tpSurvCnU,INDEX(elecCnU,1,3)*allOnes,OFFSET(tPrcElec,0,19,1,_maxLT))</f>
        <v>33009.932899518491</v>
      </c>
      <c r="Y120" s="13">
        <f ca="1">SUMPRODUCT(dFactor,tpSurvCnU,INDEX(elecCnU,1,3)*allOnes,OFFSET(tPrcElec,0,20,1,_maxLT))</f>
        <v>33218.232695296472</v>
      </c>
      <c r="Z120" s="13">
        <f ca="1">SUMPRODUCT(dFactor,tpSurvCnU,INDEX(elecCnU,1,3)*allOnes,OFFSET(tPrcElec,0,21,1,_maxLT))</f>
        <v>33427.875247332013</v>
      </c>
      <c r="AA120" s="13">
        <f ca="1">SUMPRODUCT(dFactor,tpSurvCnU,INDEX(elecCnU,1,3)*allOnes,OFFSET(tPrcElec,0,22,1,_maxLT))</f>
        <v>33638.86941774084</v>
      </c>
      <c r="AB120" s="13">
        <f ca="1">SUMPRODUCT(dFactor,tpSurvCnU,INDEX(elecCnU,1,3)*allOnes,OFFSET(tPrcElec,0,23,1,_maxLT))</f>
        <v>33851.224128599024</v>
      </c>
      <c r="AC120" s="13">
        <f ca="1">SUMPRODUCT(dFactor,tpSurvCnU,INDEX(elecCnU,1,3)*allOnes,OFFSET(tPrcElec,0,24,1,_maxLT))</f>
        <v>34064.948362358809</v>
      </c>
      <c r="AD120" s="13">
        <f ca="1">SUMPRODUCT(dFactor,tpSurvCnU,INDEX(elecCnU,1,3)*allOnes,OFFSET(tPrcElec,0,25,1,_maxLT))</f>
        <v>34280.05116226738</v>
      </c>
      <c r="AE120" s="13">
        <f ca="1">SUMPRODUCT(dFactor,tpSurvCnU,INDEX(elecCnU,1,3)*allOnes,OFFSET(tPrcElec,0,26,1,_maxLT))</f>
        <v>34496.54163278894</v>
      </c>
      <c r="AF120" s="13">
        <f ca="1">SUMPRODUCT(dFactor,tpSurvCnU,INDEX(elecCnU,1,3)*allOnes,OFFSET(tPrcElec,0,27,1,_maxLT))</f>
        <v>34714.428940029407</v>
      </c>
      <c r="AG120" s="13">
        <f ca="1">SUMPRODUCT(dFactor,tpSurvCnU,INDEX(elecCnU,1,3)*allOnes,OFFSET(tPrcElec,0,28,1,_maxLT))</f>
        <v>34933.722312164355</v>
      </c>
      <c r="AH120" s="13">
        <f ca="1">SUMPRODUCT(dFactor,tpSurvCnU,INDEX(elecCnU,1,3)*allOnes,OFFSET(tPrcElec,0,29,1,_maxLT))</f>
        <v>35154.431039869902</v>
      </c>
      <c r="AI120" s="13">
        <f ca="1">SUMPRODUCT(dFactor,tpSurvCnU,INDEX(elecCnU,1,3)*allOnes,OFFSET(tPrcElec,0,30,1,_maxLT))</f>
        <v>35376.56447675659</v>
      </c>
      <c r="AJ120" s="13">
        <f ca="1">SUMPRODUCT(dFactor,tpSurvCnU,INDEX(elecCnU,1,3)*allOnes,OFFSET(tPrcElec,0,31,1,_maxLT))</f>
        <v>35600.132039806769</v>
      </c>
      <c r="AK120" s="13">
        <f ca="1">SUMPRODUCT(dFactor,tpSurvCnU,INDEX(elecCnU,1,3)*allOnes,OFFSET(tPrcElec,0,32,1,_maxLT))</f>
        <v>35825.143209814261</v>
      </c>
      <c r="AL120" s="56">
        <f ca="1">SUMPRODUCT(dFactor,tpSurvCnU,INDEX(elecCnU,1,3)*allOnes,OFFSET(tPrcElec,0,33,1,_maxLT))</f>
        <v>36051.607531828246</v>
      </c>
      <c r="AM120" s="10"/>
    </row>
    <row r="121" spans="2:39">
      <c r="B121" s="10"/>
      <c r="C121" s="16" t="s">
        <v>79</v>
      </c>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5"/>
      <c r="AM121" s="10"/>
    </row>
    <row r="122" spans="2:39">
      <c r="B122" s="10"/>
      <c r="C122" s="28" t="str">
        <f>INDEX(_fuel,1)</f>
        <v>Electricity</v>
      </c>
      <c r="D122" s="12" t="s">
        <v>83</v>
      </c>
      <c r="E122" s="39">
        <f ca="1">SUMPRODUCT(OFFSET(tConvElecCnU,0,0,1,_maxLT),INDEX(elecCnU,1,3)*allOnes,tpSurvCnU)</f>
        <v>4843.121351999418</v>
      </c>
      <c r="F122" s="39">
        <f ca="1">SUMPRODUCT(OFFSET(tConvElecCnU,0,1,1,_maxLT),INDEX(elecCnU,1,3)*allOnes,tpSurvCnU)</f>
        <v>4795.2777252813848</v>
      </c>
      <c r="G122" s="39">
        <f ca="1">SUMPRODUCT(OFFSET(tConvElecCnU,0,2,1,_maxLT),INDEX(elecCnU,1,3)*allOnes,tpSurvCnU)</f>
        <v>4752.7016300167725</v>
      </c>
      <c r="H122" s="39">
        <f ca="1">SUMPRODUCT(OFFSET(tConvElecCnU,0,3,1,_maxLT),INDEX(elecCnU,1,3)*allOnes,tpSurvCnU)</f>
        <v>4711.8035706485753</v>
      </c>
      <c r="I122" s="39">
        <f ca="1">SUMPRODUCT(OFFSET(tConvElecCnU,0,4,1,_maxLT),INDEX(elecCnU,1,3)*allOnes,tpSurvCnU)</f>
        <v>4675.6963379160734</v>
      </c>
      <c r="J122" s="39">
        <f ca="1">SUMPRODUCT(OFFSET(tConvElecCnU,0,5,1,_maxLT),INDEX(elecCnU,1,3)*allOnes,tpSurvCnU)</f>
        <v>4647.3616863579064</v>
      </c>
      <c r="K122" s="39">
        <f ca="1">SUMPRODUCT(OFFSET(tConvElecCnU,0,6,1,_maxLT),INDEX(elecCnU,1,3)*allOnes,tpSurvCnU)</f>
        <v>4623.5343330687265</v>
      </c>
      <c r="L122" s="39">
        <f ca="1">SUMPRODUCT(OFFSET(tConvElecCnU,0,7,1,_maxLT),INDEX(elecCnU,1,3)*allOnes,tpSurvCnU)</f>
        <v>4599.3637389702762</v>
      </c>
      <c r="M122" s="39">
        <f ca="1">SUMPRODUCT(OFFSET(tConvElecCnU,0,8,1,_maxLT),INDEX(elecCnU,1,3)*allOnes,tpSurvCnU)</f>
        <v>4579.7622886238896</v>
      </c>
      <c r="N122" s="39">
        <f ca="1">SUMPRODUCT(OFFSET(tConvElecCnU,0,9,1,_maxLT),INDEX(elecCnU,1,3)*allOnes,tpSurvCnU)</f>
        <v>4565.9426426612808</v>
      </c>
      <c r="O122" s="39">
        <f ca="1">SUMPRODUCT(OFFSET(tConvElecCnU,0,10,1,_maxLT),INDEX(elecCnU,1,3)*allOnes,tpSurvCnU)</f>
        <v>4555.6301559980238</v>
      </c>
      <c r="P122" s="39">
        <f ca="1">SUMPRODUCT(OFFSET(tConvElecCnU,0,11,1,_maxLT),INDEX(elecCnU,1,3)*allOnes,tpSurvCnU)</f>
        <v>4546.8264678739706</v>
      </c>
      <c r="Q122" s="39">
        <f ca="1">SUMPRODUCT(OFFSET(tConvElecCnU,0,12,1,_maxLT),INDEX(elecCnU,1,3)*allOnes,tpSurvCnU)</f>
        <v>4540.2150469086664</v>
      </c>
      <c r="R122" s="39">
        <f ca="1">SUMPRODUCT(OFFSET(tConvElecCnU,0,13,1,_maxLT),INDEX(elecCnU,1,3)*allOnes,tpSurvCnU)</f>
        <v>4535.0866907699528</v>
      </c>
      <c r="S122" s="39">
        <f ca="1">SUMPRODUCT(OFFSET(tConvElecCnU,0,14,1,_maxLT),INDEX(elecCnU,1,3)*allOnes,tpSurvCnU)</f>
        <v>4534.0403869280108</v>
      </c>
      <c r="T122" s="39">
        <f ca="1">SUMPRODUCT(OFFSET(tConvElecCnU,0,15,1,_maxLT),INDEX(elecCnU,1,3)*allOnes,tpSurvCnU)</f>
        <v>4534.85316962455</v>
      </c>
      <c r="U122" s="39">
        <f ca="1">SUMPRODUCT(OFFSET(tConvElecCnU,0,16,1,_maxLT),INDEX(elecCnU,1,3)*allOnes,tpSurvCnU)</f>
        <v>4536.2889501875943</v>
      </c>
      <c r="V122" s="39">
        <f ca="1">SUMPRODUCT(OFFSET(tConvElecCnU,0,17,1,_maxLT),INDEX(elecCnU,1,3)*allOnes,tpSurvCnU)</f>
        <v>4538.5124998975243</v>
      </c>
      <c r="W122" s="39">
        <f ca="1">SUMPRODUCT(OFFSET(tConvElecCnU,0,18,1,_maxLT),INDEX(elecCnU,1,3)*allOnes,tpSurvCnU)</f>
        <v>4540.6556634093995</v>
      </c>
      <c r="X122" s="39">
        <f ca="1">SUMPRODUCT(OFFSET(tConvElecCnU,0,19,1,_maxLT),INDEX(elecCnU,1,3)*allOnes,tpSurvCnU)</f>
        <v>4542.4355898542453</v>
      </c>
      <c r="Y122" s="39">
        <f ca="1">SUMPRODUCT(OFFSET(tConvElecCnU,0,20,1,_maxLT),INDEX(elecCnU,1,3)*allOnes,tpSurvCnU)</f>
        <v>4543.6280370141885</v>
      </c>
      <c r="Z122" s="39">
        <f ca="1">SUMPRODUCT(OFFSET(tConvElecCnU,0,21,1,_maxLT),INDEX(elecCnU,1,3)*allOnes,tpSurvCnU)</f>
        <v>4544.4492134737739</v>
      </c>
      <c r="AA122" s="39">
        <f ca="1">SUMPRODUCT(OFFSET(tConvElecCnU,0,22,1,_maxLT),INDEX(elecCnU,1,3)*allOnes,tpSurvCnU)</f>
        <v>4544.4492134737739</v>
      </c>
      <c r="AB122" s="39">
        <f ca="1">SUMPRODUCT(OFFSET(tConvElecCnU,0,23,1,_maxLT),INDEX(elecCnU,1,3)*allOnes,tpSurvCnU)</f>
        <v>4544.4492134737739</v>
      </c>
      <c r="AC122" s="39">
        <f ca="1">SUMPRODUCT(OFFSET(tConvElecCnU,0,24,1,_maxLT),INDEX(elecCnU,1,3)*allOnes,tpSurvCnU)</f>
        <v>4544.4492134737739</v>
      </c>
      <c r="AD122" s="39">
        <f ca="1">SUMPRODUCT(OFFSET(tConvElecCnU,0,25,1,_maxLT),INDEX(elecCnU,1,3)*allOnes,tpSurvCnU)</f>
        <v>4544.4492134737739</v>
      </c>
      <c r="AE122" s="39">
        <f ca="1">SUMPRODUCT(OFFSET(tConvElecCnU,0,26,1,_maxLT),INDEX(elecCnU,1,3)*allOnes,tpSurvCnU)</f>
        <v>4544.4492134737739</v>
      </c>
      <c r="AF122" s="39">
        <f ca="1">SUMPRODUCT(OFFSET(tConvElecCnU,0,27,1,_maxLT),INDEX(elecCnU,1,3)*allOnes,tpSurvCnU)</f>
        <v>4544.4492134737739</v>
      </c>
      <c r="AG122" s="39">
        <f ca="1">SUMPRODUCT(OFFSET(tConvElecCnU,0,28,1,_maxLT),INDEX(elecCnU,1,3)*allOnes,tpSurvCnU)</f>
        <v>4544.4492134737739</v>
      </c>
      <c r="AH122" s="39">
        <f ca="1">SUMPRODUCT(OFFSET(tConvElecCnU,0,29,1,_maxLT),INDEX(elecCnU,1,3)*allOnes,tpSurvCnU)</f>
        <v>4544.4492134737739</v>
      </c>
      <c r="AI122" s="39">
        <f ca="1">SUMPRODUCT(OFFSET(tConvElecCnU,0,30,1,_maxLT),INDEX(elecCnU,1,3)*allOnes,tpSurvCnU)</f>
        <v>4544.4492134737739</v>
      </c>
      <c r="AJ122" s="39">
        <f ca="1">SUMPRODUCT(OFFSET(tConvElecCnU,0,31,1,_maxLT),INDEX(elecCnU,1,3)*allOnes,tpSurvCnU)</f>
        <v>4544.4492134737739</v>
      </c>
      <c r="AK122" s="39">
        <f ca="1">SUMPRODUCT(OFFSET(tConvElecCnU,0,32,1,_maxLT),INDEX(elecCnU,1,3)*allOnes,tpSurvCnU)</f>
        <v>4544.4492134737739</v>
      </c>
      <c r="AL122" s="40">
        <f ca="1">SUMPRODUCT(OFFSET(tConvElecCnU,0,33,1,_maxLT),INDEX(elecCnU,1,3)*allOnes,tpSurvCnU)</f>
        <v>4544.4492134737739</v>
      </c>
      <c r="AM122" s="10"/>
    </row>
    <row r="123" spans="2:39">
      <c r="B123" s="10"/>
      <c r="C123" s="57" t="str">
        <f>"EL 3: " &amp; INDEX(_doName,4,4)</f>
        <v>EL 3: EL 3</v>
      </c>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3"/>
      <c r="AM123" s="10"/>
    </row>
    <row r="124" spans="2:39">
      <c r="B124" s="10"/>
      <c r="C124" s="16" t="s">
        <v>69</v>
      </c>
      <c r="D124" s="12" t="str">
        <f>_yearDol &amp; "$"</f>
        <v>2015$</v>
      </c>
      <c r="E124" s="13">
        <f t="array" ref="E124:AL124">INDEX(mspCnU,1,4)*tPIdxAll + INDEX(instCnU,1,4) + IF(bESav,SUMPRODUCT(dFactor,tpSurvCnU,INDEX(mrCnU,1,4)*allOnes),0)</f>
        <v>3889.3280650994502</v>
      </c>
      <c r="F124" s="13">
        <v>3889.3280650994502</v>
      </c>
      <c r="G124" s="13">
        <v>3889.3280650994502</v>
      </c>
      <c r="H124" s="13">
        <v>3889.3280650994502</v>
      </c>
      <c r="I124" s="13">
        <v>3889.3280650994502</v>
      </c>
      <c r="J124" s="13">
        <v>3889.3280650994502</v>
      </c>
      <c r="K124" s="13">
        <v>3889.3280650994502</v>
      </c>
      <c r="L124" s="13">
        <v>3889.3280650994502</v>
      </c>
      <c r="M124" s="13">
        <v>3889.3280650994502</v>
      </c>
      <c r="N124" s="13">
        <v>3889.3280650994502</v>
      </c>
      <c r="O124" s="13">
        <v>3889.3280650994502</v>
      </c>
      <c r="P124" s="13">
        <v>3889.3280650994502</v>
      </c>
      <c r="Q124" s="13">
        <v>3889.3280650994502</v>
      </c>
      <c r="R124" s="13">
        <v>3889.3280650994502</v>
      </c>
      <c r="S124" s="13">
        <v>3889.3280650994502</v>
      </c>
      <c r="T124" s="13">
        <v>3889.3280650994502</v>
      </c>
      <c r="U124" s="13">
        <v>3889.3280650994502</v>
      </c>
      <c r="V124" s="13">
        <v>3889.3280650994502</v>
      </c>
      <c r="W124" s="13">
        <v>3889.3280650994502</v>
      </c>
      <c r="X124" s="13">
        <v>3889.3280650994502</v>
      </c>
      <c r="Y124" s="13">
        <v>3889.3280650994502</v>
      </c>
      <c r="Z124" s="13">
        <v>3889.3280650994502</v>
      </c>
      <c r="AA124" s="13">
        <v>3889.3280650994502</v>
      </c>
      <c r="AB124" s="13">
        <v>3889.3280650994502</v>
      </c>
      <c r="AC124" s="13">
        <v>3889.3280650994502</v>
      </c>
      <c r="AD124" s="13">
        <v>3889.3280650994502</v>
      </c>
      <c r="AE124" s="13">
        <v>3889.3280650994502</v>
      </c>
      <c r="AF124" s="13">
        <v>3889.3280650994502</v>
      </c>
      <c r="AG124" s="13">
        <v>3889.3280650994502</v>
      </c>
      <c r="AH124" s="13">
        <v>3889.3280650994502</v>
      </c>
      <c r="AI124" s="13">
        <v>3889.3280650994502</v>
      </c>
      <c r="AJ124" s="13">
        <v>3889.3280650994502</v>
      </c>
      <c r="AK124" s="13">
        <v>3889.3280650994502</v>
      </c>
      <c r="AL124" s="56">
        <v>3889.3280650994502</v>
      </c>
      <c r="AM124" s="10"/>
    </row>
    <row r="125" spans="2:39">
      <c r="B125" s="10"/>
      <c r="C125" s="16" t="str">
        <f>zEO&amp;" Costs"</f>
        <v>Operating Costs</v>
      </c>
      <c r="D125" s="12" t="str">
        <f>_yearDol &amp; "$"</f>
        <v>2015$</v>
      </c>
      <c r="E125" s="13">
        <f t="array" aca="1" ref="E125:AL125" ca="1">(tlccEFuElecbc3) + IF(bOSav,SUMPRODUCT(dFactor,tpSurvCnU,INDEX(mrCnU,1,4)*allOnes),0)</f>
        <v>26491.475009857528</v>
      </c>
      <c r="F125" s="13">
        <f ca="1"/>
        <v>26717.41658774381</v>
      </c>
      <c r="G125" s="13">
        <f ca="1"/>
        <v>26935.197169381405</v>
      </c>
      <c r="H125" s="13">
        <f ca="1"/>
        <v>27127.681029016429</v>
      </c>
      <c r="I125" s="13">
        <f ca="1"/>
        <v>27298.495716214486</v>
      </c>
      <c r="J125" s="13">
        <f ca="1"/>
        <v>27470.40884961751</v>
      </c>
      <c r="K125" s="13">
        <f ca="1"/>
        <v>27643.427659870737</v>
      </c>
      <c r="L125" s="13">
        <f ca="1"/>
        <v>27817.559426408756</v>
      </c>
      <c r="M125" s="13">
        <f ca="1"/>
        <v>27992.811477793006</v>
      </c>
      <c r="N125" s="13">
        <f ca="1"/>
        <v>28169.191192051741</v>
      </c>
      <c r="O125" s="13">
        <f ca="1"/>
        <v>28346.705997022353</v>
      </c>
      <c r="P125" s="13">
        <f ca="1"/>
        <v>28525.363370696083</v>
      </c>
      <c r="Q125" s="13">
        <f ca="1"/>
        <v>28705.170841565345</v>
      </c>
      <c r="R125" s="13">
        <f ca="1"/>
        <v>28886.135988973299</v>
      </c>
      <c r="S125" s="13">
        <f ca="1"/>
        <v>29068.266443466018</v>
      </c>
      <c r="T125" s="13">
        <f ca="1"/>
        <v>29251.569887147114</v>
      </c>
      <c r="U125" s="13">
        <f ca="1"/>
        <v>29436.054054035023</v>
      </c>
      <c r="V125" s="13">
        <f ca="1"/>
        <v>29621.726730422524</v>
      </c>
      <c r="W125" s="13">
        <f ca="1"/>
        <v>29808.595755239112</v>
      </c>
      <c r="X125" s="13">
        <f ca="1"/>
        <v>29996.669020415797</v>
      </c>
      <c r="Y125" s="13">
        <f ca="1"/>
        <v>30185.95447125244</v>
      </c>
      <c r="Z125" s="13">
        <f ca="1"/>
        <v>30376.460106787879</v>
      </c>
      <c r="AA125" s="13">
        <f ca="1"/>
        <v>30568.193980172502</v>
      </c>
      <c r="AB125" s="13">
        <f ca="1"/>
        <v>30761.164199043578</v>
      </c>
      <c r="AC125" s="13">
        <f ca="1"/>
        <v>30955.378925903173</v>
      </c>
      <c r="AD125" s="13">
        <f ca="1"/>
        <v>31150.846378498834</v>
      </c>
      <c r="AE125" s="13">
        <f ca="1"/>
        <v>31347.574830206893</v>
      </c>
      <c r="AF125" s="13">
        <f ca="1"/>
        <v>31545.572610418581</v>
      </c>
      <c r="AG125" s="13">
        <f ca="1"/>
        <v>31744.848104928878</v>
      </c>
      <c r="AH125" s="13">
        <f ca="1"/>
        <v>31945.409756327932</v>
      </c>
      <c r="AI125" s="13">
        <f ca="1"/>
        <v>32147.266064395615</v>
      </c>
      <c r="AJ125" s="13">
        <f ca="1"/>
        <v>32350.425586498557</v>
      </c>
      <c r="AK125" s="13">
        <f ca="1"/>
        <v>32554.89693799019</v>
      </c>
      <c r="AL125" s="56">
        <f ca="1"/>
        <v>32760.688792613586</v>
      </c>
      <c r="AM125" s="10"/>
    </row>
    <row r="126" spans="2:39">
      <c r="B126" s="10"/>
      <c r="C126" s="28" t="str">
        <f>INDEX(_fuel,1)</f>
        <v>Electricity</v>
      </c>
      <c r="D126" s="12" t="str">
        <f>_yearDol &amp; "$"</f>
        <v>2015$</v>
      </c>
      <c r="E126" s="13">
        <f ca="1">SUMPRODUCT(dFactor,tpSurvCnU,INDEX(elecCnU,1,4)*allOnes,OFFSET(tPrcElec,0,0,1,_maxLT))</f>
        <v>26491.475009857528</v>
      </c>
      <c r="F126" s="13">
        <f ca="1">SUMPRODUCT(dFactor,tpSurvCnU,INDEX(elecCnU,1,4)*allOnes,OFFSET(tPrcElec,0,1,1,_maxLT))</f>
        <v>26717.41658774381</v>
      </c>
      <c r="G126" s="13">
        <f ca="1">SUMPRODUCT(dFactor,tpSurvCnU,INDEX(elecCnU,1,4)*allOnes,OFFSET(tPrcElec,0,2,1,_maxLT))</f>
        <v>26935.197169381405</v>
      </c>
      <c r="H126" s="13">
        <f ca="1">SUMPRODUCT(dFactor,tpSurvCnU,INDEX(elecCnU,1,4)*allOnes,OFFSET(tPrcElec,0,3,1,_maxLT))</f>
        <v>27127.681029016429</v>
      </c>
      <c r="I126" s="13">
        <f ca="1">SUMPRODUCT(dFactor,tpSurvCnU,INDEX(elecCnU,1,4)*allOnes,OFFSET(tPrcElec,0,4,1,_maxLT))</f>
        <v>27298.495716214486</v>
      </c>
      <c r="J126" s="13">
        <f ca="1">SUMPRODUCT(dFactor,tpSurvCnU,INDEX(elecCnU,1,4)*allOnes,OFFSET(tPrcElec,0,5,1,_maxLT))</f>
        <v>27470.40884961751</v>
      </c>
      <c r="K126" s="13">
        <f ca="1">SUMPRODUCT(dFactor,tpSurvCnU,INDEX(elecCnU,1,4)*allOnes,OFFSET(tPrcElec,0,6,1,_maxLT))</f>
        <v>27643.427659870737</v>
      </c>
      <c r="L126" s="13">
        <f ca="1">SUMPRODUCT(dFactor,tpSurvCnU,INDEX(elecCnU,1,4)*allOnes,OFFSET(tPrcElec,0,7,1,_maxLT))</f>
        <v>27817.559426408756</v>
      </c>
      <c r="M126" s="13">
        <f ca="1">SUMPRODUCT(dFactor,tpSurvCnU,INDEX(elecCnU,1,4)*allOnes,OFFSET(tPrcElec,0,8,1,_maxLT))</f>
        <v>27992.811477793006</v>
      </c>
      <c r="N126" s="13">
        <f ca="1">SUMPRODUCT(dFactor,tpSurvCnU,INDEX(elecCnU,1,4)*allOnes,OFFSET(tPrcElec,0,9,1,_maxLT))</f>
        <v>28169.191192051741</v>
      </c>
      <c r="O126" s="13">
        <f ca="1">SUMPRODUCT(dFactor,tpSurvCnU,INDEX(elecCnU,1,4)*allOnes,OFFSET(tPrcElec,0,10,1,_maxLT))</f>
        <v>28346.705997022353</v>
      </c>
      <c r="P126" s="13">
        <f ca="1">SUMPRODUCT(dFactor,tpSurvCnU,INDEX(elecCnU,1,4)*allOnes,OFFSET(tPrcElec,0,11,1,_maxLT))</f>
        <v>28525.363370696083</v>
      </c>
      <c r="Q126" s="13">
        <f ca="1">SUMPRODUCT(dFactor,tpSurvCnU,INDEX(elecCnU,1,4)*allOnes,OFFSET(tPrcElec,0,12,1,_maxLT))</f>
        <v>28705.170841565345</v>
      </c>
      <c r="R126" s="13">
        <f ca="1">SUMPRODUCT(dFactor,tpSurvCnU,INDEX(elecCnU,1,4)*allOnes,OFFSET(tPrcElec,0,13,1,_maxLT))</f>
        <v>28886.135988973299</v>
      </c>
      <c r="S126" s="13">
        <f ca="1">SUMPRODUCT(dFactor,tpSurvCnU,INDEX(elecCnU,1,4)*allOnes,OFFSET(tPrcElec,0,14,1,_maxLT))</f>
        <v>29068.266443466018</v>
      </c>
      <c r="T126" s="13">
        <f ca="1">SUMPRODUCT(dFactor,tpSurvCnU,INDEX(elecCnU,1,4)*allOnes,OFFSET(tPrcElec,0,15,1,_maxLT))</f>
        <v>29251.569887147114</v>
      </c>
      <c r="U126" s="13">
        <f ca="1">SUMPRODUCT(dFactor,tpSurvCnU,INDEX(elecCnU,1,4)*allOnes,OFFSET(tPrcElec,0,16,1,_maxLT))</f>
        <v>29436.054054035023</v>
      </c>
      <c r="V126" s="13">
        <f ca="1">SUMPRODUCT(dFactor,tpSurvCnU,INDEX(elecCnU,1,4)*allOnes,OFFSET(tPrcElec,0,17,1,_maxLT))</f>
        <v>29621.726730422524</v>
      </c>
      <c r="W126" s="13">
        <f ca="1">SUMPRODUCT(dFactor,tpSurvCnU,INDEX(elecCnU,1,4)*allOnes,OFFSET(tPrcElec,0,18,1,_maxLT))</f>
        <v>29808.595755239112</v>
      </c>
      <c r="X126" s="13">
        <f ca="1">SUMPRODUCT(dFactor,tpSurvCnU,INDEX(elecCnU,1,4)*allOnes,OFFSET(tPrcElec,0,19,1,_maxLT))</f>
        <v>29996.669020415797</v>
      </c>
      <c r="Y126" s="13">
        <f ca="1">SUMPRODUCT(dFactor,tpSurvCnU,INDEX(elecCnU,1,4)*allOnes,OFFSET(tPrcElec,0,20,1,_maxLT))</f>
        <v>30185.95447125244</v>
      </c>
      <c r="Z126" s="13">
        <f ca="1">SUMPRODUCT(dFactor,tpSurvCnU,INDEX(elecCnU,1,4)*allOnes,OFFSET(tPrcElec,0,21,1,_maxLT))</f>
        <v>30376.460106787879</v>
      </c>
      <c r="AA126" s="13">
        <f ca="1">SUMPRODUCT(dFactor,tpSurvCnU,INDEX(elecCnU,1,4)*allOnes,OFFSET(tPrcElec,0,22,1,_maxLT))</f>
        <v>30568.193980172502</v>
      </c>
      <c r="AB126" s="13">
        <f ca="1">SUMPRODUCT(dFactor,tpSurvCnU,INDEX(elecCnU,1,4)*allOnes,OFFSET(tPrcElec,0,23,1,_maxLT))</f>
        <v>30761.164199043578</v>
      </c>
      <c r="AC126" s="13">
        <f ca="1">SUMPRODUCT(dFactor,tpSurvCnU,INDEX(elecCnU,1,4)*allOnes,OFFSET(tPrcElec,0,24,1,_maxLT))</f>
        <v>30955.378925903173</v>
      </c>
      <c r="AD126" s="13">
        <f ca="1">SUMPRODUCT(dFactor,tpSurvCnU,INDEX(elecCnU,1,4)*allOnes,OFFSET(tPrcElec,0,25,1,_maxLT))</f>
        <v>31150.846378498834</v>
      </c>
      <c r="AE126" s="13">
        <f ca="1">SUMPRODUCT(dFactor,tpSurvCnU,INDEX(elecCnU,1,4)*allOnes,OFFSET(tPrcElec,0,26,1,_maxLT))</f>
        <v>31347.574830206893</v>
      </c>
      <c r="AF126" s="13">
        <f ca="1">SUMPRODUCT(dFactor,tpSurvCnU,INDEX(elecCnU,1,4)*allOnes,OFFSET(tPrcElec,0,27,1,_maxLT))</f>
        <v>31545.572610418581</v>
      </c>
      <c r="AG126" s="13">
        <f ca="1">SUMPRODUCT(dFactor,tpSurvCnU,INDEX(elecCnU,1,4)*allOnes,OFFSET(tPrcElec,0,28,1,_maxLT))</f>
        <v>31744.848104928878</v>
      </c>
      <c r="AH126" s="13">
        <f ca="1">SUMPRODUCT(dFactor,tpSurvCnU,INDEX(elecCnU,1,4)*allOnes,OFFSET(tPrcElec,0,29,1,_maxLT))</f>
        <v>31945.409756327932</v>
      </c>
      <c r="AI126" s="13">
        <f ca="1">SUMPRODUCT(dFactor,tpSurvCnU,INDEX(elecCnU,1,4)*allOnes,OFFSET(tPrcElec,0,30,1,_maxLT))</f>
        <v>32147.266064395615</v>
      </c>
      <c r="AJ126" s="13">
        <f ca="1">SUMPRODUCT(dFactor,tpSurvCnU,INDEX(elecCnU,1,4)*allOnes,OFFSET(tPrcElec,0,31,1,_maxLT))</f>
        <v>32350.425586498557</v>
      </c>
      <c r="AK126" s="13">
        <f ca="1">SUMPRODUCT(dFactor,tpSurvCnU,INDEX(elecCnU,1,4)*allOnes,OFFSET(tPrcElec,0,32,1,_maxLT))</f>
        <v>32554.89693799019</v>
      </c>
      <c r="AL126" s="56">
        <f ca="1">SUMPRODUCT(dFactor,tpSurvCnU,INDEX(elecCnU,1,4)*allOnes,OFFSET(tPrcElec,0,33,1,_maxLT))</f>
        <v>32760.688792613586</v>
      </c>
      <c r="AM126" s="10"/>
    </row>
    <row r="127" spans="2:39">
      <c r="B127" s="10"/>
      <c r="C127" s="16" t="s">
        <v>79</v>
      </c>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5"/>
      <c r="AM127" s="10"/>
    </row>
    <row r="128" spans="2:39">
      <c r="B128" s="10"/>
      <c r="C128" s="28" t="str">
        <f>INDEX(_fuel,1)</f>
        <v>Electricity</v>
      </c>
      <c r="D128" s="12" t="s">
        <v>83</v>
      </c>
      <c r="E128" s="39">
        <f ca="1">SUMPRODUCT(OFFSET(tConvElecCnU,0,0,1,_maxLT),INDEX(elecCnU,1,4)*allOnes,tpSurvCnU)</f>
        <v>4401.0240391538146</v>
      </c>
      <c r="F128" s="39">
        <f ca="1">SUMPRODUCT(OFFSET(tConvElecCnU,0,1,1,_maxLT),INDEX(elecCnU,1,4)*allOnes,tpSurvCnU)</f>
        <v>4357.547748554688</v>
      </c>
      <c r="G128" s="39">
        <f ca="1">SUMPRODUCT(OFFSET(tConvElecCnU,0,2,1,_maxLT),INDEX(elecCnU,1,4)*allOnes,tpSurvCnU)</f>
        <v>4318.8581504351796</v>
      </c>
      <c r="H128" s="39">
        <f ca="1">SUMPRODUCT(OFFSET(tConvElecCnU,0,3,1,_maxLT),INDEX(elecCnU,1,4)*allOnes,tpSurvCnU)</f>
        <v>4281.6934111374821</v>
      </c>
      <c r="I128" s="39">
        <f ca="1">SUMPRODUCT(OFFSET(tConvElecCnU,0,4,1,_maxLT),INDEX(elecCnU,1,4)*allOnes,tpSurvCnU)</f>
        <v>4248.8821748100117</v>
      </c>
      <c r="J128" s="39">
        <f ca="1">SUMPRODUCT(OFFSET(tConvElecCnU,0,5,1,_maxLT),INDEX(elecCnU,1,4)*allOnes,tpSurvCnU)</f>
        <v>4223.1340108502018</v>
      </c>
      <c r="K128" s="39">
        <f ca="1">SUMPRODUCT(OFFSET(tConvElecCnU,0,6,1,_maxLT),INDEX(elecCnU,1,4)*allOnes,tpSurvCnU)</f>
        <v>4201.4817029699125</v>
      </c>
      <c r="L128" s="39">
        <f ca="1">SUMPRODUCT(OFFSET(tConvElecCnU,0,7,1,_maxLT),INDEX(elecCnU,1,4)*allOnes,tpSurvCnU)</f>
        <v>4179.5174865201234</v>
      </c>
      <c r="M128" s="39">
        <f ca="1">SUMPRODUCT(OFFSET(tConvElecCnU,0,8,1,_maxLT),INDEX(elecCnU,1,4)*allOnes,tpSurvCnU)</f>
        <v>4161.705326157653</v>
      </c>
      <c r="N128" s="39">
        <f ca="1">SUMPRODUCT(OFFSET(tConvElecCnU,0,9,1,_maxLT),INDEX(elecCnU,1,4)*allOnes,tpSurvCnU)</f>
        <v>4149.1471865461126</v>
      </c>
      <c r="O128" s="39">
        <f ca="1">SUMPRODUCT(OFFSET(tConvElecCnU,0,10,1,_maxLT),INDEX(elecCnU,1,4)*allOnes,tpSurvCnU)</f>
        <v>4139.7760602806702</v>
      </c>
      <c r="P128" s="39">
        <f ca="1">SUMPRODUCT(OFFSET(tConvElecCnU,0,11,1,_maxLT),INDEX(elecCnU,1,4)*allOnes,tpSurvCnU)</f>
        <v>4131.7760040666799</v>
      </c>
      <c r="Q128" s="39">
        <f ca="1">SUMPRODUCT(OFFSET(tConvElecCnU,0,12,1,_maxLT),INDEX(elecCnU,1,4)*allOnes,tpSurvCnU)</f>
        <v>4125.7680970813935</v>
      </c>
      <c r="R128" s="39">
        <f ca="1">SUMPRODUCT(OFFSET(tConvElecCnU,0,13,1,_maxLT),INDEX(elecCnU,1,4)*allOnes,tpSurvCnU)</f>
        <v>4121.1078754996024</v>
      </c>
      <c r="S128" s="39">
        <f ca="1">SUMPRODUCT(OFFSET(tConvElecCnU,0,14,1,_maxLT),INDEX(elecCnU,1,4)*allOnes,tpSurvCnU)</f>
        <v>4120.1570819873259</v>
      </c>
      <c r="T128" s="39">
        <f ca="1">SUMPRODUCT(OFFSET(tConvElecCnU,0,15,1,_maxLT),INDEX(elecCnU,1,4)*allOnes,tpSurvCnU)</f>
        <v>4120.8956709934846</v>
      </c>
      <c r="U128" s="39">
        <f ca="1">SUMPRODUCT(OFFSET(tConvElecCnU,0,16,1,_maxLT),INDEX(elecCnU,1,4)*allOnes,tpSurvCnU)</f>
        <v>4122.2003884088972</v>
      </c>
      <c r="V128" s="39">
        <f ca="1">SUMPRODUCT(OFFSET(tConvElecCnU,0,17,1,_maxLT),INDEX(elecCnU,1,4)*allOnes,tpSurvCnU)</f>
        <v>4124.2209646064375</v>
      </c>
      <c r="W128" s="39">
        <f ca="1">SUMPRODUCT(OFFSET(tConvElecCnU,0,18,1,_maxLT),INDEX(elecCnU,1,4)*allOnes,tpSurvCnU)</f>
        <v>4126.1684925435002</v>
      </c>
      <c r="X128" s="39">
        <f ca="1">SUMPRODUCT(OFFSET(tConvElecCnU,0,19,1,_maxLT),INDEX(elecCnU,1,4)*allOnes,tpSurvCnU)</f>
        <v>4127.7859409827106</v>
      </c>
      <c r="Y128" s="39">
        <f ca="1">SUMPRODUCT(OFFSET(tConvElecCnU,0,20,1,_maxLT),INDEX(elecCnU,1,4)*allOnes,tpSurvCnU)</f>
        <v>4128.869537332027</v>
      </c>
      <c r="Z128" s="39">
        <f ca="1">SUMPRODUCT(OFFSET(tConvElecCnU,0,21,1,_maxLT),INDEX(elecCnU,1,4)*allOnes,tpSurvCnU)</f>
        <v>4129.6157538887373</v>
      </c>
      <c r="AA128" s="39">
        <f ca="1">SUMPRODUCT(OFFSET(tConvElecCnU,0,22,1,_maxLT),INDEX(elecCnU,1,4)*allOnes,tpSurvCnU)</f>
        <v>4129.6157538887373</v>
      </c>
      <c r="AB128" s="39">
        <f ca="1">SUMPRODUCT(OFFSET(tConvElecCnU,0,23,1,_maxLT),INDEX(elecCnU,1,4)*allOnes,tpSurvCnU)</f>
        <v>4129.6157538887373</v>
      </c>
      <c r="AC128" s="39">
        <f ca="1">SUMPRODUCT(OFFSET(tConvElecCnU,0,24,1,_maxLT),INDEX(elecCnU,1,4)*allOnes,tpSurvCnU)</f>
        <v>4129.6157538887373</v>
      </c>
      <c r="AD128" s="39">
        <f ca="1">SUMPRODUCT(OFFSET(tConvElecCnU,0,25,1,_maxLT),INDEX(elecCnU,1,4)*allOnes,tpSurvCnU)</f>
        <v>4129.6157538887373</v>
      </c>
      <c r="AE128" s="39">
        <f ca="1">SUMPRODUCT(OFFSET(tConvElecCnU,0,26,1,_maxLT),INDEX(elecCnU,1,4)*allOnes,tpSurvCnU)</f>
        <v>4129.6157538887373</v>
      </c>
      <c r="AF128" s="39">
        <f ca="1">SUMPRODUCT(OFFSET(tConvElecCnU,0,27,1,_maxLT),INDEX(elecCnU,1,4)*allOnes,tpSurvCnU)</f>
        <v>4129.6157538887373</v>
      </c>
      <c r="AG128" s="39">
        <f ca="1">SUMPRODUCT(OFFSET(tConvElecCnU,0,28,1,_maxLT),INDEX(elecCnU,1,4)*allOnes,tpSurvCnU)</f>
        <v>4129.6157538887373</v>
      </c>
      <c r="AH128" s="39">
        <f ca="1">SUMPRODUCT(OFFSET(tConvElecCnU,0,29,1,_maxLT),INDEX(elecCnU,1,4)*allOnes,tpSurvCnU)</f>
        <v>4129.6157538887373</v>
      </c>
      <c r="AI128" s="39">
        <f ca="1">SUMPRODUCT(OFFSET(tConvElecCnU,0,30,1,_maxLT),INDEX(elecCnU,1,4)*allOnes,tpSurvCnU)</f>
        <v>4129.6157538887373</v>
      </c>
      <c r="AJ128" s="39">
        <f ca="1">SUMPRODUCT(OFFSET(tConvElecCnU,0,31,1,_maxLT),INDEX(elecCnU,1,4)*allOnes,tpSurvCnU)</f>
        <v>4129.6157538887373</v>
      </c>
      <c r="AK128" s="39">
        <f ca="1">SUMPRODUCT(OFFSET(tConvElecCnU,0,32,1,_maxLT),INDEX(elecCnU,1,4)*allOnes,tpSurvCnU)</f>
        <v>4129.6157538887373</v>
      </c>
      <c r="AL128" s="40">
        <f ca="1">SUMPRODUCT(OFFSET(tConvElecCnU,0,33,1,_maxLT),INDEX(elecCnU,1,4)*allOnes,tpSurvCnU)</f>
        <v>4129.6157538887373</v>
      </c>
      <c r="AM128" s="10"/>
    </row>
    <row r="129" spans="2:39">
      <c r="B129" s="10"/>
      <c r="C129" s="57" t="str">
        <f>"EL 4: " &amp; INDEX(_doName,4,5)</f>
        <v>EL 4: EL 4</v>
      </c>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3"/>
      <c r="AM129" s="10"/>
    </row>
    <row r="130" spans="2:39">
      <c r="B130" s="10"/>
      <c r="C130" s="16" t="s">
        <v>69</v>
      </c>
      <c r="D130" s="12" t="str">
        <f>_yearDol &amp; "$"</f>
        <v>2015$</v>
      </c>
      <c r="E130" s="13">
        <f t="array" ref="E130:AL130">INDEX(mspCnU,1,5)*tPIdxAll + INDEX(instCnU,1,5) + IF(bESav,SUMPRODUCT(dFactor,tpSurvCnU,INDEX(mrCnU,1,5)*allOnes),0)</f>
        <v>3850.15970260222</v>
      </c>
      <c r="F130" s="13">
        <v>3850.15970260222</v>
      </c>
      <c r="G130" s="13">
        <v>3850.15970260222</v>
      </c>
      <c r="H130" s="13">
        <v>3850.15970260222</v>
      </c>
      <c r="I130" s="13">
        <v>3850.15970260222</v>
      </c>
      <c r="J130" s="13">
        <v>3850.15970260222</v>
      </c>
      <c r="K130" s="13">
        <v>3850.15970260222</v>
      </c>
      <c r="L130" s="13">
        <v>3850.15970260222</v>
      </c>
      <c r="M130" s="13">
        <v>3850.15970260222</v>
      </c>
      <c r="N130" s="13">
        <v>3850.15970260222</v>
      </c>
      <c r="O130" s="13">
        <v>3850.15970260222</v>
      </c>
      <c r="P130" s="13">
        <v>3850.15970260222</v>
      </c>
      <c r="Q130" s="13">
        <v>3850.15970260222</v>
      </c>
      <c r="R130" s="13">
        <v>3850.15970260222</v>
      </c>
      <c r="S130" s="13">
        <v>3850.15970260222</v>
      </c>
      <c r="T130" s="13">
        <v>3850.15970260222</v>
      </c>
      <c r="U130" s="13">
        <v>3850.15970260222</v>
      </c>
      <c r="V130" s="13">
        <v>3850.15970260222</v>
      </c>
      <c r="W130" s="13">
        <v>3850.15970260222</v>
      </c>
      <c r="X130" s="13">
        <v>3850.15970260222</v>
      </c>
      <c r="Y130" s="13">
        <v>3850.15970260222</v>
      </c>
      <c r="Z130" s="13">
        <v>3850.15970260222</v>
      </c>
      <c r="AA130" s="13">
        <v>3850.15970260222</v>
      </c>
      <c r="AB130" s="13">
        <v>3850.15970260222</v>
      </c>
      <c r="AC130" s="13">
        <v>3850.15970260222</v>
      </c>
      <c r="AD130" s="13">
        <v>3850.15970260222</v>
      </c>
      <c r="AE130" s="13">
        <v>3850.15970260222</v>
      </c>
      <c r="AF130" s="13">
        <v>3850.15970260222</v>
      </c>
      <c r="AG130" s="13">
        <v>3850.15970260222</v>
      </c>
      <c r="AH130" s="13">
        <v>3850.15970260222</v>
      </c>
      <c r="AI130" s="13">
        <v>3850.15970260222</v>
      </c>
      <c r="AJ130" s="13">
        <v>3850.15970260222</v>
      </c>
      <c r="AK130" s="13">
        <v>3850.15970260222</v>
      </c>
      <c r="AL130" s="56">
        <v>3850.15970260222</v>
      </c>
      <c r="AM130" s="10"/>
    </row>
    <row r="131" spans="2:39">
      <c r="B131" s="10"/>
      <c r="C131" s="16" t="str">
        <f>zEO&amp;" Costs"</f>
        <v>Operating Costs</v>
      </c>
      <c r="D131" s="12" t="str">
        <f>_yearDol &amp; "$"</f>
        <v>2015$</v>
      </c>
      <c r="E131" s="13">
        <f t="array" aca="1" ref="E131:AL131" ca="1">(tlccEFuElecbc4) + IF(bOSav,SUMPRODUCT(dFactor,tpSurvCnU,INDEX(mrCnU,1,5)*allOnes),0)</f>
        <v>25347.715564952447</v>
      </c>
      <c r="F131" s="13">
        <f ca="1"/>
        <v>25563.902200405057</v>
      </c>
      <c r="G131" s="13">
        <f ca="1"/>
        <v>25772.280187544922</v>
      </c>
      <c r="H131" s="13">
        <f ca="1"/>
        <v>25956.453629116488</v>
      </c>
      <c r="I131" s="13">
        <f ca="1"/>
        <v>26119.893456600668</v>
      </c>
      <c r="J131" s="13">
        <f ca="1"/>
        <v>26284.384305289099</v>
      </c>
      <c r="K131" s="13">
        <f ca="1"/>
        <v>26449.933093646614</v>
      </c>
      <c r="L131" s="13">
        <f ca="1"/>
        <v>26616.546786820967</v>
      </c>
      <c r="M131" s="13">
        <f ca="1"/>
        <v>26784.232396965701</v>
      </c>
      <c r="N131" s="13">
        <f ca="1"/>
        <v>26952.996983565539</v>
      </c>
      <c r="O131" s="13">
        <f ca="1"/>
        <v>27122.847653763736</v>
      </c>
      <c r="P131" s="13">
        <f ca="1"/>
        <v>27293.791562692084</v>
      </c>
      <c r="Q131" s="13">
        <f ca="1"/>
        <v>27465.835913803214</v>
      </c>
      <c r="R131" s="13">
        <f ca="1"/>
        <v>27638.987959204987</v>
      </c>
      <c r="S131" s="13">
        <f ca="1"/>
        <v>27813.254999997484</v>
      </c>
      <c r="T131" s="13">
        <f ca="1"/>
        <v>27988.644386612465</v>
      </c>
      <c r="U131" s="13">
        <f ca="1"/>
        <v>28165.163519154994</v>
      </c>
      <c r="V131" s="13">
        <f ca="1"/>
        <v>28342.819847747607</v>
      </c>
      <c r="W131" s="13">
        <f ca="1"/>
        <v>28521.620872876949</v>
      </c>
      <c r="X131" s="13">
        <f ca="1"/>
        <v>28701.574145742889</v>
      </c>
      <c r="Y131" s="13">
        <f ca="1"/>
        <v>28882.687268609996</v>
      </c>
      <c r="Z131" s="13">
        <f ca="1"/>
        <v>29064.96789516159</v>
      </c>
      <c r="AA131" s="13">
        <f ca="1"/>
        <v>29248.423730856332</v>
      </c>
      <c r="AB131" s="13">
        <f ca="1"/>
        <v>29433.062533287335</v>
      </c>
      <c r="AC131" s="13">
        <f ca="1"/>
        <v>29618.892112543675</v>
      </c>
      <c r="AD131" s="13">
        <f ca="1"/>
        <v>29805.920331574773</v>
      </c>
      <c r="AE131" s="13">
        <f ca="1"/>
        <v>29994.155106557053</v>
      </c>
      <c r="AF131" s="13">
        <f ca="1"/>
        <v>30183.604407263454</v>
      </c>
      <c r="AG131" s="13">
        <f ca="1"/>
        <v>30374.27625743534</v>
      </c>
      <c r="AH131" s="13">
        <f ca="1"/>
        <v>30566.178735157278</v>
      </c>
      <c r="AI131" s="13">
        <f ca="1"/>
        <v>30759.319973234316</v>
      </c>
      <c r="AJ131" s="13">
        <f ca="1"/>
        <v>30953.70815957203</v>
      </c>
      <c r="AK131" s="13">
        <f ca="1"/>
        <v>31149.3515375592</v>
      </c>
      <c r="AL131" s="56">
        <f ca="1"/>
        <v>31346.258406453311</v>
      </c>
      <c r="AM131" s="10"/>
    </row>
    <row r="132" spans="2:39">
      <c r="B132" s="10"/>
      <c r="C132" s="28" t="str">
        <f>INDEX(_fuel,1)</f>
        <v>Electricity</v>
      </c>
      <c r="D132" s="12" t="str">
        <f>_yearDol &amp; "$"</f>
        <v>2015$</v>
      </c>
      <c r="E132" s="13">
        <f ca="1">SUMPRODUCT(dFactor,tpSurvCnU,INDEX(elecCnU,1,5)*allOnes,OFFSET(tPrcElec,0,0,1,_maxLT))</f>
        <v>25347.715564952447</v>
      </c>
      <c r="F132" s="13">
        <f ca="1">SUMPRODUCT(dFactor,tpSurvCnU,INDEX(elecCnU,1,5)*allOnes,OFFSET(tPrcElec,0,1,1,_maxLT))</f>
        <v>25563.902200405057</v>
      </c>
      <c r="G132" s="13">
        <f ca="1">SUMPRODUCT(dFactor,tpSurvCnU,INDEX(elecCnU,1,5)*allOnes,OFFSET(tPrcElec,0,2,1,_maxLT))</f>
        <v>25772.280187544922</v>
      </c>
      <c r="H132" s="13">
        <f ca="1">SUMPRODUCT(dFactor,tpSurvCnU,INDEX(elecCnU,1,5)*allOnes,OFFSET(tPrcElec,0,3,1,_maxLT))</f>
        <v>25956.453629116488</v>
      </c>
      <c r="I132" s="13">
        <f ca="1">SUMPRODUCT(dFactor,tpSurvCnU,INDEX(elecCnU,1,5)*allOnes,OFFSET(tPrcElec,0,4,1,_maxLT))</f>
        <v>26119.893456600668</v>
      </c>
      <c r="J132" s="13">
        <f ca="1">SUMPRODUCT(dFactor,tpSurvCnU,INDEX(elecCnU,1,5)*allOnes,OFFSET(tPrcElec,0,5,1,_maxLT))</f>
        <v>26284.384305289099</v>
      </c>
      <c r="K132" s="13">
        <f ca="1">SUMPRODUCT(dFactor,tpSurvCnU,INDEX(elecCnU,1,5)*allOnes,OFFSET(tPrcElec,0,6,1,_maxLT))</f>
        <v>26449.933093646614</v>
      </c>
      <c r="L132" s="13">
        <f ca="1">SUMPRODUCT(dFactor,tpSurvCnU,INDEX(elecCnU,1,5)*allOnes,OFFSET(tPrcElec,0,7,1,_maxLT))</f>
        <v>26616.546786820967</v>
      </c>
      <c r="M132" s="13">
        <f ca="1">SUMPRODUCT(dFactor,tpSurvCnU,INDEX(elecCnU,1,5)*allOnes,OFFSET(tPrcElec,0,8,1,_maxLT))</f>
        <v>26784.232396965701</v>
      </c>
      <c r="N132" s="13">
        <f ca="1">SUMPRODUCT(dFactor,tpSurvCnU,INDEX(elecCnU,1,5)*allOnes,OFFSET(tPrcElec,0,9,1,_maxLT))</f>
        <v>26952.996983565539</v>
      </c>
      <c r="O132" s="13">
        <f ca="1">SUMPRODUCT(dFactor,tpSurvCnU,INDEX(elecCnU,1,5)*allOnes,OFFSET(tPrcElec,0,10,1,_maxLT))</f>
        <v>27122.847653763736</v>
      </c>
      <c r="P132" s="13">
        <f ca="1">SUMPRODUCT(dFactor,tpSurvCnU,INDEX(elecCnU,1,5)*allOnes,OFFSET(tPrcElec,0,11,1,_maxLT))</f>
        <v>27293.791562692084</v>
      </c>
      <c r="Q132" s="13">
        <f ca="1">SUMPRODUCT(dFactor,tpSurvCnU,INDEX(elecCnU,1,5)*allOnes,OFFSET(tPrcElec,0,12,1,_maxLT))</f>
        <v>27465.835913803214</v>
      </c>
      <c r="R132" s="13">
        <f ca="1">SUMPRODUCT(dFactor,tpSurvCnU,INDEX(elecCnU,1,5)*allOnes,OFFSET(tPrcElec,0,13,1,_maxLT))</f>
        <v>27638.987959204987</v>
      </c>
      <c r="S132" s="13">
        <f ca="1">SUMPRODUCT(dFactor,tpSurvCnU,INDEX(elecCnU,1,5)*allOnes,OFFSET(tPrcElec,0,14,1,_maxLT))</f>
        <v>27813.254999997484</v>
      </c>
      <c r="T132" s="13">
        <f ca="1">SUMPRODUCT(dFactor,tpSurvCnU,INDEX(elecCnU,1,5)*allOnes,OFFSET(tPrcElec,0,15,1,_maxLT))</f>
        <v>27988.644386612465</v>
      </c>
      <c r="U132" s="13">
        <f ca="1">SUMPRODUCT(dFactor,tpSurvCnU,INDEX(elecCnU,1,5)*allOnes,OFFSET(tPrcElec,0,16,1,_maxLT))</f>
        <v>28165.163519154994</v>
      </c>
      <c r="V132" s="13">
        <f ca="1">SUMPRODUCT(dFactor,tpSurvCnU,INDEX(elecCnU,1,5)*allOnes,OFFSET(tPrcElec,0,17,1,_maxLT))</f>
        <v>28342.819847747607</v>
      </c>
      <c r="W132" s="13">
        <f ca="1">SUMPRODUCT(dFactor,tpSurvCnU,INDEX(elecCnU,1,5)*allOnes,OFFSET(tPrcElec,0,18,1,_maxLT))</f>
        <v>28521.620872876949</v>
      </c>
      <c r="X132" s="13">
        <f ca="1">SUMPRODUCT(dFactor,tpSurvCnU,INDEX(elecCnU,1,5)*allOnes,OFFSET(tPrcElec,0,19,1,_maxLT))</f>
        <v>28701.574145742889</v>
      </c>
      <c r="Y132" s="13">
        <f ca="1">SUMPRODUCT(dFactor,tpSurvCnU,INDEX(elecCnU,1,5)*allOnes,OFFSET(tPrcElec,0,20,1,_maxLT))</f>
        <v>28882.687268609996</v>
      </c>
      <c r="Z132" s="13">
        <f ca="1">SUMPRODUCT(dFactor,tpSurvCnU,INDEX(elecCnU,1,5)*allOnes,OFFSET(tPrcElec,0,21,1,_maxLT))</f>
        <v>29064.96789516159</v>
      </c>
      <c r="AA132" s="13">
        <f ca="1">SUMPRODUCT(dFactor,tpSurvCnU,INDEX(elecCnU,1,5)*allOnes,OFFSET(tPrcElec,0,22,1,_maxLT))</f>
        <v>29248.423730856332</v>
      </c>
      <c r="AB132" s="13">
        <f ca="1">SUMPRODUCT(dFactor,tpSurvCnU,INDEX(elecCnU,1,5)*allOnes,OFFSET(tPrcElec,0,23,1,_maxLT))</f>
        <v>29433.062533287335</v>
      </c>
      <c r="AC132" s="13">
        <f ca="1">SUMPRODUCT(dFactor,tpSurvCnU,INDEX(elecCnU,1,5)*allOnes,OFFSET(tPrcElec,0,24,1,_maxLT))</f>
        <v>29618.892112543675</v>
      </c>
      <c r="AD132" s="13">
        <f ca="1">SUMPRODUCT(dFactor,tpSurvCnU,INDEX(elecCnU,1,5)*allOnes,OFFSET(tPrcElec,0,25,1,_maxLT))</f>
        <v>29805.920331574773</v>
      </c>
      <c r="AE132" s="13">
        <f ca="1">SUMPRODUCT(dFactor,tpSurvCnU,INDEX(elecCnU,1,5)*allOnes,OFFSET(tPrcElec,0,26,1,_maxLT))</f>
        <v>29994.155106557053</v>
      </c>
      <c r="AF132" s="13">
        <f ca="1">SUMPRODUCT(dFactor,tpSurvCnU,INDEX(elecCnU,1,5)*allOnes,OFFSET(tPrcElec,0,27,1,_maxLT))</f>
        <v>30183.604407263454</v>
      </c>
      <c r="AG132" s="13">
        <f ca="1">SUMPRODUCT(dFactor,tpSurvCnU,INDEX(elecCnU,1,5)*allOnes,OFFSET(tPrcElec,0,28,1,_maxLT))</f>
        <v>30374.27625743534</v>
      </c>
      <c r="AH132" s="13">
        <f ca="1">SUMPRODUCT(dFactor,tpSurvCnU,INDEX(elecCnU,1,5)*allOnes,OFFSET(tPrcElec,0,29,1,_maxLT))</f>
        <v>30566.178735157278</v>
      </c>
      <c r="AI132" s="13">
        <f ca="1">SUMPRODUCT(dFactor,tpSurvCnU,INDEX(elecCnU,1,5)*allOnes,OFFSET(tPrcElec,0,30,1,_maxLT))</f>
        <v>30759.319973234316</v>
      </c>
      <c r="AJ132" s="13">
        <f ca="1">SUMPRODUCT(dFactor,tpSurvCnU,INDEX(elecCnU,1,5)*allOnes,OFFSET(tPrcElec,0,31,1,_maxLT))</f>
        <v>30953.70815957203</v>
      </c>
      <c r="AK132" s="13">
        <f ca="1">SUMPRODUCT(dFactor,tpSurvCnU,INDEX(elecCnU,1,5)*allOnes,OFFSET(tPrcElec,0,32,1,_maxLT))</f>
        <v>31149.3515375592</v>
      </c>
      <c r="AL132" s="56">
        <f ca="1">SUMPRODUCT(dFactor,tpSurvCnU,INDEX(elecCnU,1,5)*allOnes,OFFSET(tPrcElec,0,33,1,_maxLT))</f>
        <v>31346.258406453311</v>
      </c>
      <c r="AM132" s="10"/>
    </row>
    <row r="133" spans="2:39">
      <c r="B133" s="10"/>
      <c r="C133" s="16" t="s">
        <v>79</v>
      </c>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5"/>
      <c r="AM133" s="10"/>
    </row>
    <row r="134" spans="2:39">
      <c r="B134" s="10"/>
      <c r="C134" s="28" t="str">
        <f>INDEX(_fuel,1)</f>
        <v>Electricity</v>
      </c>
      <c r="D134" s="12" t="s">
        <v>83</v>
      </c>
      <c r="E134" s="39">
        <f ca="1">SUMPRODUCT(OFFSET(tConvElecCnU,0,0,1,_maxLT),INDEX(elecCnU,1,5)*allOnes,tpSurvCnU)</f>
        <v>4211.0114856752552</v>
      </c>
      <c r="F134" s="39">
        <f ca="1">SUMPRODUCT(OFFSET(tConvElecCnU,0,1,1,_maxLT),INDEX(elecCnU,1,5)*allOnes,tpSurvCnU)</f>
        <v>4169.4122675299532</v>
      </c>
      <c r="G134" s="39">
        <f ca="1">SUMPRODUCT(OFFSET(tConvElecCnU,0,2,1,_maxLT),INDEX(elecCnU,1,5)*allOnes,tpSurvCnU)</f>
        <v>4132.3930782212919</v>
      </c>
      <c r="H134" s="39">
        <f ca="1">SUMPRODUCT(OFFSET(tConvElecCnU,0,3,1,_maxLT),INDEX(elecCnU,1,5)*allOnes,tpSurvCnU)</f>
        <v>4096.8329125297587</v>
      </c>
      <c r="I134" s="39">
        <f ca="1">SUMPRODUCT(OFFSET(tConvElecCnU,0,4,1,_maxLT),INDEX(elecCnU,1,5)*allOnes,tpSurvCnU)</f>
        <v>4065.4382889592075</v>
      </c>
      <c r="J134" s="39">
        <f ca="1">SUMPRODUCT(OFFSET(tConvElecCnU,0,5,1,_maxLT),INDEX(elecCnU,1,5)*allOnes,tpSurvCnU)</f>
        <v>4040.8017922699819</v>
      </c>
      <c r="K134" s="39">
        <f ca="1">SUMPRODUCT(OFFSET(tConvElecCnU,0,6,1,_maxLT),INDEX(elecCnU,1,5)*allOnes,tpSurvCnU)</f>
        <v>4020.0843146183947</v>
      </c>
      <c r="L134" s="39">
        <f ca="1">SUMPRODUCT(OFFSET(tConvElecCnU,0,7,1,_maxLT),INDEX(elecCnU,1,5)*allOnes,tpSurvCnU)</f>
        <v>3999.0683949321879</v>
      </c>
      <c r="M134" s="39">
        <f ca="1">SUMPRODUCT(OFFSET(tConvElecCnU,0,8,1,_maxLT),INDEX(elecCnU,1,5)*allOnes,tpSurvCnU)</f>
        <v>3982.0252678772686</v>
      </c>
      <c r="N134" s="39">
        <f ca="1">SUMPRODUCT(OFFSET(tConvElecCnU,0,9,1,_maxLT),INDEX(elecCnU,1,5)*allOnes,tpSurvCnU)</f>
        <v>3970.0093212083925</v>
      </c>
      <c r="O134" s="39">
        <f ca="1">SUMPRODUCT(OFFSET(tConvElecCnU,0,10,1,_maxLT),INDEX(elecCnU,1,5)*allOnes,tpSurvCnU)</f>
        <v>3961.0427897860645</v>
      </c>
      <c r="P134" s="39">
        <f ca="1">SUMPRODUCT(OFFSET(tConvElecCnU,0,11,1,_maxLT),INDEX(elecCnU,1,5)*allOnes,tpSurvCnU)</f>
        <v>3953.3881329826809</v>
      </c>
      <c r="Q134" s="39">
        <f ca="1">SUMPRODUCT(OFFSET(tConvElecCnU,0,12,1,_maxLT),INDEX(elecCnU,1,5)*allOnes,tpSurvCnU)</f>
        <v>3947.6396151161957</v>
      </c>
      <c r="R134" s="39">
        <f ca="1">SUMPRODUCT(OFFSET(tConvElecCnU,0,13,1,_maxLT),INDEX(elecCnU,1,5)*allOnes,tpSurvCnU)</f>
        <v>3943.1805968440558</v>
      </c>
      <c r="S134" s="39">
        <f ca="1">SUMPRODUCT(OFFSET(tConvElecCnU,0,14,1,_maxLT),INDEX(elecCnU,1,5)*allOnes,tpSurvCnU)</f>
        <v>3942.2708534831736</v>
      </c>
      <c r="T134" s="39">
        <f ca="1">SUMPRODUCT(OFFSET(tConvElecCnU,0,15,1,_maxLT),INDEX(elecCnU,1,5)*allOnes,tpSurvCnU)</f>
        <v>3942.9775541874778</v>
      </c>
      <c r="U134" s="39">
        <f ca="1">SUMPRODUCT(OFFSET(tConvElecCnU,0,16,1,_maxLT),INDEX(elecCnU,1,5)*allOnes,tpSurvCnU)</f>
        <v>3944.2259409204253</v>
      </c>
      <c r="V134" s="39">
        <f ca="1">SUMPRODUCT(OFFSET(tConvElecCnU,0,17,1,_maxLT),INDEX(elecCnU,1,5)*allOnes,tpSurvCnU)</f>
        <v>3946.1592795024981</v>
      </c>
      <c r="W134" s="39">
        <f ca="1">SUMPRODUCT(OFFSET(tConvElecCnU,0,18,1,_maxLT),INDEX(elecCnU,1,5)*allOnes,tpSurvCnU)</f>
        <v>3948.0227236551955</v>
      </c>
      <c r="X134" s="39">
        <f ca="1">SUMPRODUCT(OFFSET(tConvElecCnU,0,19,1,_maxLT),INDEX(elecCnU,1,5)*allOnes,tpSurvCnU)</f>
        <v>3949.5703393679037</v>
      </c>
      <c r="Y134" s="39">
        <f ca="1">SUMPRODUCT(OFFSET(tConvElecCnU,0,20,1,_maxLT),INDEX(elecCnU,1,5)*allOnes,tpSurvCnU)</f>
        <v>3950.6071518534104</v>
      </c>
      <c r="Z134" s="39">
        <f ca="1">SUMPRODUCT(OFFSET(tConvElecCnU,0,21,1,_maxLT),INDEX(elecCnU,1,5)*allOnes,tpSurvCnU)</f>
        <v>3951.3211507916467</v>
      </c>
      <c r="AA134" s="39">
        <f ca="1">SUMPRODUCT(OFFSET(tConvElecCnU,0,22,1,_maxLT),INDEX(elecCnU,1,5)*allOnes,tpSurvCnU)</f>
        <v>3951.3211507916467</v>
      </c>
      <c r="AB134" s="39">
        <f ca="1">SUMPRODUCT(OFFSET(tConvElecCnU,0,23,1,_maxLT),INDEX(elecCnU,1,5)*allOnes,tpSurvCnU)</f>
        <v>3951.3211507916467</v>
      </c>
      <c r="AC134" s="39">
        <f ca="1">SUMPRODUCT(OFFSET(tConvElecCnU,0,24,1,_maxLT),INDEX(elecCnU,1,5)*allOnes,tpSurvCnU)</f>
        <v>3951.3211507916467</v>
      </c>
      <c r="AD134" s="39">
        <f ca="1">SUMPRODUCT(OFFSET(tConvElecCnU,0,25,1,_maxLT),INDEX(elecCnU,1,5)*allOnes,tpSurvCnU)</f>
        <v>3951.3211507916467</v>
      </c>
      <c r="AE134" s="39">
        <f ca="1">SUMPRODUCT(OFFSET(tConvElecCnU,0,26,1,_maxLT),INDEX(elecCnU,1,5)*allOnes,tpSurvCnU)</f>
        <v>3951.3211507916467</v>
      </c>
      <c r="AF134" s="39">
        <f ca="1">SUMPRODUCT(OFFSET(tConvElecCnU,0,27,1,_maxLT),INDEX(elecCnU,1,5)*allOnes,tpSurvCnU)</f>
        <v>3951.3211507916467</v>
      </c>
      <c r="AG134" s="39">
        <f ca="1">SUMPRODUCT(OFFSET(tConvElecCnU,0,28,1,_maxLT),INDEX(elecCnU,1,5)*allOnes,tpSurvCnU)</f>
        <v>3951.3211507916467</v>
      </c>
      <c r="AH134" s="39">
        <f ca="1">SUMPRODUCT(OFFSET(tConvElecCnU,0,29,1,_maxLT),INDEX(elecCnU,1,5)*allOnes,tpSurvCnU)</f>
        <v>3951.3211507916467</v>
      </c>
      <c r="AI134" s="39">
        <f ca="1">SUMPRODUCT(OFFSET(tConvElecCnU,0,30,1,_maxLT),INDEX(elecCnU,1,5)*allOnes,tpSurvCnU)</f>
        <v>3951.3211507916467</v>
      </c>
      <c r="AJ134" s="39">
        <f ca="1">SUMPRODUCT(OFFSET(tConvElecCnU,0,31,1,_maxLT),INDEX(elecCnU,1,5)*allOnes,tpSurvCnU)</f>
        <v>3951.3211507916467</v>
      </c>
      <c r="AK134" s="39">
        <f ca="1">SUMPRODUCT(OFFSET(tConvElecCnU,0,32,1,_maxLT),INDEX(elecCnU,1,5)*allOnes,tpSurvCnU)</f>
        <v>3951.3211507916467</v>
      </c>
      <c r="AL134" s="40">
        <f ca="1">SUMPRODUCT(OFFSET(tConvElecCnU,0,33,1,_maxLT),INDEX(elecCnU,1,5)*allOnes,tpSurvCnU)</f>
        <v>3951.3211507916467</v>
      </c>
      <c r="AM134" s="10"/>
    </row>
    <row r="135" spans="2:39">
      <c r="B135" s="10"/>
      <c r="C135" s="57" t="str">
        <f>"EL 5: " &amp; INDEX(_doName,4,6)</f>
        <v>EL 5: EL 5</v>
      </c>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3"/>
      <c r="AM135" s="10"/>
    </row>
    <row r="136" spans="2:39">
      <c r="B136" s="10"/>
      <c r="C136" s="16" t="s">
        <v>69</v>
      </c>
      <c r="D136" s="12" t="str">
        <f>_yearDol &amp; "$"</f>
        <v>2015$</v>
      </c>
      <c r="E136" s="13">
        <f t="array" ref="E136:AL136">INDEX(mspCnU,1,6)*tPIdxAll + INDEX(instCnU,1,6) + IF(bESav,SUMPRODUCT(dFactor,tpSurvCnU,INDEX(mrCnU,1,6)*allOnes),0)</f>
        <v>4270.3221718756804</v>
      </c>
      <c r="F136" s="13">
        <v>4270.3221718756804</v>
      </c>
      <c r="G136" s="13">
        <v>4270.3221718756804</v>
      </c>
      <c r="H136" s="13">
        <v>4270.3221718756804</v>
      </c>
      <c r="I136" s="13">
        <v>4270.3221718756804</v>
      </c>
      <c r="J136" s="13">
        <v>4270.3221718756804</v>
      </c>
      <c r="K136" s="13">
        <v>4270.3221718756804</v>
      </c>
      <c r="L136" s="13">
        <v>4270.3221718756804</v>
      </c>
      <c r="M136" s="13">
        <v>4270.3221718756804</v>
      </c>
      <c r="N136" s="13">
        <v>4270.3221718756804</v>
      </c>
      <c r="O136" s="13">
        <v>4270.3221718756804</v>
      </c>
      <c r="P136" s="13">
        <v>4270.3221718756804</v>
      </c>
      <c r="Q136" s="13">
        <v>4270.3221718756804</v>
      </c>
      <c r="R136" s="13">
        <v>4270.3221718756804</v>
      </c>
      <c r="S136" s="13">
        <v>4270.3221718756804</v>
      </c>
      <c r="T136" s="13">
        <v>4270.3221718756804</v>
      </c>
      <c r="U136" s="13">
        <v>4270.3221718756804</v>
      </c>
      <c r="V136" s="13">
        <v>4270.3221718756804</v>
      </c>
      <c r="W136" s="13">
        <v>4270.3221718756804</v>
      </c>
      <c r="X136" s="13">
        <v>4270.3221718756804</v>
      </c>
      <c r="Y136" s="13">
        <v>4270.3221718756804</v>
      </c>
      <c r="Z136" s="13">
        <v>4270.3221718756804</v>
      </c>
      <c r="AA136" s="13">
        <v>4270.3221718756804</v>
      </c>
      <c r="AB136" s="13">
        <v>4270.3221718756804</v>
      </c>
      <c r="AC136" s="13">
        <v>4270.3221718756804</v>
      </c>
      <c r="AD136" s="13">
        <v>4270.3221718756804</v>
      </c>
      <c r="AE136" s="13">
        <v>4270.3221718756804</v>
      </c>
      <c r="AF136" s="13">
        <v>4270.3221718756804</v>
      </c>
      <c r="AG136" s="13">
        <v>4270.3221718756804</v>
      </c>
      <c r="AH136" s="13">
        <v>4270.3221718756804</v>
      </c>
      <c r="AI136" s="13">
        <v>4270.3221718756804</v>
      </c>
      <c r="AJ136" s="13">
        <v>4270.3221718756804</v>
      </c>
      <c r="AK136" s="13">
        <v>4270.3221718756804</v>
      </c>
      <c r="AL136" s="56">
        <v>4270.3221718756804</v>
      </c>
      <c r="AM136" s="10"/>
    </row>
    <row r="137" spans="2:39">
      <c r="B137" s="10"/>
      <c r="C137" s="16" t="str">
        <f>zEO&amp;" Costs"</f>
        <v>Operating Costs</v>
      </c>
      <c r="D137" s="12" t="str">
        <f>_yearDol &amp; "$"</f>
        <v>2015$</v>
      </c>
      <c r="E137" s="13">
        <f t="array" aca="1" ref="E137:AL137" ca="1">(tlccEFuElecbc5) + IF(bOSav,SUMPRODUCT(dFactor,tpSurvCnU,INDEX(mrCnU,1,6)*allOnes),0)</f>
        <v>28915.848984115946</v>
      </c>
      <c r="F137" s="13">
        <f ca="1"/>
        <v>29162.467662123152</v>
      </c>
      <c r="G137" s="13">
        <f ca="1"/>
        <v>29400.178488264883</v>
      </c>
      <c r="H137" s="13">
        <f ca="1"/>
        <v>29610.277556550638</v>
      </c>
      <c r="I137" s="13">
        <f ca="1"/>
        <v>29796.724392653567</v>
      </c>
      <c r="J137" s="13">
        <f ca="1"/>
        <v>29984.370199541172</v>
      </c>
      <c r="K137" s="13">
        <f ca="1"/>
        <v>30173.222869573034</v>
      </c>
      <c r="L137" s="13">
        <f ca="1"/>
        <v>30363.290348362989</v>
      </c>
      <c r="M137" s="13">
        <f ca="1"/>
        <v>30554.580635147635</v>
      </c>
      <c r="N137" s="13">
        <f ca="1"/>
        <v>30747.101783157301</v>
      </c>
      <c r="O137" s="13">
        <f ca="1"/>
        <v>30940.861899989777</v>
      </c>
      <c r="P137" s="13">
        <f ca="1"/>
        <v>31135.869147986581</v>
      </c>
      <c r="Q137" s="13">
        <f ca="1"/>
        <v>31332.131744611979</v>
      </c>
      <c r="R137" s="13">
        <f ca="1"/>
        <v>31529.657962834608</v>
      </c>
      <c r="S137" s="13">
        <f ca="1"/>
        <v>31728.456131511881</v>
      </c>
      <c r="T137" s="13">
        <f ca="1"/>
        <v>31928.534635777087</v>
      </c>
      <c r="U137" s="13">
        <f ca="1"/>
        <v>32129.901917429266</v>
      </c>
      <c r="V137" s="13">
        <f ca="1"/>
        <v>32332.566475325712</v>
      </c>
      <c r="W137" s="13">
        <f ca="1"/>
        <v>32536.536865777551</v>
      </c>
      <c r="X137" s="13">
        <f ca="1"/>
        <v>32741.821702947778</v>
      </c>
      <c r="Y137" s="13">
        <f ca="1"/>
        <v>32948.429659252455</v>
      </c>
      <c r="Z137" s="13">
        <f ca="1"/>
        <v>33156.369465764408</v>
      </c>
      <c r="AA137" s="13">
        <f ca="1"/>
        <v>33365.649912620109</v>
      </c>
      <c r="AB137" s="13">
        <f ca="1"/>
        <v>33576.279849429273</v>
      </c>
      <c r="AC137" s="13">
        <f ca="1"/>
        <v>33788.268185687375</v>
      </c>
      <c r="AD137" s="13">
        <f ca="1"/>
        <v>34001.623891191244</v>
      </c>
      <c r="AE137" s="13">
        <f ca="1"/>
        <v>34216.355996457278</v>
      </c>
      <c r="AF137" s="13">
        <f ca="1"/>
        <v>34432.47359314304</v>
      </c>
      <c r="AG137" s="13">
        <f ca="1"/>
        <v>34649.985834471649</v>
      </c>
      <c r="AH137" s="13">
        <f ca="1"/>
        <v>34868.901935658978</v>
      </c>
      <c r="AI137" s="13">
        <f ca="1"/>
        <v>35089.231174344444</v>
      </c>
      <c r="AJ137" s="13">
        <f ca="1"/>
        <v>35310.982891024141</v>
      </c>
      <c r="AK137" s="13">
        <f ca="1"/>
        <v>35534.166489487783</v>
      </c>
      <c r="AL137" s="56">
        <f ca="1"/>
        <v>35758.791437258231</v>
      </c>
      <c r="AM137" s="10"/>
    </row>
    <row r="138" spans="2:39">
      <c r="B138" s="10"/>
      <c r="C138" s="28" t="str">
        <f>INDEX(_fuel,1)</f>
        <v>Electricity</v>
      </c>
      <c r="D138" s="12" t="str">
        <f>_yearDol &amp; "$"</f>
        <v>2015$</v>
      </c>
      <c r="E138" s="13">
        <f ca="1">SUMPRODUCT(dFactor,tpSurvCnU,INDEX(elecCnU,1,6)*allOnes,OFFSET(tPrcElec,0,0,1,_maxLT))</f>
        <v>28915.848984115946</v>
      </c>
      <c r="F138" s="13">
        <f ca="1">SUMPRODUCT(dFactor,tpSurvCnU,INDEX(elecCnU,1,6)*allOnes,OFFSET(tPrcElec,0,1,1,_maxLT))</f>
        <v>29162.467662123152</v>
      </c>
      <c r="G138" s="13">
        <f ca="1">SUMPRODUCT(dFactor,tpSurvCnU,INDEX(elecCnU,1,6)*allOnes,OFFSET(tPrcElec,0,2,1,_maxLT))</f>
        <v>29400.178488264883</v>
      </c>
      <c r="H138" s="13">
        <f ca="1">SUMPRODUCT(dFactor,tpSurvCnU,INDEX(elecCnU,1,6)*allOnes,OFFSET(tPrcElec,0,3,1,_maxLT))</f>
        <v>29610.277556550638</v>
      </c>
      <c r="I138" s="13">
        <f ca="1">SUMPRODUCT(dFactor,tpSurvCnU,INDEX(elecCnU,1,6)*allOnes,OFFSET(tPrcElec,0,4,1,_maxLT))</f>
        <v>29796.724392653567</v>
      </c>
      <c r="J138" s="13">
        <f ca="1">SUMPRODUCT(dFactor,tpSurvCnU,INDEX(elecCnU,1,6)*allOnes,OFFSET(tPrcElec,0,5,1,_maxLT))</f>
        <v>29984.370199541172</v>
      </c>
      <c r="K138" s="13">
        <f ca="1">SUMPRODUCT(dFactor,tpSurvCnU,INDEX(elecCnU,1,6)*allOnes,OFFSET(tPrcElec,0,6,1,_maxLT))</f>
        <v>30173.222869573034</v>
      </c>
      <c r="L138" s="13">
        <f ca="1">SUMPRODUCT(dFactor,tpSurvCnU,INDEX(elecCnU,1,6)*allOnes,OFFSET(tPrcElec,0,7,1,_maxLT))</f>
        <v>30363.290348362989</v>
      </c>
      <c r="M138" s="13">
        <f ca="1">SUMPRODUCT(dFactor,tpSurvCnU,INDEX(elecCnU,1,6)*allOnes,OFFSET(tPrcElec,0,8,1,_maxLT))</f>
        <v>30554.580635147635</v>
      </c>
      <c r="N138" s="13">
        <f ca="1">SUMPRODUCT(dFactor,tpSurvCnU,INDEX(elecCnU,1,6)*allOnes,OFFSET(tPrcElec,0,9,1,_maxLT))</f>
        <v>30747.101783157301</v>
      </c>
      <c r="O138" s="13">
        <f ca="1">SUMPRODUCT(dFactor,tpSurvCnU,INDEX(elecCnU,1,6)*allOnes,OFFSET(tPrcElec,0,10,1,_maxLT))</f>
        <v>30940.861899989777</v>
      </c>
      <c r="P138" s="13">
        <f ca="1">SUMPRODUCT(dFactor,tpSurvCnU,INDEX(elecCnU,1,6)*allOnes,OFFSET(tPrcElec,0,11,1,_maxLT))</f>
        <v>31135.869147986581</v>
      </c>
      <c r="Q138" s="13">
        <f ca="1">SUMPRODUCT(dFactor,tpSurvCnU,INDEX(elecCnU,1,6)*allOnes,OFFSET(tPrcElec,0,12,1,_maxLT))</f>
        <v>31332.131744611979</v>
      </c>
      <c r="R138" s="13">
        <f ca="1">SUMPRODUCT(dFactor,tpSurvCnU,INDEX(elecCnU,1,6)*allOnes,OFFSET(tPrcElec,0,13,1,_maxLT))</f>
        <v>31529.657962834608</v>
      </c>
      <c r="S138" s="13">
        <f ca="1">SUMPRODUCT(dFactor,tpSurvCnU,INDEX(elecCnU,1,6)*allOnes,OFFSET(tPrcElec,0,14,1,_maxLT))</f>
        <v>31728.456131511881</v>
      </c>
      <c r="T138" s="13">
        <f ca="1">SUMPRODUCT(dFactor,tpSurvCnU,INDEX(elecCnU,1,6)*allOnes,OFFSET(tPrcElec,0,15,1,_maxLT))</f>
        <v>31928.534635777087</v>
      </c>
      <c r="U138" s="13">
        <f ca="1">SUMPRODUCT(dFactor,tpSurvCnU,INDEX(elecCnU,1,6)*allOnes,OFFSET(tPrcElec,0,16,1,_maxLT))</f>
        <v>32129.901917429266</v>
      </c>
      <c r="V138" s="13">
        <f ca="1">SUMPRODUCT(dFactor,tpSurvCnU,INDEX(elecCnU,1,6)*allOnes,OFFSET(tPrcElec,0,17,1,_maxLT))</f>
        <v>32332.566475325712</v>
      </c>
      <c r="W138" s="13">
        <f ca="1">SUMPRODUCT(dFactor,tpSurvCnU,INDEX(elecCnU,1,6)*allOnes,OFFSET(tPrcElec,0,18,1,_maxLT))</f>
        <v>32536.536865777551</v>
      </c>
      <c r="X138" s="13">
        <f ca="1">SUMPRODUCT(dFactor,tpSurvCnU,INDEX(elecCnU,1,6)*allOnes,OFFSET(tPrcElec,0,19,1,_maxLT))</f>
        <v>32741.821702947778</v>
      </c>
      <c r="Y138" s="13">
        <f ca="1">SUMPRODUCT(dFactor,tpSurvCnU,INDEX(elecCnU,1,6)*allOnes,OFFSET(tPrcElec,0,20,1,_maxLT))</f>
        <v>32948.429659252455</v>
      </c>
      <c r="Z138" s="13">
        <f ca="1">SUMPRODUCT(dFactor,tpSurvCnU,INDEX(elecCnU,1,6)*allOnes,OFFSET(tPrcElec,0,21,1,_maxLT))</f>
        <v>33156.369465764408</v>
      </c>
      <c r="AA138" s="13">
        <f ca="1">SUMPRODUCT(dFactor,tpSurvCnU,INDEX(elecCnU,1,6)*allOnes,OFFSET(tPrcElec,0,22,1,_maxLT))</f>
        <v>33365.649912620109</v>
      </c>
      <c r="AB138" s="13">
        <f ca="1">SUMPRODUCT(dFactor,tpSurvCnU,INDEX(elecCnU,1,6)*allOnes,OFFSET(tPrcElec,0,23,1,_maxLT))</f>
        <v>33576.279849429273</v>
      </c>
      <c r="AC138" s="13">
        <f ca="1">SUMPRODUCT(dFactor,tpSurvCnU,INDEX(elecCnU,1,6)*allOnes,OFFSET(tPrcElec,0,24,1,_maxLT))</f>
        <v>33788.268185687375</v>
      </c>
      <c r="AD138" s="13">
        <f ca="1">SUMPRODUCT(dFactor,tpSurvCnU,INDEX(elecCnU,1,6)*allOnes,OFFSET(tPrcElec,0,25,1,_maxLT))</f>
        <v>34001.623891191244</v>
      </c>
      <c r="AE138" s="13">
        <f ca="1">SUMPRODUCT(dFactor,tpSurvCnU,INDEX(elecCnU,1,6)*allOnes,OFFSET(tPrcElec,0,26,1,_maxLT))</f>
        <v>34216.355996457278</v>
      </c>
      <c r="AF138" s="13">
        <f ca="1">SUMPRODUCT(dFactor,tpSurvCnU,INDEX(elecCnU,1,6)*allOnes,OFFSET(tPrcElec,0,27,1,_maxLT))</f>
        <v>34432.47359314304</v>
      </c>
      <c r="AG138" s="13">
        <f ca="1">SUMPRODUCT(dFactor,tpSurvCnU,INDEX(elecCnU,1,6)*allOnes,OFFSET(tPrcElec,0,28,1,_maxLT))</f>
        <v>34649.985834471649</v>
      </c>
      <c r="AH138" s="13">
        <f ca="1">SUMPRODUCT(dFactor,tpSurvCnU,INDEX(elecCnU,1,6)*allOnes,OFFSET(tPrcElec,0,29,1,_maxLT))</f>
        <v>34868.901935658978</v>
      </c>
      <c r="AI138" s="13">
        <f ca="1">SUMPRODUCT(dFactor,tpSurvCnU,INDEX(elecCnU,1,6)*allOnes,OFFSET(tPrcElec,0,30,1,_maxLT))</f>
        <v>35089.231174344444</v>
      </c>
      <c r="AJ138" s="13">
        <f ca="1">SUMPRODUCT(dFactor,tpSurvCnU,INDEX(elecCnU,1,6)*allOnes,OFFSET(tPrcElec,0,31,1,_maxLT))</f>
        <v>35310.982891024141</v>
      </c>
      <c r="AK138" s="13">
        <f ca="1">SUMPRODUCT(dFactor,tpSurvCnU,INDEX(elecCnU,1,6)*allOnes,OFFSET(tPrcElec,0,32,1,_maxLT))</f>
        <v>35534.166489487783</v>
      </c>
      <c r="AL138" s="56">
        <f ca="1">SUMPRODUCT(dFactor,tpSurvCnU,INDEX(elecCnU,1,6)*allOnes,OFFSET(tPrcElec,0,33,1,_maxLT))</f>
        <v>35758.791437258231</v>
      </c>
      <c r="AM138" s="10"/>
    </row>
    <row r="139" spans="2:39">
      <c r="B139" s="10"/>
      <c r="C139" s="16" t="s">
        <v>79</v>
      </c>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5"/>
      <c r="AM139" s="10"/>
    </row>
    <row r="140" spans="2:39">
      <c r="B140" s="10"/>
      <c r="C140" s="28" t="str">
        <f>INDEX(_fuel,1)</f>
        <v>Electricity</v>
      </c>
      <c r="D140" s="12" t="s">
        <v>83</v>
      </c>
      <c r="E140" s="39">
        <f ca="1">SUMPRODUCT(OFFSET(tConvElecCnU,0,0,1,_maxLT),INDEX(elecCnU,1,6)*allOnes,tpSurvCnU)</f>
        <v>4803.7848569882281</v>
      </c>
      <c r="F140" s="39">
        <f ca="1">SUMPRODUCT(OFFSET(tConvElecCnU,0,1,1,_maxLT),INDEX(elecCnU,1,6)*allOnes,tpSurvCnU)</f>
        <v>4756.3298227598179</v>
      </c>
      <c r="G140" s="39">
        <f ca="1">SUMPRODUCT(OFFSET(tConvElecCnU,0,2,1,_maxLT),INDEX(elecCnU,1,6)*allOnes,tpSurvCnU)</f>
        <v>4714.0995363728389</v>
      </c>
      <c r="H140" s="39">
        <f ca="1">SUMPRODUCT(OFFSET(tConvElecCnU,0,3,1,_maxLT),INDEX(elecCnU,1,6)*allOnes,tpSurvCnU)</f>
        <v>4673.5336566448714</v>
      </c>
      <c r="I140" s="39">
        <f ca="1">SUMPRODUCT(OFFSET(tConvElecCnU,0,4,1,_maxLT),INDEX(elecCnU,1,6)*allOnes,tpSurvCnU)</f>
        <v>4637.7196918024392</v>
      </c>
      <c r="J140" s="39">
        <f ca="1">SUMPRODUCT(OFFSET(tConvElecCnU,0,5,1,_maxLT),INDEX(elecCnU,1,6)*allOnes,tpSurvCnU)</f>
        <v>4609.6151781653871</v>
      </c>
      <c r="K140" s="39">
        <f ca="1">SUMPRODUCT(OFFSET(tConvElecCnU,0,6,1,_maxLT),INDEX(elecCnU,1,6)*allOnes,tpSurvCnU)</f>
        <v>4585.9813539033921</v>
      </c>
      <c r="L140" s="39">
        <f ca="1">SUMPRODUCT(OFFSET(tConvElecCnU,0,7,1,_maxLT),INDEX(elecCnU,1,6)*allOnes,tpSurvCnU)</f>
        <v>4562.0070766809949</v>
      </c>
      <c r="M140" s="39">
        <f ca="1">SUMPRODUCT(OFFSET(tConvElecCnU,0,8,1,_maxLT),INDEX(elecCnU,1,6)*allOnes,tpSurvCnU)</f>
        <v>4542.564831999247</v>
      </c>
      <c r="N140" s="39">
        <f ca="1">SUMPRODUCT(OFFSET(tConvElecCnU,0,9,1,_maxLT),INDEX(elecCnU,1,6)*allOnes,tpSurvCnU)</f>
        <v>4528.8574310941012</v>
      </c>
      <c r="O140" s="39">
        <f ca="1">SUMPRODUCT(OFFSET(tConvElecCnU,0,10,1,_maxLT),INDEX(elecCnU,1,6)*allOnes,tpSurvCnU)</f>
        <v>4518.628703860084</v>
      </c>
      <c r="P140" s="39">
        <f ca="1">SUMPRODUCT(OFFSET(tConvElecCnU,0,11,1,_maxLT),INDEX(elecCnU,1,6)*allOnes,tpSurvCnU)</f>
        <v>4509.8965204968645</v>
      </c>
      <c r="Q140" s="39">
        <f ca="1">SUMPRODUCT(OFFSET(tConvElecCnU,0,12,1,_maxLT),INDEX(elecCnU,1,6)*allOnes,tpSurvCnU)</f>
        <v>4503.3387983982457</v>
      </c>
      <c r="R140" s="39">
        <f ca="1">SUMPRODUCT(OFFSET(tConvElecCnU,0,13,1,_maxLT),INDEX(elecCnU,1,6)*allOnes,tpSurvCnU)</f>
        <v>4498.2520954705515</v>
      </c>
      <c r="S140" s="39">
        <f ca="1">SUMPRODUCT(OFFSET(tConvElecCnU,0,14,1,_maxLT),INDEX(elecCnU,1,6)*allOnes,tpSurvCnU)</f>
        <v>4497.2142898517313</v>
      </c>
      <c r="T140" s="39">
        <f ca="1">SUMPRODUCT(OFFSET(tConvElecCnU,0,15,1,_maxLT),INDEX(elecCnU,1,6)*allOnes,tpSurvCnU)</f>
        <v>4498.0204710158787</v>
      </c>
      <c r="U140" s="39">
        <f ca="1">SUMPRODUCT(OFFSET(tConvElecCnU,0,16,1,_maxLT),INDEX(elecCnU,1,6)*allOnes,tpSurvCnU)</f>
        <v>4499.4445899725224</v>
      </c>
      <c r="V140" s="39">
        <f ca="1">SUMPRODUCT(OFFSET(tConvElecCnU,0,17,1,_maxLT),INDEX(elecCnU,1,6)*allOnes,tpSurvCnU)</f>
        <v>4501.6500797071349</v>
      </c>
      <c r="W140" s="39">
        <f ca="1">SUMPRODUCT(OFFSET(tConvElecCnU,0,18,1,_maxLT),INDEX(elecCnU,1,6)*allOnes,tpSurvCnU)</f>
        <v>4503.7758361514061</v>
      </c>
      <c r="X140" s="39">
        <f ca="1">SUMPRODUCT(OFFSET(tConvElecCnU,0,19,1,_maxLT),INDEX(elecCnU,1,6)*allOnes,tpSurvCnU)</f>
        <v>4505.5413057898613</v>
      </c>
      <c r="Y140" s="39">
        <f ca="1">SUMPRODUCT(OFFSET(tConvElecCnU,0,20,1,_maxLT),INDEX(elecCnU,1,6)*allOnes,tpSurvCnU)</f>
        <v>4506.7240677306336</v>
      </c>
      <c r="Z140" s="39">
        <f ca="1">SUMPRODUCT(OFFSET(tConvElecCnU,0,21,1,_maxLT),INDEX(elecCnU,1,6)*allOnes,tpSurvCnU)</f>
        <v>4507.5385744825326</v>
      </c>
      <c r="AA140" s="39">
        <f ca="1">SUMPRODUCT(OFFSET(tConvElecCnU,0,22,1,_maxLT),INDEX(elecCnU,1,6)*allOnes,tpSurvCnU)</f>
        <v>4507.5385744825326</v>
      </c>
      <c r="AB140" s="39">
        <f ca="1">SUMPRODUCT(OFFSET(tConvElecCnU,0,23,1,_maxLT),INDEX(elecCnU,1,6)*allOnes,tpSurvCnU)</f>
        <v>4507.5385744825326</v>
      </c>
      <c r="AC140" s="39">
        <f ca="1">SUMPRODUCT(OFFSET(tConvElecCnU,0,24,1,_maxLT),INDEX(elecCnU,1,6)*allOnes,tpSurvCnU)</f>
        <v>4507.5385744825326</v>
      </c>
      <c r="AD140" s="39">
        <f ca="1">SUMPRODUCT(OFFSET(tConvElecCnU,0,25,1,_maxLT),INDEX(elecCnU,1,6)*allOnes,tpSurvCnU)</f>
        <v>4507.5385744825326</v>
      </c>
      <c r="AE140" s="39">
        <f ca="1">SUMPRODUCT(OFFSET(tConvElecCnU,0,26,1,_maxLT),INDEX(elecCnU,1,6)*allOnes,tpSurvCnU)</f>
        <v>4507.5385744825326</v>
      </c>
      <c r="AF140" s="39">
        <f ca="1">SUMPRODUCT(OFFSET(tConvElecCnU,0,27,1,_maxLT),INDEX(elecCnU,1,6)*allOnes,tpSurvCnU)</f>
        <v>4507.5385744825326</v>
      </c>
      <c r="AG140" s="39">
        <f ca="1">SUMPRODUCT(OFFSET(tConvElecCnU,0,28,1,_maxLT),INDEX(elecCnU,1,6)*allOnes,tpSurvCnU)</f>
        <v>4507.5385744825326</v>
      </c>
      <c r="AH140" s="39">
        <f ca="1">SUMPRODUCT(OFFSET(tConvElecCnU,0,29,1,_maxLT),INDEX(elecCnU,1,6)*allOnes,tpSurvCnU)</f>
        <v>4507.5385744825326</v>
      </c>
      <c r="AI140" s="39">
        <f ca="1">SUMPRODUCT(OFFSET(tConvElecCnU,0,30,1,_maxLT),INDEX(elecCnU,1,6)*allOnes,tpSurvCnU)</f>
        <v>4507.5385744825326</v>
      </c>
      <c r="AJ140" s="39">
        <f ca="1">SUMPRODUCT(OFFSET(tConvElecCnU,0,31,1,_maxLT),INDEX(elecCnU,1,6)*allOnes,tpSurvCnU)</f>
        <v>4507.5385744825326</v>
      </c>
      <c r="AK140" s="39">
        <f ca="1">SUMPRODUCT(OFFSET(tConvElecCnU,0,32,1,_maxLT),INDEX(elecCnU,1,6)*allOnes,tpSurvCnU)</f>
        <v>4507.5385744825326</v>
      </c>
      <c r="AL140" s="40">
        <f ca="1">SUMPRODUCT(OFFSET(tConvElecCnU,0,33,1,_maxLT),INDEX(elecCnU,1,6)*allOnes,tpSurvCnU)</f>
        <v>4507.5385744825326</v>
      </c>
      <c r="AM140" s="10"/>
    </row>
    <row r="141" spans="2:39">
      <c r="B141" s="10"/>
      <c r="C141" s="57" t="str">
        <f>"EL 6: " &amp; INDEX(_doName,4,7)</f>
        <v>EL 6: EL 6</v>
      </c>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3"/>
      <c r="AM141" s="10"/>
    </row>
    <row r="142" spans="2:39">
      <c r="B142" s="10"/>
      <c r="C142" s="16" t="s">
        <v>69</v>
      </c>
      <c r="D142" s="12" t="str">
        <f>_yearDol &amp; "$"</f>
        <v>2015$</v>
      </c>
      <c r="E142" s="13">
        <f t="array" ref="E142:AL142">INDEX(mspCnU,1,7)*tPIdxAll + INDEX(instCnU,1,7) + IF(bESav,SUMPRODUCT(dFactor,tpSurvCnU,INDEX(mrCnU,1,7)*allOnes),0)</f>
        <v>3807.3938091960199</v>
      </c>
      <c r="F142" s="13">
        <v>3807.3938091960199</v>
      </c>
      <c r="G142" s="13">
        <v>3807.3938091960199</v>
      </c>
      <c r="H142" s="13">
        <v>3807.3938091960199</v>
      </c>
      <c r="I142" s="13">
        <v>3807.3938091960199</v>
      </c>
      <c r="J142" s="13">
        <v>3807.3938091960199</v>
      </c>
      <c r="K142" s="13">
        <v>3807.3938091960199</v>
      </c>
      <c r="L142" s="13">
        <v>3807.3938091960199</v>
      </c>
      <c r="M142" s="13">
        <v>3807.3938091960199</v>
      </c>
      <c r="N142" s="13">
        <v>3807.3938091960199</v>
      </c>
      <c r="O142" s="13">
        <v>3807.3938091960199</v>
      </c>
      <c r="P142" s="13">
        <v>3807.3938091960199</v>
      </c>
      <c r="Q142" s="13">
        <v>3807.3938091960199</v>
      </c>
      <c r="R142" s="13">
        <v>3807.3938091960199</v>
      </c>
      <c r="S142" s="13">
        <v>3807.3938091960199</v>
      </c>
      <c r="T142" s="13">
        <v>3807.3938091960199</v>
      </c>
      <c r="U142" s="13">
        <v>3807.3938091960199</v>
      </c>
      <c r="V142" s="13">
        <v>3807.3938091960199</v>
      </c>
      <c r="W142" s="13">
        <v>3807.3938091960199</v>
      </c>
      <c r="X142" s="13">
        <v>3807.3938091960199</v>
      </c>
      <c r="Y142" s="13">
        <v>3807.3938091960199</v>
      </c>
      <c r="Z142" s="13">
        <v>3807.3938091960199</v>
      </c>
      <c r="AA142" s="13">
        <v>3807.3938091960199</v>
      </c>
      <c r="AB142" s="13">
        <v>3807.3938091960199</v>
      </c>
      <c r="AC142" s="13">
        <v>3807.3938091960199</v>
      </c>
      <c r="AD142" s="13">
        <v>3807.3938091960199</v>
      </c>
      <c r="AE142" s="13">
        <v>3807.3938091960199</v>
      </c>
      <c r="AF142" s="13">
        <v>3807.3938091960199</v>
      </c>
      <c r="AG142" s="13">
        <v>3807.3938091960199</v>
      </c>
      <c r="AH142" s="13">
        <v>3807.3938091960199</v>
      </c>
      <c r="AI142" s="13">
        <v>3807.3938091960199</v>
      </c>
      <c r="AJ142" s="13">
        <v>3807.3938091960199</v>
      </c>
      <c r="AK142" s="13">
        <v>3807.3938091960199</v>
      </c>
      <c r="AL142" s="56">
        <v>3807.3938091960199</v>
      </c>
      <c r="AM142" s="10"/>
    </row>
    <row r="143" spans="2:39">
      <c r="B143" s="10"/>
      <c r="C143" s="16" t="str">
        <f>zEO&amp;" Costs"</f>
        <v>Operating Costs</v>
      </c>
      <c r="D143" s="12" t="str">
        <f>_yearDol &amp; "$"</f>
        <v>2015$</v>
      </c>
      <c r="E143" s="13">
        <f t="array" aca="1" ref="E143:AL143" ca="1">(tlccEFuElecbc6) + IF(bOSav,SUMPRODUCT(dFactor,tpSurvCnU,INDEX(mrCnU,1,7)*allOnes),0)</f>
        <v>19960.13909314838</v>
      </c>
      <c r="F143" s="13">
        <f ca="1"/>
        <v>20130.375945564392</v>
      </c>
      <c r="G143" s="13">
        <f ca="1"/>
        <v>20294.463853076366</v>
      </c>
      <c r="H143" s="13">
        <f ca="1"/>
        <v>20439.491814338297</v>
      </c>
      <c r="I143" s="13">
        <f ca="1"/>
        <v>20568.193025364009</v>
      </c>
      <c r="J143" s="13">
        <f ca="1"/>
        <v>20697.721866373682</v>
      </c>
      <c r="K143" s="13">
        <f ca="1"/>
        <v>20828.083785334406</v>
      </c>
      <c r="L143" s="13">
        <f ca="1"/>
        <v>20959.284266973922</v>
      </c>
      <c r="M143" s="13">
        <f ca="1"/>
        <v>21091.328833034811</v>
      </c>
      <c r="N143" s="13">
        <f ca="1"/>
        <v>21224.22304253067</v>
      </c>
      <c r="O143" s="13">
        <f ca="1"/>
        <v>21357.972492004043</v>
      </c>
      <c r="P143" s="13">
        <f ca="1"/>
        <v>21492.582815786209</v>
      </c>
      <c r="Q143" s="13">
        <f ca="1"/>
        <v>21628.059686258788</v>
      </c>
      <c r="R143" s="13">
        <f ca="1"/>
        <v>21764.408814117112</v>
      </c>
      <c r="S143" s="13">
        <f ca="1"/>
        <v>21901.635948635678</v>
      </c>
      <c r="T143" s="13">
        <f ca="1"/>
        <v>22039.746877935249</v>
      </c>
      <c r="U143" s="13">
        <f ca="1"/>
        <v>22178.747429252093</v>
      </c>
      <c r="V143" s="13">
        <f ca="1"/>
        <v>22318.643469208819</v>
      </c>
      <c r="W143" s="13">
        <f ca="1"/>
        <v>22459.440904087493</v>
      </c>
      <c r="X143" s="13">
        <f ca="1"/>
        <v>22601.145680104379</v>
      </c>
      <c r="Y143" s="13">
        <f ca="1"/>
        <v>22743.763783686849</v>
      </c>
      <c r="Z143" s="13">
        <f ca="1"/>
        <v>22887.301241752186</v>
      </c>
      <c r="AA143" s="13">
        <f ca="1"/>
        <v>23031.764121988235</v>
      </c>
      <c r="AB143" s="13">
        <f ca="1"/>
        <v>23177.158533136284</v>
      </c>
      <c r="AC143" s="13">
        <f ca="1"/>
        <v>23323.490625275848</v>
      </c>
      <c r="AD143" s="13">
        <f ca="1"/>
        <v>23470.766590111372</v>
      </c>
      <c r="AE143" s="13">
        <f ca="1"/>
        <v>23618.992661261102</v>
      </c>
      <c r="AF143" s="13">
        <f ca="1"/>
        <v>23768.175114548038</v>
      </c>
      <c r="AG143" s="13">
        <f ca="1"/>
        <v>23918.320268292828</v>
      </c>
      <c r="AH143" s="13">
        <f ca="1"/>
        <v>24069.434483608809</v>
      </c>
      <c r="AI143" s="13">
        <f ca="1"/>
        <v>24221.524164699054</v>
      </c>
      <c r="AJ143" s="13">
        <f ca="1"/>
        <v>24374.595759155865</v>
      </c>
      <c r="AK143" s="13">
        <f ca="1"/>
        <v>24528.655758261939</v>
      </c>
      <c r="AL143" s="56">
        <f ca="1"/>
        <v>24683.7106972939</v>
      </c>
      <c r="AM143" s="10"/>
    </row>
    <row r="144" spans="2:39">
      <c r="B144" s="10"/>
      <c r="C144" s="28" t="str">
        <f>INDEX(_fuel,1)</f>
        <v>Electricity</v>
      </c>
      <c r="D144" s="12" t="str">
        <f>_yearDol &amp; "$"</f>
        <v>2015$</v>
      </c>
      <c r="E144" s="13">
        <f ca="1">SUMPRODUCT(dFactor,tpSurvCnU,INDEX(elecCnU,1,7)*allOnes,OFFSET(tPrcElec,0,0,1,_maxLT))</f>
        <v>19960.13909314838</v>
      </c>
      <c r="F144" s="13">
        <f ca="1">SUMPRODUCT(dFactor,tpSurvCnU,INDEX(elecCnU,1,7)*allOnes,OFFSET(tPrcElec,0,1,1,_maxLT))</f>
        <v>20130.375945564392</v>
      </c>
      <c r="G144" s="13">
        <f ca="1">SUMPRODUCT(dFactor,tpSurvCnU,INDEX(elecCnU,1,7)*allOnes,OFFSET(tPrcElec,0,2,1,_maxLT))</f>
        <v>20294.463853076366</v>
      </c>
      <c r="H144" s="13">
        <f ca="1">SUMPRODUCT(dFactor,tpSurvCnU,INDEX(elecCnU,1,7)*allOnes,OFFSET(tPrcElec,0,3,1,_maxLT))</f>
        <v>20439.491814338297</v>
      </c>
      <c r="I144" s="13">
        <f ca="1">SUMPRODUCT(dFactor,tpSurvCnU,INDEX(elecCnU,1,7)*allOnes,OFFSET(tPrcElec,0,4,1,_maxLT))</f>
        <v>20568.193025364009</v>
      </c>
      <c r="J144" s="13">
        <f ca="1">SUMPRODUCT(dFactor,tpSurvCnU,INDEX(elecCnU,1,7)*allOnes,OFFSET(tPrcElec,0,5,1,_maxLT))</f>
        <v>20697.721866373682</v>
      </c>
      <c r="K144" s="13">
        <f ca="1">SUMPRODUCT(dFactor,tpSurvCnU,INDEX(elecCnU,1,7)*allOnes,OFFSET(tPrcElec,0,6,1,_maxLT))</f>
        <v>20828.083785334406</v>
      </c>
      <c r="L144" s="13">
        <f ca="1">SUMPRODUCT(dFactor,tpSurvCnU,INDEX(elecCnU,1,7)*allOnes,OFFSET(tPrcElec,0,7,1,_maxLT))</f>
        <v>20959.284266973922</v>
      </c>
      <c r="M144" s="13">
        <f ca="1">SUMPRODUCT(dFactor,tpSurvCnU,INDEX(elecCnU,1,7)*allOnes,OFFSET(tPrcElec,0,8,1,_maxLT))</f>
        <v>21091.328833034811</v>
      </c>
      <c r="N144" s="13">
        <f ca="1">SUMPRODUCT(dFactor,tpSurvCnU,INDEX(elecCnU,1,7)*allOnes,OFFSET(tPrcElec,0,9,1,_maxLT))</f>
        <v>21224.22304253067</v>
      </c>
      <c r="O144" s="13">
        <f ca="1">SUMPRODUCT(dFactor,tpSurvCnU,INDEX(elecCnU,1,7)*allOnes,OFFSET(tPrcElec,0,10,1,_maxLT))</f>
        <v>21357.972492004043</v>
      </c>
      <c r="P144" s="13">
        <f ca="1">SUMPRODUCT(dFactor,tpSurvCnU,INDEX(elecCnU,1,7)*allOnes,OFFSET(tPrcElec,0,11,1,_maxLT))</f>
        <v>21492.582815786209</v>
      </c>
      <c r="Q144" s="13">
        <f ca="1">SUMPRODUCT(dFactor,tpSurvCnU,INDEX(elecCnU,1,7)*allOnes,OFFSET(tPrcElec,0,12,1,_maxLT))</f>
        <v>21628.059686258788</v>
      </c>
      <c r="R144" s="13">
        <f ca="1">SUMPRODUCT(dFactor,tpSurvCnU,INDEX(elecCnU,1,7)*allOnes,OFFSET(tPrcElec,0,13,1,_maxLT))</f>
        <v>21764.408814117112</v>
      </c>
      <c r="S144" s="13">
        <f ca="1">SUMPRODUCT(dFactor,tpSurvCnU,INDEX(elecCnU,1,7)*allOnes,OFFSET(tPrcElec,0,14,1,_maxLT))</f>
        <v>21901.635948635678</v>
      </c>
      <c r="T144" s="13">
        <f ca="1">SUMPRODUCT(dFactor,tpSurvCnU,INDEX(elecCnU,1,7)*allOnes,OFFSET(tPrcElec,0,15,1,_maxLT))</f>
        <v>22039.746877935249</v>
      </c>
      <c r="U144" s="13">
        <f ca="1">SUMPRODUCT(dFactor,tpSurvCnU,INDEX(elecCnU,1,7)*allOnes,OFFSET(tPrcElec,0,16,1,_maxLT))</f>
        <v>22178.747429252093</v>
      </c>
      <c r="V144" s="13">
        <f ca="1">SUMPRODUCT(dFactor,tpSurvCnU,INDEX(elecCnU,1,7)*allOnes,OFFSET(tPrcElec,0,17,1,_maxLT))</f>
        <v>22318.643469208819</v>
      </c>
      <c r="W144" s="13">
        <f ca="1">SUMPRODUCT(dFactor,tpSurvCnU,INDEX(elecCnU,1,7)*allOnes,OFFSET(tPrcElec,0,18,1,_maxLT))</f>
        <v>22459.440904087493</v>
      </c>
      <c r="X144" s="13">
        <f ca="1">SUMPRODUCT(dFactor,tpSurvCnU,INDEX(elecCnU,1,7)*allOnes,OFFSET(tPrcElec,0,19,1,_maxLT))</f>
        <v>22601.145680104379</v>
      </c>
      <c r="Y144" s="13">
        <f ca="1">SUMPRODUCT(dFactor,tpSurvCnU,INDEX(elecCnU,1,7)*allOnes,OFFSET(tPrcElec,0,20,1,_maxLT))</f>
        <v>22743.763783686849</v>
      </c>
      <c r="Z144" s="13">
        <f ca="1">SUMPRODUCT(dFactor,tpSurvCnU,INDEX(elecCnU,1,7)*allOnes,OFFSET(tPrcElec,0,21,1,_maxLT))</f>
        <v>22887.301241752186</v>
      </c>
      <c r="AA144" s="13">
        <f ca="1">SUMPRODUCT(dFactor,tpSurvCnU,INDEX(elecCnU,1,7)*allOnes,OFFSET(tPrcElec,0,22,1,_maxLT))</f>
        <v>23031.764121988235</v>
      </c>
      <c r="AB144" s="13">
        <f ca="1">SUMPRODUCT(dFactor,tpSurvCnU,INDEX(elecCnU,1,7)*allOnes,OFFSET(tPrcElec,0,23,1,_maxLT))</f>
        <v>23177.158533136284</v>
      </c>
      <c r="AC144" s="13">
        <f ca="1">SUMPRODUCT(dFactor,tpSurvCnU,INDEX(elecCnU,1,7)*allOnes,OFFSET(tPrcElec,0,24,1,_maxLT))</f>
        <v>23323.490625275848</v>
      </c>
      <c r="AD144" s="13">
        <f ca="1">SUMPRODUCT(dFactor,tpSurvCnU,INDEX(elecCnU,1,7)*allOnes,OFFSET(tPrcElec,0,25,1,_maxLT))</f>
        <v>23470.766590111372</v>
      </c>
      <c r="AE144" s="13">
        <f ca="1">SUMPRODUCT(dFactor,tpSurvCnU,INDEX(elecCnU,1,7)*allOnes,OFFSET(tPrcElec,0,26,1,_maxLT))</f>
        <v>23618.992661261102</v>
      </c>
      <c r="AF144" s="13">
        <f ca="1">SUMPRODUCT(dFactor,tpSurvCnU,INDEX(elecCnU,1,7)*allOnes,OFFSET(tPrcElec,0,27,1,_maxLT))</f>
        <v>23768.175114548038</v>
      </c>
      <c r="AG144" s="13">
        <f ca="1">SUMPRODUCT(dFactor,tpSurvCnU,INDEX(elecCnU,1,7)*allOnes,OFFSET(tPrcElec,0,28,1,_maxLT))</f>
        <v>23918.320268292828</v>
      </c>
      <c r="AH144" s="13">
        <f ca="1">SUMPRODUCT(dFactor,tpSurvCnU,INDEX(elecCnU,1,7)*allOnes,OFFSET(tPrcElec,0,29,1,_maxLT))</f>
        <v>24069.434483608809</v>
      </c>
      <c r="AI144" s="13">
        <f ca="1">SUMPRODUCT(dFactor,tpSurvCnU,INDEX(elecCnU,1,7)*allOnes,OFFSET(tPrcElec,0,30,1,_maxLT))</f>
        <v>24221.524164699054</v>
      </c>
      <c r="AJ144" s="13">
        <f ca="1">SUMPRODUCT(dFactor,tpSurvCnU,INDEX(elecCnU,1,7)*allOnes,OFFSET(tPrcElec,0,31,1,_maxLT))</f>
        <v>24374.595759155865</v>
      </c>
      <c r="AK144" s="13">
        <f ca="1">SUMPRODUCT(dFactor,tpSurvCnU,INDEX(elecCnU,1,7)*allOnes,OFFSET(tPrcElec,0,32,1,_maxLT))</f>
        <v>24528.655758261939</v>
      </c>
      <c r="AL144" s="56">
        <f ca="1">SUMPRODUCT(dFactor,tpSurvCnU,INDEX(elecCnU,1,7)*allOnes,OFFSET(tPrcElec,0,33,1,_maxLT))</f>
        <v>24683.7106972939</v>
      </c>
      <c r="AM144" s="10"/>
    </row>
    <row r="145" spans="2:39">
      <c r="B145" s="10"/>
      <c r="C145" s="16" t="s">
        <v>79</v>
      </c>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5"/>
      <c r="AM145" s="10"/>
    </row>
    <row r="146" spans="2:39">
      <c r="B146" s="10"/>
      <c r="C146" s="28" t="str">
        <f>INDEX(_fuel,1)</f>
        <v>Electricity</v>
      </c>
      <c r="D146" s="12" t="s">
        <v>83</v>
      </c>
      <c r="E146" s="39">
        <f ca="1">SUMPRODUCT(OFFSET(tConvElecCnU,0,0,1,_maxLT),INDEX(elecCnU,1,7)*allOnes,tpSurvCnU)</f>
        <v>3315.9743631153988</v>
      </c>
      <c r="F146" s="39">
        <f ca="1">SUMPRODUCT(OFFSET(tConvElecCnU,0,1,1,_maxLT),INDEX(elecCnU,1,7)*allOnes,tpSurvCnU)</f>
        <v>3283.2169267216232</v>
      </c>
      <c r="G146" s="39">
        <f ca="1">SUMPRODUCT(OFFSET(tConvElecCnU,0,2,1,_maxLT),INDEX(elecCnU,1,7)*allOnes,tpSurvCnU)</f>
        <v>3254.0660485755025</v>
      </c>
      <c r="H146" s="39">
        <f ca="1">SUMPRODUCT(OFFSET(tConvElecCnU,0,3,1,_maxLT),INDEX(elecCnU,1,7)*allOnes,tpSurvCnU)</f>
        <v>3226.0640832086565</v>
      </c>
      <c r="I146" s="39">
        <f ca="1">SUMPRODUCT(OFFSET(tConvElecCnU,0,4,1,_maxLT),INDEX(elecCnU,1,7)*allOnes,tpSurvCnU)</f>
        <v>3201.3422872093497</v>
      </c>
      <c r="J146" s="39">
        <f ca="1">SUMPRODUCT(OFFSET(tConvElecCnU,0,5,1,_maxLT),INDEX(elecCnU,1,7)*allOnes,tpSurvCnU)</f>
        <v>3181.9421996778028</v>
      </c>
      <c r="K146" s="39">
        <f ca="1">SUMPRODUCT(OFFSET(tConvElecCnU,0,6,1,_maxLT),INDEX(elecCnU,1,7)*allOnes,tpSurvCnU)</f>
        <v>3165.6281561291744</v>
      </c>
      <c r="L146" s="39">
        <f ca="1">SUMPRODUCT(OFFSET(tConvElecCnU,0,7,1,_maxLT),INDEX(elecCnU,1,7)*allOnes,tpSurvCnU)</f>
        <v>3149.0791034529202</v>
      </c>
      <c r="M146" s="39">
        <f ca="1">SUMPRODUCT(OFFSET(tConvElecCnU,0,8,1,_maxLT),INDEX(elecCnU,1,7)*allOnes,tpSurvCnU)</f>
        <v>3135.6584389466179</v>
      </c>
      <c r="N146" s="39">
        <f ca="1">SUMPRODUCT(OFFSET(tConvElecCnU,0,9,1,_maxLT),INDEX(elecCnU,1,7)*allOnes,tpSurvCnU)</f>
        <v>3126.1964435951222</v>
      </c>
      <c r="O146" s="39">
        <f ca="1">SUMPRODUCT(OFFSET(tConvElecCnU,0,10,1,_maxLT),INDEX(elecCnU,1,7)*allOnes,tpSurvCnU)</f>
        <v>3119.1357199605154</v>
      </c>
      <c r="P146" s="39">
        <f ca="1">SUMPRODUCT(OFFSET(tConvElecCnU,0,11,1,_maxLT),INDEX(elecCnU,1,7)*allOnes,tpSurvCnU)</f>
        <v>3113.1080361594113</v>
      </c>
      <c r="Q146" s="39">
        <f ca="1">SUMPRODUCT(OFFSET(tConvElecCnU,0,12,1,_maxLT),INDEX(elecCnU,1,7)*allOnes,tpSurvCnU)</f>
        <v>3108.5813475155974</v>
      </c>
      <c r="R146" s="39">
        <f ca="1">SUMPRODUCT(OFFSET(tConvElecCnU,0,13,1,_maxLT),INDEX(elecCnU,1,7)*allOnes,tpSurvCnU)</f>
        <v>3105.0700794211316</v>
      </c>
      <c r="S146" s="39">
        <f ca="1">SUMPRODUCT(OFFSET(tConvElecCnU,0,14,1,_maxLT),INDEX(elecCnU,1,7)*allOnes,tpSurvCnU)</f>
        <v>3104.3536991234378</v>
      </c>
      <c r="T146" s="39">
        <f ca="1">SUMPRODUCT(OFFSET(tConvElecCnU,0,15,1,_maxLT),INDEX(elecCnU,1,7)*allOnes,tpSurvCnU)</f>
        <v>3104.910192836609</v>
      </c>
      <c r="U146" s="39">
        <f ca="1">SUMPRODUCT(OFFSET(tConvElecCnU,0,16,1,_maxLT),INDEX(elecCnU,1,7)*allOnes,tpSurvCnU)</f>
        <v>3105.8932389327283</v>
      </c>
      <c r="V146" s="39">
        <f ca="1">SUMPRODUCT(OFFSET(tConvElecCnU,0,17,1,_maxLT),INDEX(elecCnU,1,7)*allOnes,tpSurvCnU)</f>
        <v>3107.4156525369617</v>
      </c>
      <c r="W146" s="39">
        <f ca="1">SUMPRODUCT(OFFSET(tConvElecCnU,0,18,1,_maxLT),INDEX(elecCnU,1,7)*allOnes,tpSurvCnU)</f>
        <v>3108.8830275508899</v>
      </c>
      <c r="X146" s="39">
        <f ca="1">SUMPRODUCT(OFFSET(tConvElecCnU,0,19,1,_maxLT),INDEX(elecCnU,1,7)*allOnes,tpSurvCnU)</f>
        <v>3110.1017024570856</v>
      </c>
      <c r="Y146" s="39">
        <f ca="1">SUMPRODUCT(OFFSET(tConvElecCnU,0,20,1,_maxLT),INDEX(elecCnU,1,7)*allOnes,tpSurvCnU)</f>
        <v>3110.9181437403722</v>
      </c>
      <c r="Z146" s="39">
        <f ca="1">SUMPRODUCT(OFFSET(tConvElecCnU,0,21,1,_maxLT),INDEX(elecCnU,1,7)*allOnes,tpSurvCnU)</f>
        <v>3111.4803844710223</v>
      </c>
      <c r="AA146" s="39">
        <f ca="1">SUMPRODUCT(OFFSET(tConvElecCnU,0,22,1,_maxLT),INDEX(elecCnU,1,7)*allOnes,tpSurvCnU)</f>
        <v>3111.4803844710223</v>
      </c>
      <c r="AB146" s="39">
        <f ca="1">SUMPRODUCT(OFFSET(tConvElecCnU,0,23,1,_maxLT),INDEX(elecCnU,1,7)*allOnes,tpSurvCnU)</f>
        <v>3111.4803844710223</v>
      </c>
      <c r="AC146" s="39">
        <f ca="1">SUMPRODUCT(OFFSET(tConvElecCnU,0,24,1,_maxLT),INDEX(elecCnU,1,7)*allOnes,tpSurvCnU)</f>
        <v>3111.4803844710223</v>
      </c>
      <c r="AD146" s="39">
        <f ca="1">SUMPRODUCT(OFFSET(tConvElecCnU,0,25,1,_maxLT),INDEX(elecCnU,1,7)*allOnes,tpSurvCnU)</f>
        <v>3111.4803844710223</v>
      </c>
      <c r="AE146" s="39">
        <f ca="1">SUMPRODUCT(OFFSET(tConvElecCnU,0,26,1,_maxLT),INDEX(elecCnU,1,7)*allOnes,tpSurvCnU)</f>
        <v>3111.4803844710223</v>
      </c>
      <c r="AF146" s="39">
        <f ca="1">SUMPRODUCT(OFFSET(tConvElecCnU,0,27,1,_maxLT),INDEX(elecCnU,1,7)*allOnes,tpSurvCnU)</f>
        <v>3111.4803844710223</v>
      </c>
      <c r="AG146" s="39">
        <f ca="1">SUMPRODUCT(OFFSET(tConvElecCnU,0,28,1,_maxLT),INDEX(elecCnU,1,7)*allOnes,tpSurvCnU)</f>
        <v>3111.4803844710223</v>
      </c>
      <c r="AH146" s="39">
        <f ca="1">SUMPRODUCT(OFFSET(tConvElecCnU,0,29,1,_maxLT),INDEX(elecCnU,1,7)*allOnes,tpSurvCnU)</f>
        <v>3111.4803844710223</v>
      </c>
      <c r="AI146" s="39">
        <f ca="1">SUMPRODUCT(OFFSET(tConvElecCnU,0,30,1,_maxLT),INDEX(elecCnU,1,7)*allOnes,tpSurvCnU)</f>
        <v>3111.4803844710223</v>
      </c>
      <c r="AJ146" s="39">
        <f ca="1">SUMPRODUCT(OFFSET(tConvElecCnU,0,31,1,_maxLT),INDEX(elecCnU,1,7)*allOnes,tpSurvCnU)</f>
        <v>3111.4803844710223</v>
      </c>
      <c r="AK146" s="39">
        <f ca="1">SUMPRODUCT(OFFSET(tConvElecCnU,0,32,1,_maxLT),INDEX(elecCnU,1,7)*allOnes,tpSurvCnU)</f>
        <v>3111.4803844710223</v>
      </c>
      <c r="AL146" s="40">
        <f ca="1">SUMPRODUCT(OFFSET(tConvElecCnU,0,33,1,_maxLT),INDEX(elecCnU,1,7)*allOnes,tpSurvCnU)</f>
        <v>3111.4803844710223</v>
      </c>
      <c r="AM146" s="10"/>
    </row>
    <row r="147" spans="2:39">
      <c r="B147" s="10"/>
      <c r="C147" s="41" t="str">
        <f ca="1">"Std (CSL " &amp; stdCSL &amp; "): " &amp; INDEX(_doName,4,stdCSL+1)</f>
        <v>Std (CSL 5): EL 5</v>
      </c>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3"/>
      <c r="AM147" s="10"/>
    </row>
    <row r="148" spans="2:39">
      <c r="B148" s="10"/>
      <c r="C148" s="57" t="str">
        <f>"EL 0: " &amp; INDEX(_doName,4,1)</f>
        <v>EL 0: EL 3</v>
      </c>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3"/>
      <c r="AM148" s="10"/>
    </row>
    <row r="149" spans="2:39">
      <c r="B149" s="10"/>
      <c r="C149" s="16" t="s">
        <v>69</v>
      </c>
      <c r="D149" s="12" t="str">
        <f>_yearDol &amp; "$"</f>
        <v>2015$</v>
      </c>
      <c r="E149" s="13">
        <f t="array" aca="1" ref="E149:AL149" ca="1">INDEX(mspCnU,stdCSL+1,1)*tPIdxAll + INDEX(instCnU,stdCSL+1,1) + IF(bESav,SUMPRODUCT(dFactor,tpSurvCnU,INDEX(mrCnU,stdCSL+1,1)*allOnes),0)</f>
        <v>0</v>
      </c>
      <c r="F149" s="13">
        <f ca="1"/>
        <v>0</v>
      </c>
      <c r="G149" s="13">
        <f ca="1"/>
        <v>0</v>
      </c>
      <c r="H149" s="13">
        <f ca="1"/>
        <v>0</v>
      </c>
      <c r="I149" s="13">
        <f ca="1"/>
        <v>0</v>
      </c>
      <c r="J149" s="13">
        <f ca="1"/>
        <v>0</v>
      </c>
      <c r="K149" s="13">
        <f ca="1"/>
        <v>0</v>
      </c>
      <c r="L149" s="13">
        <f ca="1"/>
        <v>0</v>
      </c>
      <c r="M149" s="13">
        <f ca="1"/>
        <v>0</v>
      </c>
      <c r="N149" s="13">
        <f ca="1"/>
        <v>0</v>
      </c>
      <c r="O149" s="13">
        <f ca="1"/>
        <v>0</v>
      </c>
      <c r="P149" s="13">
        <f ca="1"/>
        <v>0</v>
      </c>
      <c r="Q149" s="13">
        <f ca="1"/>
        <v>0</v>
      </c>
      <c r="R149" s="13">
        <f ca="1"/>
        <v>0</v>
      </c>
      <c r="S149" s="13">
        <f ca="1"/>
        <v>0</v>
      </c>
      <c r="T149" s="13">
        <f ca="1"/>
        <v>0</v>
      </c>
      <c r="U149" s="13">
        <f ca="1"/>
        <v>0</v>
      </c>
      <c r="V149" s="13">
        <f ca="1"/>
        <v>0</v>
      </c>
      <c r="W149" s="13">
        <f ca="1"/>
        <v>0</v>
      </c>
      <c r="X149" s="13">
        <f ca="1"/>
        <v>0</v>
      </c>
      <c r="Y149" s="13">
        <f ca="1"/>
        <v>0</v>
      </c>
      <c r="Z149" s="13">
        <f ca="1"/>
        <v>0</v>
      </c>
      <c r="AA149" s="13">
        <f ca="1"/>
        <v>0</v>
      </c>
      <c r="AB149" s="13">
        <f ca="1"/>
        <v>0</v>
      </c>
      <c r="AC149" s="13">
        <f ca="1"/>
        <v>0</v>
      </c>
      <c r="AD149" s="13">
        <f ca="1"/>
        <v>0</v>
      </c>
      <c r="AE149" s="13">
        <f ca="1"/>
        <v>0</v>
      </c>
      <c r="AF149" s="13">
        <f ca="1"/>
        <v>0</v>
      </c>
      <c r="AG149" s="13">
        <f ca="1"/>
        <v>0</v>
      </c>
      <c r="AH149" s="13">
        <f ca="1"/>
        <v>0</v>
      </c>
      <c r="AI149" s="13">
        <f ca="1"/>
        <v>0</v>
      </c>
      <c r="AJ149" s="13">
        <f ca="1"/>
        <v>0</v>
      </c>
      <c r="AK149" s="13">
        <f ca="1"/>
        <v>0</v>
      </c>
      <c r="AL149" s="56">
        <f ca="1"/>
        <v>0</v>
      </c>
      <c r="AM149" s="10"/>
    </row>
    <row r="150" spans="2:39">
      <c r="B150" s="10"/>
      <c r="C150" s="16" t="str">
        <f>zEO&amp;" Costs"</f>
        <v>Operating Costs</v>
      </c>
      <c r="D150" s="12" t="str">
        <f>_yearDol &amp; "$"</f>
        <v>2015$</v>
      </c>
      <c r="E150" s="13">
        <f t="array" aca="1" ref="E150:AL150" ca="1">(tlccEFuElecpol0) + IF(bOSav,SUMPRODUCT(dFactor,tpSurvCnU,INDEX(mrCnU,stdCSL+1,1)*allOnes),0)</f>
        <v>0</v>
      </c>
      <c r="F150" s="13">
        <f ca="1"/>
        <v>0</v>
      </c>
      <c r="G150" s="13">
        <f ca="1"/>
        <v>0</v>
      </c>
      <c r="H150" s="13">
        <f ca="1"/>
        <v>0</v>
      </c>
      <c r="I150" s="13">
        <f ca="1"/>
        <v>0</v>
      </c>
      <c r="J150" s="13">
        <f ca="1"/>
        <v>0</v>
      </c>
      <c r="K150" s="13">
        <f ca="1"/>
        <v>0</v>
      </c>
      <c r="L150" s="13">
        <f ca="1"/>
        <v>0</v>
      </c>
      <c r="M150" s="13">
        <f ca="1"/>
        <v>0</v>
      </c>
      <c r="N150" s="13">
        <f ca="1"/>
        <v>0</v>
      </c>
      <c r="O150" s="13">
        <f ca="1"/>
        <v>0</v>
      </c>
      <c r="P150" s="13">
        <f ca="1"/>
        <v>0</v>
      </c>
      <c r="Q150" s="13">
        <f ca="1"/>
        <v>0</v>
      </c>
      <c r="R150" s="13">
        <f ca="1"/>
        <v>0</v>
      </c>
      <c r="S150" s="13">
        <f ca="1"/>
        <v>0</v>
      </c>
      <c r="T150" s="13">
        <f ca="1"/>
        <v>0</v>
      </c>
      <c r="U150" s="13">
        <f ca="1"/>
        <v>0</v>
      </c>
      <c r="V150" s="13">
        <f ca="1"/>
        <v>0</v>
      </c>
      <c r="W150" s="13">
        <f ca="1"/>
        <v>0</v>
      </c>
      <c r="X150" s="13">
        <f ca="1"/>
        <v>0</v>
      </c>
      <c r="Y150" s="13">
        <f ca="1"/>
        <v>0</v>
      </c>
      <c r="Z150" s="13">
        <f ca="1"/>
        <v>0</v>
      </c>
      <c r="AA150" s="13">
        <f ca="1"/>
        <v>0</v>
      </c>
      <c r="AB150" s="13">
        <f ca="1"/>
        <v>0</v>
      </c>
      <c r="AC150" s="13">
        <f ca="1"/>
        <v>0</v>
      </c>
      <c r="AD150" s="13">
        <f ca="1"/>
        <v>0</v>
      </c>
      <c r="AE150" s="13">
        <f ca="1"/>
        <v>0</v>
      </c>
      <c r="AF150" s="13">
        <f ca="1"/>
        <v>0</v>
      </c>
      <c r="AG150" s="13">
        <f ca="1"/>
        <v>0</v>
      </c>
      <c r="AH150" s="13">
        <f ca="1"/>
        <v>0</v>
      </c>
      <c r="AI150" s="13">
        <f ca="1"/>
        <v>0</v>
      </c>
      <c r="AJ150" s="13">
        <f ca="1"/>
        <v>0</v>
      </c>
      <c r="AK150" s="13">
        <f ca="1"/>
        <v>0</v>
      </c>
      <c r="AL150" s="56">
        <f ca="1"/>
        <v>0</v>
      </c>
      <c r="AM150" s="10"/>
    </row>
    <row r="151" spans="2:39">
      <c r="B151" s="10"/>
      <c r="C151" s="28" t="str">
        <f>INDEX(_fuel,1)</f>
        <v>Electricity</v>
      </c>
      <c r="D151" s="12" t="str">
        <f>_yearDol &amp; "$"</f>
        <v>2015$</v>
      </c>
      <c r="E151" s="13">
        <f ca="1">SUMPRODUCT(dFactor,tpSurvCnU,INDEX(elecCnU,stdCSL+1,1)*allOnes,OFFSET(tPrcElec,0,0,1,_maxLT))</f>
        <v>0</v>
      </c>
      <c r="F151" s="13">
        <f ca="1">SUMPRODUCT(dFactor,tpSurvCnU,INDEX(elecCnU,stdCSL+1,1)*allOnes,OFFSET(tPrcElec,0,1,1,_maxLT))</f>
        <v>0</v>
      </c>
      <c r="G151" s="13">
        <f ca="1">SUMPRODUCT(dFactor,tpSurvCnU,INDEX(elecCnU,stdCSL+1,1)*allOnes,OFFSET(tPrcElec,0,2,1,_maxLT))</f>
        <v>0</v>
      </c>
      <c r="H151" s="13">
        <f ca="1">SUMPRODUCT(dFactor,tpSurvCnU,INDEX(elecCnU,stdCSL+1,1)*allOnes,OFFSET(tPrcElec,0,3,1,_maxLT))</f>
        <v>0</v>
      </c>
      <c r="I151" s="13">
        <f ca="1">SUMPRODUCT(dFactor,tpSurvCnU,INDEX(elecCnU,stdCSL+1,1)*allOnes,OFFSET(tPrcElec,0,4,1,_maxLT))</f>
        <v>0</v>
      </c>
      <c r="J151" s="13">
        <f ca="1">SUMPRODUCT(dFactor,tpSurvCnU,INDEX(elecCnU,stdCSL+1,1)*allOnes,OFFSET(tPrcElec,0,5,1,_maxLT))</f>
        <v>0</v>
      </c>
      <c r="K151" s="13">
        <f ca="1">SUMPRODUCT(dFactor,tpSurvCnU,INDEX(elecCnU,stdCSL+1,1)*allOnes,OFFSET(tPrcElec,0,6,1,_maxLT))</f>
        <v>0</v>
      </c>
      <c r="L151" s="13">
        <f ca="1">SUMPRODUCT(dFactor,tpSurvCnU,INDEX(elecCnU,stdCSL+1,1)*allOnes,OFFSET(tPrcElec,0,7,1,_maxLT))</f>
        <v>0</v>
      </c>
      <c r="M151" s="13">
        <f ca="1">SUMPRODUCT(dFactor,tpSurvCnU,INDEX(elecCnU,stdCSL+1,1)*allOnes,OFFSET(tPrcElec,0,8,1,_maxLT))</f>
        <v>0</v>
      </c>
      <c r="N151" s="13">
        <f ca="1">SUMPRODUCT(dFactor,tpSurvCnU,INDEX(elecCnU,stdCSL+1,1)*allOnes,OFFSET(tPrcElec,0,9,1,_maxLT))</f>
        <v>0</v>
      </c>
      <c r="O151" s="13">
        <f ca="1">SUMPRODUCT(dFactor,tpSurvCnU,INDEX(elecCnU,stdCSL+1,1)*allOnes,OFFSET(tPrcElec,0,10,1,_maxLT))</f>
        <v>0</v>
      </c>
      <c r="P151" s="13">
        <f ca="1">SUMPRODUCT(dFactor,tpSurvCnU,INDEX(elecCnU,stdCSL+1,1)*allOnes,OFFSET(tPrcElec,0,11,1,_maxLT))</f>
        <v>0</v>
      </c>
      <c r="Q151" s="13">
        <f ca="1">SUMPRODUCT(dFactor,tpSurvCnU,INDEX(elecCnU,stdCSL+1,1)*allOnes,OFFSET(tPrcElec,0,12,1,_maxLT))</f>
        <v>0</v>
      </c>
      <c r="R151" s="13">
        <f ca="1">SUMPRODUCT(dFactor,tpSurvCnU,INDEX(elecCnU,stdCSL+1,1)*allOnes,OFFSET(tPrcElec,0,13,1,_maxLT))</f>
        <v>0</v>
      </c>
      <c r="S151" s="13">
        <f ca="1">SUMPRODUCT(dFactor,tpSurvCnU,INDEX(elecCnU,stdCSL+1,1)*allOnes,OFFSET(tPrcElec,0,14,1,_maxLT))</f>
        <v>0</v>
      </c>
      <c r="T151" s="13">
        <f ca="1">SUMPRODUCT(dFactor,tpSurvCnU,INDEX(elecCnU,stdCSL+1,1)*allOnes,OFFSET(tPrcElec,0,15,1,_maxLT))</f>
        <v>0</v>
      </c>
      <c r="U151" s="13">
        <f ca="1">SUMPRODUCT(dFactor,tpSurvCnU,INDEX(elecCnU,stdCSL+1,1)*allOnes,OFFSET(tPrcElec,0,16,1,_maxLT))</f>
        <v>0</v>
      </c>
      <c r="V151" s="13">
        <f ca="1">SUMPRODUCT(dFactor,tpSurvCnU,INDEX(elecCnU,stdCSL+1,1)*allOnes,OFFSET(tPrcElec,0,17,1,_maxLT))</f>
        <v>0</v>
      </c>
      <c r="W151" s="13">
        <f ca="1">SUMPRODUCT(dFactor,tpSurvCnU,INDEX(elecCnU,stdCSL+1,1)*allOnes,OFFSET(tPrcElec,0,18,1,_maxLT))</f>
        <v>0</v>
      </c>
      <c r="X151" s="13">
        <f ca="1">SUMPRODUCT(dFactor,tpSurvCnU,INDEX(elecCnU,stdCSL+1,1)*allOnes,OFFSET(tPrcElec,0,19,1,_maxLT))</f>
        <v>0</v>
      </c>
      <c r="Y151" s="13">
        <f ca="1">SUMPRODUCT(dFactor,tpSurvCnU,INDEX(elecCnU,stdCSL+1,1)*allOnes,OFFSET(tPrcElec,0,20,1,_maxLT))</f>
        <v>0</v>
      </c>
      <c r="Z151" s="13">
        <f ca="1">SUMPRODUCT(dFactor,tpSurvCnU,INDEX(elecCnU,stdCSL+1,1)*allOnes,OFFSET(tPrcElec,0,21,1,_maxLT))</f>
        <v>0</v>
      </c>
      <c r="AA151" s="13">
        <f ca="1">SUMPRODUCT(dFactor,tpSurvCnU,INDEX(elecCnU,stdCSL+1,1)*allOnes,OFFSET(tPrcElec,0,22,1,_maxLT))</f>
        <v>0</v>
      </c>
      <c r="AB151" s="13">
        <f ca="1">SUMPRODUCT(dFactor,tpSurvCnU,INDEX(elecCnU,stdCSL+1,1)*allOnes,OFFSET(tPrcElec,0,23,1,_maxLT))</f>
        <v>0</v>
      </c>
      <c r="AC151" s="13">
        <f ca="1">SUMPRODUCT(dFactor,tpSurvCnU,INDEX(elecCnU,stdCSL+1,1)*allOnes,OFFSET(tPrcElec,0,24,1,_maxLT))</f>
        <v>0</v>
      </c>
      <c r="AD151" s="13">
        <f ca="1">SUMPRODUCT(dFactor,tpSurvCnU,INDEX(elecCnU,stdCSL+1,1)*allOnes,OFFSET(tPrcElec,0,25,1,_maxLT))</f>
        <v>0</v>
      </c>
      <c r="AE151" s="13">
        <f ca="1">SUMPRODUCT(dFactor,tpSurvCnU,INDEX(elecCnU,stdCSL+1,1)*allOnes,OFFSET(tPrcElec,0,26,1,_maxLT))</f>
        <v>0</v>
      </c>
      <c r="AF151" s="13">
        <f ca="1">SUMPRODUCT(dFactor,tpSurvCnU,INDEX(elecCnU,stdCSL+1,1)*allOnes,OFFSET(tPrcElec,0,27,1,_maxLT))</f>
        <v>0</v>
      </c>
      <c r="AG151" s="13">
        <f ca="1">SUMPRODUCT(dFactor,tpSurvCnU,INDEX(elecCnU,stdCSL+1,1)*allOnes,OFFSET(tPrcElec,0,28,1,_maxLT))</f>
        <v>0</v>
      </c>
      <c r="AH151" s="13">
        <f ca="1">SUMPRODUCT(dFactor,tpSurvCnU,INDEX(elecCnU,stdCSL+1,1)*allOnes,OFFSET(tPrcElec,0,29,1,_maxLT))</f>
        <v>0</v>
      </c>
      <c r="AI151" s="13">
        <f ca="1">SUMPRODUCT(dFactor,tpSurvCnU,INDEX(elecCnU,stdCSL+1,1)*allOnes,OFFSET(tPrcElec,0,30,1,_maxLT))</f>
        <v>0</v>
      </c>
      <c r="AJ151" s="13">
        <f ca="1">SUMPRODUCT(dFactor,tpSurvCnU,INDEX(elecCnU,stdCSL+1,1)*allOnes,OFFSET(tPrcElec,0,31,1,_maxLT))</f>
        <v>0</v>
      </c>
      <c r="AK151" s="13">
        <f ca="1">SUMPRODUCT(dFactor,tpSurvCnU,INDEX(elecCnU,stdCSL+1,1)*allOnes,OFFSET(tPrcElec,0,32,1,_maxLT))</f>
        <v>0</v>
      </c>
      <c r="AL151" s="56">
        <f ca="1">SUMPRODUCT(dFactor,tpSurvCnU,INDEX(elecCnU,stdCSL+1,1)*allOnes,OFFSET(tPrcElec,0,33,1,_maxLT))</f>
        <v>0</v>
      </c>
      <c r="AM151" s="10"/>
    </row>
    <row r="152" spans="2:39">
      <c r="B152" s="10"/>
      <c r="C152" s="16" t="s">
        <v>79</v>
      </c>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5"/>
      <c r="AM152" s="10"/>
    </row>
    <row r="153" spans="2:39">
      <c r="B153" s="10"/>
      <c r="C153" s="28" t="str">
        <f>INDEX(_fuel,1)</f>
        <v>Electricity</v>
      </c>
      <c r="D153" s="12" t="s">
        <v>83</v>
      </c>
      <c r="E153" s="39">
        <f ca="1">SUMPRODUCT(OFFSET(tConvElecCnU,0,0,1,_maxLT),INDEX(elecCnU,stdCSL+1,1)*allOnes,tpSurvCnU)</f>
        <v>0</v>
      </c>
      <c r="F153" s="39">
        <f ca="1">SUMPRODUCT(OFFSET(tConvElecCnU,0,1,1,_maxLT),INDEX(elecCnU,stdCSL+1,1)*allOnes,tpSurvCnU)</f>
        <v>0</v>
      </c>
      <c r="G153" s="39">
        <f ca="1">SUMPRODUCT(OFFSET(tConvElecCnU,0,2,1,_maxLT),INDEX(elecCnU,stdCSL+1,1)*allOnes,tpSurvCnU)</f>
        <v>0</v>
      </c>
      <c r="H153" s="39">
        <f ca="1">SUMPRODUCT(OFFSET(tConvElecCnU,0,3,1,_maxLT),INDEX(elecCnU,stdCSL+1,1)*allOnes,tpSurvCnU)</f>
        <v>0</v>
      </c>
      <c r="I153" s="39">
        <f ca="1">SUMPRODUCT(OFFSET(tConvElecCnU,0,4,1,_maxLT),INDEX(elecCnU,stdCSL+1,1)*allOnes,tpSurvCnU)</f>
        <v>0</v>
      </c>
      <c r="J153" s="39">
        <f ca="1">SUMPRODUCT(OFFSET(tConvElecCnU,0,5,1,_maxLT),INDEX(elecCnU,stdCSL+1,1)*allOnes,tpSurvCnU)</f>
        <v>0</v>
      </c>
      <c r="K153" s="39">
        <f ca="1">SUMPRODUCT(OFFSET(tConvElecCnU,0,6,1,_maxLT),INDEX(elecCnU,stdCSL+1,1)*allOnes,tpSurvCnU)</f>
        <v>0</v>
      </c>
      <c r="L153" s="39">
        <f ca="1">SUMPRODUCT(OFFSET(tConvElecCnU,0,7,1,_maxLT),INDEX(elecCnU,stdCSL+1,1)*allOnes,tpSurvCnU)</f>
        <v>0</v>
      </c>
      <c r="M153" s="39">
        <f ca="1">SUMPRODUCT(OFFSET(tConvElecCnU,0,8,1,_maxLT),INDEX(elecCnU,stdCSL+1,1)*allOnes,tpSurvCnU)</f>
        <v>0</v>
      </c>
      <c r="N153" s="39">
        <f ca="1">SUMPRODUCT(OFFSET(tConvElecCnU,0,9,1,_maxLT),INDEX(elecCnU,stdCSL+1,1)*allOnes,tpSurvCnU)</f>
        <v>0</v>
      </c>
      <c r="O153" s="39">
        <f ca="1">SUMPRODUCT(OFFSET(tConvElecCnU,0,10,1,_maxLT),INDEX(elecCnU,stdCSL+1,1)*allOnes,tpSurvCnU)</f>
        <v>0</v>
      </c>
      <c r="P153" s="39">
        <f ca="1">SUMPRODUCT(OFFSET(tConvElecCnU,0,11,1,_maxLT),INDEX(elecCnU,stdCSL+1,1)*allOnes,tpSurvCnU)</f>
        <v>0</v>
      </c>
      <c r="Q153" s="39">
        <f ca="1">SUMPRODUCT(OFFSET(tConvElecCnU,0,12,1,_maxLT),INDEX(elecCnU,stdCSL+1,1)*allOnes,tpSurvCnU)</f>
        <v>0</v>
      </c>
      <c r="R153" s="39">
        <f ca="1">SUMPRODUCT(OFFSET(tConvElecCnU,0,13,1,_maxLT),INDEX(elecCnU,stdCSL+1,1)*allOnes,tpSurvCnU)</f>
        <v>0</v>
      </c>
      <c r="S153" s="39">
        <f ca="1">SUMPRODUCT(OFFSET(tConvElecCnU,0,14,1,_maxLT),INDEX(elecCnU,stdCSL+1,1)*allOnes,tpSurvCnU)</f>
        <v>0</v>
      </c>
      <c r="T153" s="39">
        <f ca="1">SUMPRODUCT(OFFSET(tConvElecCnU,0,15,1,_maxLT),INDEX(elecCnU,stdCSL+1,1)*allOnes,tpSurvCnU)</f>
        <v>0</v>
      </c>
      <c r="U153" s="39">
        <f ca="1">SUMPRODUCT(OFFSET(tConvElecCnU,0,16,1,_maxLT),INDEX(elecCnU,stdCSL+1,1)*allOnes,tpSurvCnU)</f>
        <v>0</v>
      </c>
      <c r="V153" s="39">
        <f ca="1">SUMPRODUCT(OFFSET(tConvElecCnU,0,17,1,_maxLT),INDEX(elecCnU,stdCSL+1,1)*allOnes,tpSurvCnU)</f>
        <v>0</v>
      </c>
      <c r="W153" s="39">
        <f ca="1">SUMPRODUCT(OFFSET(tConvElecCnU,0,18,1,_maxLT),INDEX(elecCnU,stdCSL+1,1)*allOnes,tpSurvCnU)</f>
        <v>0</v>
      </c>
      <c r="X153" s="39">
        <f ca="1">SUMPRODUCT(OFFSET(tConvElecCnU,0,19,1,_maxLT),INDEX(elecCnU,stdCSL+1,1)*allOnes,tpSurvCnU)</f>
        <v>0</v>
      </c>
      <c r="Y153" s="39">
        <f ca="1">SUMPRODUCT(OFFSET(tConvElecCnU,0,20,1,_maxLT),INDEX(elecCnU,stdCSL+1,1)*allOnes,tpSurvCnU)</f>
        <v>0</v>
      </c>
      <c r="Z153" s="39">
        <f ca="1">SUMPRODUCT(OFFSET(tConvElecCnU,0,21,1,_maxLT),INDEX(elecCnU,stdCSL+1,1)*allOnes,tpSurvCnU)</f>
        <v>0</v>
      </c>
      <c r="AA153" s="39">
        <f ca="1">SUMPRODUCT(OFFSET(tConvElecCnU,0,22,1,_maxLT),INDEX(elecCnU,stdCSL+1,1)*allOnes,tpSurvCnU)</f>
        <v>0</v>
      </c>
      <c r="AB153" s="39">
        <f ca="1">SUMPRODUCT(OFFSET(tConvElecCnU,0,23,1,_maxLT),INDEX(elecCnU,stdCSL+1,1)*allOnes,tpSurvCnU)</f>
        <v>0</v>
      </c>
      <c r="AC153" s="39">
        <f ca="1">SUMPRODUCT(OFFSET(tConvElecCnU,0,24,1,_maxLT),INDEX(elecCnU,stdCSL+1,1)*allOnes,tpSurvCnU)</f>
        <v>0</v>
      </c>
      <c r="AD153" s="39">
        <f ca="1">SUMPRODUCT(OFFSET(tConvElecCnU,0,25,1,_maxLT),INDEX(elecCnU,stdCSL+1,1)*allOnes,tpSurvCnU)</f>
        <v>0</v>
      </c>
      <c r="AE153" s="39">
        <f ca="1">SUMPRODUCT(OFFSET(tConvElecCnU,0,26,1,_maxLT),INDEX(elecCnU,stdCSL+1,1)*allOnes,tpSurvCnU)</f>
        <v>0</v>
      </c>
      <c r="AF153" s="39">
        <f ca="1">SUMPRODUCT(OFFSET(tConvElecCnU,0,27,1,_maxLT),INDEX(elecCnU,stdCSL+1,1)*allOnes,tpSurvCnU)</f>
        <v>0</v>
      </c>
      <c r="AG153" s="39">
        <f ca="1">SUMPRODUCT(OFFSET(tConvElecCnU,0,28,1,_maxLT),INDEX(elecCnU,stdCSL+1,1)*allOnes,tpSurvCnU)</f>
        <v>0</v>
      </c>
      <c r="AH153" s="39">
        <f ca="1">SUMPRODUCT(OFFSET(tConvElecCnU,0,29,1,_maxLT),INDEX(elecCnU,stdCSL+1,1)*allOnes,tpSurvCnU)</f>
        <v>0</v>
      </c>
      <c r="AI153" s="39">
        <f ca="1">SUMPRODUCT(OFFSET(tConvElecCnU,0,30,1,_maxLT),INDEX(elecCnU,stdCSL+1,1)*allOnes,tpSurvCnU)</f>
        <v>0</v>
      </c>
      <c r="AJ153" s="39">
        <f ca="1">SUMPRODUCT(OFFSET(tConvElecCnU,0,31,1,_maxLT),INDEX(elecCnU,stdCSL+1,1)*allOnes,tpSurvCnU)</f>
        <v>0</v>
      </c>
      <c r="AK153" s="39">
        <f ca="1">SUMPRODUCT(OFFSET(tConvElecCnU,0,32,1,_maxLT),INDEX(elecCnU,stdCSL+1,1)*allOnes,tpSurvCnU)</f>
        <v>0</v>
      </c>
      <c r="AL153" s="40">
        <f ca="1">SUMPRODUCT(OFFSET(tConvElecCnU,0,33,1,_maxLT),INDEX(elecCnU,stdCSL+1,1)*allOnes,tpSurvCnU)</f>
        <v>0</v>
      </c>
      <c r="AM153" s="10"/>
    </row>
    <row r="154" spans="2:39">
      <c r="B154" s="10"/>
      <c r="C154" s="57" t="str">
        <f>"EL 1: " &amp; INDEX(_doName,4,2)</f>
        <v>EL 1: EL 1</v>
      </c>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3"/>
      <c r="AM154" s="10"/>
    </row>
    <row r="155" spans="2:39">
      <c r="B155" s="10"/>
      <c r="C155" s="16" t="s">
        <v>69</v>
      </c>
      <c r="D155" s="12" t="str">
        <f>_yearDol &amp; "$"</f>
        <v>2015$</v>
      </c>
      <c r="E155" s="13">
        <f t="array" aca="1" ref="E155:AL155" ca="1">INDEX(mspCnU,stdCSL+1,2)*tPIdxAll + INDEX(instCnU,stdCSL+1,2) + IF(bESav,SUMPRODUCT(dFactor,tpSurvCnU,INDEX(mrCnU,stdCSL+1,2)*allOnes),0)</f>
        <v>0</v>
      </c>
      <c r="F155" s="13">
        <f ca="1"/>
        <v>0</v>
      </c>
      <c r="G155" s="13">
        <f ca="1"/>
        <v>0</v>
      </c>
      <c r="H155" s="13">
        <f ca="1"/>
        <v>0</v>
      </c>
      <c r="I155" s="13">
        <f ca="1"/>
        <v>0</v>
      </c>
      <c r="J155" s="13">
        <f ca="1"/>
        <v>0</v>
      </c>
      <c r="K155" s="13">
        <f ca="1"/>
        <v>0</v>
      </c>
      <c r="L155" s="13">
        <f ca="1"/>
        <v>0</v>
      </c>
      <c r="M155" s="13">
        <f ca="1"/>
        <v>0</v>
      </c>
      <c r="N155" s="13">
        <f ca="1"/>
        <v>0</v>
      </c>
      <c r="O155" s="13">
        <f ca="1"/>
        <v>0</v>
      </c>
      <c r="P155" s="13">
        <f ca="1"/>
        <v>0</v>
      </c>
      <c r="Q155" s="13">
        <f ca="1"/>
        <v>0</v>
      </c>
      <c r="R155" s="13">
        <f ca="1"/>
        <v>0</v>
      </c>
      <c r="S155" s="13">
        <f ca="1"/>
        <v>0</v>
      </c>
      <c r="T155" s="13">
        <f ca="1"/>
        <v>0</v>
      </c>
      <c r="U155" s="13">
        <f ca="1"/>
        <v>0</v>
      </c>
      <c r="V155" s="13">
        <f ca="1"/>
        <v>0</v>
      </c>
      <c r="W155" s="13">
        <f ca="1"/>
        <v>0</v>
      </c>
      <c r="X155" s="13">
        <f ca="1"/>
        <v>0</v>
      </c>
      <c r="Y155" s="13">
        <f ca="1"/>
        <v>0</v>
      </c>
      <c r="Z155" s="13">
        <f ca="1"/>
        <v>0</v>
      </c>
      <c r="AA155" s="13">
        <f ca="1"/>
        <v>0</v>
      </c>
      <c r="AB155" s="13">
        <f ca="1"/>
        <v>0</v>
      </c>
      <c r="AC155" s="13">
        <f ca="1"/>
        <v>0</v>
      </c>
      <c r="AD155" s="13">
        <f ca="1"/>
        <v>0</v>
      </c>
      <c r="AE155" s="13">
        <f ca="1"/>
        <v>0</v>
      </c>
      <c r="AF155" s="13">
        <f ca="1"/>
        <v>0</v>
      </c>
      <c r="AG155" s="13">
        <f ca="1"/>
        <v>0</v>
      </c>
      <c r="AH155" s="13">
        <f ca="1"/>
        <v>0</v>
      </c>
      <c r="AI155" s="13">
        <f ca="1"/>
        <v>0</v>
      </c>
      <c r="AJ155" s="13">
        <f ca="1"/>
        <v>0</v>
      </c>
      <c r="AK155" s="13">
        <f ca="1"/>
        <v>0</v>
      </c>
      <c r="AL155" s="56">
        <f ca="1"/>
        <v>0</v>
      </c>
      <c r="AM155" s="10"/>
    </row>
    <row r="156" spans="2:39">
      <c r="B156" s="10"/>
      <c r="C156" s="16" t="str">
        <f>zEO&amp;" Costs"</f>
        <v>Operating Costs</v>
      </c>
      <c r="D156" s="12" t="str">
        <f>_yearDol &amp; "$"</f>
        <v>2015$</v>
      </c>
      <c r="E156" s="13">
        <f t="array" aca="1" ref="E156:AL156" ca="1">(tlccEFuElecpol1) + IF(bOSav,SUMPRODUCT(dFactor,tpSurvCnU,INDEX(mrCnU,stdCSL+1,2)*allOnes),0)</f>
        <v>0</v>
      </c>
      <c r="F156" s="13">
        <f ca="1"/>
        <v>0</v>
      </c>
      <c r="G156" s="13">
        <f ca="1"/>
        <v>0</v>
      </c>
      <c r="H156" s="13">
        <f ca="1"/>
        <v>0</v>
      </c>
      <c r="I156" s="13">
        <f ca="1"/>
        <v>0</v>
      </c>
      <c r="J156" s="13">
        <f ca="1"/>
        <v>0</v>
      </c>
      <c r="K156" s="13">
        <f ca="1"/>
        <v>0</v>
      </c>
      <c r="L156" s="13">
        <f ca="1"/>
        <v>0</v>
      </c>
      <c r="M156" s="13">
        <f ca="1"/>
        <v>0</v>
      </c>
      <c r="N156" s="13">
        <f ca="1"/>
        <v>0</v>
      </c>
      <c r="O156" s="13">
        <f ca="1"/>
        <v>0</v>
      </c>
      <c r="P156" s="13">
        <f ca="1"/>
        <v>0</v>
      </c>
      <c r="Q156" s="13">
        <f ca="1"/>
        <v>0</v>
      </c>
      <c r="R156" s="13">
        <f ca="1"/>
        <v>0</v>
      </c>
      <c r="S156" s="13">
        <f ca="1"/>
        <v>0</v>
      </c>
      <c r="T156" s="13">
        <f ca="1"/>
        <v>0</v>
      </c>
      <c r="U156" s="13">
        <f ca="1"/>
        <v>0</v>
      </c>
      <c r="V156" s="13">
        <f ca="1"/>
        <v>0</v>
      </c>
      <c r="W156" s="13">
        <f ca="1"/>
        <v>0</v>
      </c>
      <c r="X156" s="13">
        <f ca="1"/>
        <v>0</v>
      </c>
      <c r="Y156" s="13">
        <f ca="1"/>
        <v>0</v>
      </c>
      <c r="Z156" s="13">
        <f ca="1"/>
        <v>0</v>
      </c>
      <c r="AA156" s="13">
        <f ca="1"/>
        <v>0</v>
      </c>
      <c r="AB156" s="13">
        <f ca="1"/>
        <v>0</v>
      </c>
      <c r="AC156" s="13">
        <f ca="1"/>
        <v>0</v>
      </c>
      <c r="AD156" s="13">
        <f ca="1"/>
        <v>0</v>
      </c>
      <c r="AE156" s="13">
        <f ca="1"/>
        <v>0</v>
      </c>
      <c r="AF156" s="13">
        <f ca="1"/>
        <v>0</v>
      </c>
      <c r="AG156" s="13">
        <f ca="1"/>
        <v>0</v>
      </c>
      <c r="AH156" s="13">
        <f ca="1"/>
        <v>0</v>
      </c>
      <c r="AI156" s="13">
        <f ca="1"/>
        <v>0</v>
      </c>
      <c r="AJ156" s="13">
        <f ca="1"/>
        <v>0</v>
      </c>
      <c r="AK156" s="13">
        <f ca="1"/>
        <v>0</v>
      </c>
      <c r="AL156" s="56">
        <f ca="1"/>
        <v>0</v>
      </c>
      <c r="AM156" s="10"/>
    </row>
    <row r="157" spans="2:39">
      <c r="B157" s="10"/>
      <c r="C157" s="28" t="str">
        <f>INDEX(_fuel,1)</f>
        <v>Electricity</v>
      </c>
      <c r="D157" s="12" t="str">
        <f>_yearDol &amp; "$"</f>
        <v>2015$</v>
      </c>
      <c r="E157" s="13">
        <f ca="1">SUMPRODUCT(dFactor,tpSurvCnU,INDEX(elecCnU,stdCSL+1,2)*allOnes,OFFSET(tPrcElec,0,0,1,_maxLT))</f>
        <v>0</v>
      </c>
      <c r="F157" s="13">
        <f ca="1">SUMPRODUCT(dFactor,tpSurvCnU,INDEX(elecCnU,stdCSL+1,2)*allOnes,OFFSET(tPrcElec,0,1,1,_maxLT))</f>
        <v>0</v>
      </c>
      <c r="G157" s="13">
        <f ca="1">SUMPRODUCT(dFactor,tpSurvCnU,INDEX(elecCnU,stdCSL+1,2)*allOnes,OFFSET(tPrcElec,0,2,1,_maxLT))</f>
        <v>0</v>
      </c>
      <c r="H157" s="13">
        <f ca="1">SUMPRODUCT(dFactor,tpSurvCnU,INDEX(elecCnU,stdCSL+1,2)*allOnes,OFFSET(tPrcElec,0,3,1,_maxLT))</f>
        <v>0</v>
      </c>
      <c r="I157" s="13">
        <f ca="1">SUMPRODUCT(dFactor,tpSurvCnU,INDEX(elecCnU,stdCSL+1,2)*allOnes,OFFSET(tPrcElec,0,4,1,_maxLT))</f>
        <v>0</v>
      </c>
      <c r="J157" s="13">
        <f ca="1">SUMPRODUCT(dFactor,tpSurvCnU,INDEX(elecCnU,stdCSL+1,2)*allOnes,OFFSET(tPrcElec,0,5,1,_maxLT))</f>
        <v>0</v>
      </c>
      <c r="K157" s="13">
        <f ca="1">SUMPRODUCT(dFactor,tpSurvCnU,INDEX(elecCnU,stdCSL+1,2)*allOnes,OFFSET(tPrcElec,0,6,1,_maxLT))</f>
        <v>0</v>
      </c>
      <c r="L157" s="13">
        <f ca="1">SUMPRODUCT(dFactor,tpSurvCnU,INDEX(elecCnU,stdCSL+1,2)*allOnes,OFFSET(tPrcElec,0,7,1,_maxLT))</f>
        <v>0</v>
      </c>
      <c r="M157" s="13">
        <f ca="1">SUMPRODUCT(dFactor,tpSurvCnU,INDEX(elecCnU,stdCSL+1,2)*allOnes,OFFSET(tPrcElec,0,8,1,_maxLT))</f>
        <v>0</v>
      </c>
      <c r="N157" s="13">
        <f ca="1">SUMPRODUCT(dFactor,tpSurvCnU,INDEX(elecCnU,stdCSL+1,2)*allOnes,OFFSET(tPrcElec,0,9,1,_maxLT))</f>
        <v>0</v>
      </c>
      <c r="O157" s="13">
        <f ca="1">SUMPRODUCT(dFactor,tpSurvCnU,INDEX(elecCnU,stdCSL+1,2)*allOnes,OFFSET(tPrcElec,0,10,1,_maxLT))</f>
        <v>0</v>
      </c>
      <c r="P157" s="13">
        <f ca="1">SUMPRODUCT(dFactor,tpSurvCnU,INDEX(elecCnU,stdCSL+1,2)*allOnes,OFFSET(tPrcElec,0,11,1,_maxLT))</f>
        <v>0</v>
      </c>
      <c r="Q157" s="13">
        <f ca="1">SUMPRODUCT(dFactor,tpSurvCnU,INDEX(elecCnU,stdCSL+1,2)*allOnes,OFFSET(tPrcElec,0,12,1,_maxLT))</f>
        <v>0</v>
      </c>
      <c r="R157" s="13">
        <f ca="1">SUMPRODUCT(dFactor,tpSurvCnU,INDEX(elecCnU,stdCSL+1,2)*allOnes,OFFSET(tPrcElec,0,13,1,_maxLT))</f>
        <v>0</v>
      </c>
      <c r="S157" s="13">
        <f ca="1">SUMPRODUCT(dFactor,tpSurvCnU,INDEX(elecCnU,stdCSL+1,2)*allOnes,OFFSET(tPrcElec,0,14,1,_maxLT))</f>
        <v>0</v>
      </c>
      <c r="T157" s="13">
        <f ca="1">SUMPRODUCT(dFactor,tpSurvCnU,INDEX(elecCnU,stdCSL+1,2)*allOnes,OFFSET(tPrcElec,0,15,1,_maxLT))</f>
        <v>0</v>
      </c>
      <c r="U157" s="13">
        <f ca="1">SUMPRODUCT(dFactor,tpSurvCnU,INDEX(elecCnU,stdCSL+1,2)*allOnes,OFFSET(tPrcElec,0,16,1,_maxLT))</f>
        <v>0</v>
      </c>
      <c r="V157" s="13">
        <f ca="1">SUMPRODUCT(dFactor,tpSurvCnU,INDEX(elecCnU,stdCSL+1,2)*allOnes,OFFSET(tPrcElec,0,17,1,_maxLT))</f>
        <v>0</v>
      </c>
      <c r="W157" s="13">
        <f ca="1">SUMPRODUCT(dFactor,tpSurvCnU,INDEX(elecCnU,stdCSL+1,2)*allOnes,OFFSET(tPrcElec,0,18,1,_maxLT))</f>
        <v>0</v>
      </c>
      <c r="X157" s="13">
        <f ca="1">SUMPRODUCT(dFactor,tpSurvCnU,INDEX(elecCnU,stdCSL+1,2)*allOnes,OFFSET(tPrcElec,0,19,1,_maxLT))</f>
        <v>0</v>
      </c>
      <c r="Y157" s="13">
        <f ca="1">SUMPRODUCT(dFactor,tpSurvCnU,INDEX(elecCnU,stdCSL+1,2)*allOnes,OFFSET(tPrcElec,0,20,1,_maxLT))</f>
        <v>0</v>
      </c>
      <c r="Z157" s="13">
        <f ca="1">SUMPRODUCT(dFactor,tpSurvCnU,INDEX(elecCnU,stdCSL+1,2)*allOnes,OFFSET(tPrcElec,0,21,1,_maxLT))</f>
        <v>0</v>
      </c>
      <c r="AA157" s="13">
        <f ca="1">SUMPRODUCT(dFactor,tpSurvCnU,INDEX(elecCnU,stdCSL+1,2)*allOnes,OFFSET(tPrcElec,0,22,1,_maxLT))</f>
        <v>0</v>
      </c>
      <c r="AB157" s="13">
        <f ca="1">SUMPRODUCT(dFactor,tpSurvCnU,INDEX(elecCnU,stdCSL+1,2)*allOnes,OFFSET(tPrcElec,0,23,1,_maxLT))</f>
        <v>0</v>
      </c>
      <c r="AC157" s="13">
        <f ca="1">SUMPRODUCT(dFactor,tpSurvCnU,INDEX(elecCnU,stdCSL+1,2)*allOnes,OFFSET(tPrcElec,0,24,1,_maxLT))</f>
        <v>0</v>
      </c>
      <c r="AD157" s="13">
        <f ca="1">SUMPRODUCT(dFactor,tpSurvCnU,INDEX(elecCnU,stdCSL+1,2)*allOnes,OFFSET(tPrcElec,0,25,1,_maxLT))</f>
        <v>0</v>
      </c>
      <c r="AE157" s="13">
        <f ca="1">SUMPRODUCT(dFactor,tpSurvCnU,INDEX(elecCnU,stdCSL+1,2)*allOnes,OFFSET(tPrcElec,0,26,1,_maxLT))</f>
        <v>0</v>
      </c>
      <c r="AF157" s="13">
        <f ca="1">SUMPRODUCT(dFactor,tpSurvCnU,INDEX(elecCnU,stdCSL+1,2)*allOnes,OFFSET(tPrcElec,0,27,1,_maxLT))</f>
        <v>0</v>
      </c>
      <c r="AG157" s="13">
        <f ca="1">SUMPRODUCT(dFactor,tpSurvCnU,INDEX(elecCnU,stdCSL+1,2)*allOnes,OFFSET(tPrcElec,0,28,1,_maxLT))</f>
        <v>0</v>
      </c>
      <c r="AH157" s="13">
        <f ca="1">SUMPRODUCT(dFactor,tpSurvCnU,INDEX(elecCnU,stdCSL+1,2)*allOnes,OFFSET(tPrcElec,0,29,1,_maxLT))</f>
        <v>0</v>
      </c>
      <c r="AI157" s="13">
        <f ca="1">SUMPRODUCT(dFactor,tpSurvCnU,INDEX(elecCnU,stdCSL+1,2)*allOnes,OFFSET(tPrcElec,0,30,1,_maxLT))</f>
        <v>0</v>
      </c>
      <c r="AJ157" s="13">
        <f ca="1">SUMPRODUCT(dFactor,tpSurvCnU,INDEX(elecCnU,stdCSL+1,2)*allOnes,OFFSET(tPrcElec,0,31,1,_maxLT))</f>
        <v>0</v>
      </c>
      <c r="AK157" s="13">
        <f ca="1">SUMPRODUCT(dFactor,tpSurvCnU,INDEX(elecCnU,stdCSL+1,2)*allOnes,OFFSET(tPrcElec,0,32,1,_maxLT))</f>
        <v>0</v>
      </c>
      <c r="AL157" s="56">
        <f ca="1">SUMPRODUCT(dFactor,tpSurvCnU,INDEX(elecCnU,stdCSL+1,2)*allOnes,OFFSET(tPrcElec,0,33,1,_maxLT))</f>
        <v>0</v>
      </c>
      <c r="AM157" s="10"/>
    </row>
    <row r="158" spans="2:39">
      <c r="B158" s="10"/>
      <c r="C158" s="16" t="s">
        <v>79</v>
      </c>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5"/>
      <c r="AM158" s="10"/>
    </row>
    <row r="159" spans="2:39">
      <c r="B159" s="10"/>
      <c r="C159" s="28" t="str">
        <f>INDEX(_fuel,1)</f>
        <v>Electricity</v>
      </c>
      <c r="D159" s="12" t="s">
        <v>83</v>
      </c>
      <c r="E159" s="39">
        <f ca="1">SUMPRODUCT(OFFSET(tConvElecCnU,0,0,1,_maxLT),INDEX(elecCnU,stdCSL+1,2)*allOnes,tpSurvCnU)</f>
        <v>0</v>
      </c>
      <c r="F159" s="39">
        <f ca="1">SUMPRODUCT(OFFSET(tConvElecCnU,0,1,1,_maxLT),INDEX(elecCnU,stdCSL+1,2)*allOnes,tpSurvCnU)</f>
        <v>0</v>
      </c>
      <c r="G159" s="39">
        <f ca="1">SUMPRODUCT(OFFSET(tConvElecCnU,0,2,1,_maxLT),INDEX(elecCnU,stdCSL+1,2)*allOnes,tpSurvCnU)</f>
        <v>0</v>
      </c>
      <c r="H159" s="39">
        <f ca="1">SUMPRODUCT(OFFSET(tConvElecCnU,0,3,1,_maxLT),INDEX(elecCnU,stdCSL+1,2)*allOnes,tpSurvCnU)</f>
        <v>0</v>
      </c>
      <c r="I159" s="39">
        <f ca="1">SUMPRODUCT(OFFSET(tConvElecCnU,0,4,1,_maxLT),INDEX(elecCnU,stdCSL+1,2)*allOnes,tpSurvCnU)</f>
        <v>0</v>
      </c>
      <c r="J159" s="39">
        <f ca="1">SUMPRODUCT(OFFSET(tConvElecCnU,0,5,1,_maxLT),INDEX(elecCnU,stdCSL+1,2)*allOnes,tpSurvCnU)</f>
        <v>0</v>
      </c>
      <c r="K159" s="39">
        <f ca="1">SUMPRODUCT(OFFSET(tConvElecCnU,0,6,1,_maxLT),INDEX(elecCnU,stdCSL+1,2)*allOnes,tpSurvCnU)</f>
        <v>0</v>
      </c>
      <c r="L159" s="39">
        <f ca="1">SUMPRODUCT(OFFSET(tConvElecCnU,0,7,1,_maxLT),INDEX(elecCnU,stdCSL+1,2)*allOnes,tpSurvCnU)</f>
        <v>0</v>
      </c>
      <c r="M159" s="39">
        <f ca="1">SUMPRODUCT(OFFSET(tConvElecCnU,0,8,1,_maxLT),INDEX(elecCnU,stdCSL+1,2)*allOnes,tpSurvCnU)</f>
        <v>0</v>
      </c>
      <c r="N159" s="39">
        <f ca="1">SUMPRODUCT(OFFSET(tConvElecCnU,0,9,1,_maxLT),INDEX(elecCnU,stdCSL+1,2)*allOnes,tpSurvCnU)</f>
        <v>0</v>
      </c>
      <c r="O159" s="39">
        <f ca="1">SUMPRODUCT(OFFSET(tConvElecCnU,0,10,1,_maxLT),INDEX(elecCnU,stdCSL+1,2)*allOnes,tpSurvCnU)</f>
        <v>0</v>
      </c>
      <c r="P159" s="39">
        <f ca="1">SUMPRODUCT(OFFSET(tConvElecCnU,0,11,1,_maxLT),INDEX(elecCnU,stdCSL+1,2)*allOnes,tpSurvCnU)</f>
        <v>0</v>
      </c>
      <c r="Q159" s="39">
        <f ca="1">SUMPRODUCT(OFFSET(tConvElecCnU,0,12,1,_maxLT),INDEX(elecCnU,stdCSL+1,2)*allOnes,tpSurvCnU)</f>
        <v>0</v>
      </c>
      <c r="R159" s="39">
        <f ca="1">SUMPRODUCT(OFFSET(tConvElecCnU,0,13,1,_maxLT),INDEX(elecCnU,stdCSL+1,2)*allOnes,tpSurvCnU)</f>
        <v>0</v>
      </c>
      <c r="S159" s="39">
        <f ca="1">SUMPRODUCT(OFFSET(tConvElecCnU,0,14,1,_maxLT),INDEX(elecCnU,stdCSL+1,2)*allOnes,tpSurvCnU)</f>
        <v>0</v>
      </c>
      <c r="T159" s="39">
        <f ca="1">SUMPRODUCT(OFFSET(tConvElecCnU,0,15,1,_maxLT),INDEX(elecCnU,stdCSL+1,2)*allOnes,tpSurvCnU)</f>
        <v>0</v>
      </c>
      <c r="U159" s="39">
        <f ca="1">SUMPRODUCT(OFFSET(tConvElecCnU,0,16,1,_maxLT),INDEX(elecCnU,stdCSL+1,2)*allOnes,tpSurvCnU)</f>
        <v>0</v>
      </c>
      <c r="V159" s="39">
        <f ca="1">SUMPRODUCT(OFFSET(tConvElecCnU,0,17,1,_maxLT),INDEX(elecCnU,stdCSL+1,2)*allOnes,tpSurvCnU)</f>
        <v>0</v>
      </c>
      <c r="W159" s="39">
        <f ca="1">SUMPRODUCT(OFFSET(tConvElecCnU,0,18,1,_maxLT),INDEX(elecCnU,stdCSL+1,2)*allOnes,tpSurvCnU)</f>
        <v>0</v>
      </c>
      <c r="X159" s="39">
        <f ca="1">SUMPRODUCT(OFFSET(tConvElecCnU,0,19,1,_maxLT),INDEX(elecCnU,stdCSL+1,2)*allOnes,tpSurvCnU)</f>
        <v>0</v>
      </c>
      <c r="Y159" s="39">
        <f ca="1">SUMPRODUCT(OFFSET(tConvElecCnU,0,20,1,_maxLT),INDEX(elecCnU,stdCSL+1,2)*allOnes,tpSurvCnU)</f>
        <v>0</v>
      </c>
      <c r="Z159" s="39">
        <f ca="1">SUMPRODUCT(OFFSET(tConvElecCnU,0,21,1,_maxLT),INDEX(elecCnU,stdCSL+1,2)*allOnes,tpSurvCnU)</f>
        <v>0</v>
      </c>
      <c r="AA159" s="39">
        <f ca="1">SUMPRODUCT(OFFSET(tConvElecCnU,0,22,1,_maxLT),INDEX(elecCnU,stdCSL+1,2)*allOnes,tpSurvCnU)</f>
        <v>0</v>
      </c>
      <c r="AB159" s="39">
        <f ca="1">SUMPRODUCT(OFFSET(tConvElecCnU,0,23,1,_maxLT),INDEX(elecCnU,stdCSL+1,2)*allOnes,tpSurvCnU)</f>
        <v>0</v>
      </c>
      <c r="AC159" s="39">
        <f ca="1">SUMPRODUCT(OFFSET(tConvElecCnU,0,24,1,_maxLT),INDEX(elecCnU,stdCSL+1,2)*allOnes,tpSurvCnU)</f>
        <v>0</v>
      </c>
      <c r="AD159" s="39">
        <f ca="1">SUMPRODUCT(OFFSET(tConvElecCnU,0,25,1,_maxLT),INDEX(elecCnU,stdCSL+1,2)*allOnes,tpSurvCnU)</f>
        <v>0</v>
      </c>
      <c r="AE159" s="39">
        <f ca="1">SUMPRODUCT(OFFSET(tConvElecCnU,0,26,1,_maxLT),INDEX(elecCnU,stdCSL+1,2)*allOnes,tpSurvCnU)</f>
        <v>0</v>
      </c>
      <c r="AF159" s="39">
        <f ca="1">SUMPRODUCT(OFFSET(tConvElecCnU,0,27,1,_maxLT),INDEX(elecCnU,stdCSL+1,2)*allOnes,tpSurvCnU)</f>
        <v>0</v>
      </c>
      <c r="AG159" s="39">
        <f ca="1">SUMPRODUCT(OFFSET(tConvElecCnU,0,28,1,_maxLT),INDEX(elecCnU,stdCSL+1,2)*allOnes,tpSurvCnU)</f>
        <v>0</v>
      </c>
      <c r="AH159" s="39">
        <f ca="1">SUMPRODUCT(OFFSET(tConvElecCnU,0,29,1,_maxLT),INDEX(elecCnU,stdCSL+1,2)*allOnes,tpSurvCnU)</f>
        <v>0</v>
      </c>
      <c r="AI159" s="39">
        <f ca="1">SUMPRODUCT(OFFSET(tConvElecCnU,0,30,1,_maxLT),INDEX(elecCnU,stdCSL+1,2)*allOnes,tpSurvCnU)</f>
        <v>0</v>
      </c>
      <c r="AJ159" s="39">
        <f ca="1">SUMPRODUCT(OFFSET(tConvElecCnU,0,31,1,_maxLT),INDEX(elecCnU,stdCSL+1,2)*allOnes,tpSurvCnU)</f>
        <v>0</v>
      </c>
      <c r="AK159" s="39">
        <f ca="1">SUMPRODUCT(OFFSET(tConvElecCnU,0,32,1,_maxLT),INDEX(elecCnU,stdCSL+1,2)*allOnes,tpSurvCnU)</f>
        <v>0</v>
      </c>
      <c r="AL159" s="40">
        <f ca="1">SUMPRODUCT(OFFSET(tConvElecCnU,0,33,1,_maxLT),INDEX(elecCnU,stdCSL+1,2)*allOnes,tpSurvCnU)</f>
        <v>0</v>
      </c>
      <c r="AM159" s="10"/>
    </row>
    <row r="160" spans="2:39">
      <c r="B160" s="10"/>
      <c r="C160" s="57" t="str">
        <f>"EL 2: " &amp; INDEX(_doName,4,3)</f>
        <v>EL 2: EL 2</v>
      </c>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3"/>
      <c r="AM160" s="10"/>
    </row>
    <row r="161" spans="2:39">
      <c r="B161" s="10"/>
      <c r="C161" s="16" t="s">
        <v>69</v>
      </c>
      <c r="D161" s="12" t="str">
        <f>_yearDol &amp; "$"</f>
        <v>2015$</v>
      </c>
      <c r="E161" s="13">
        <f t="array" aca="1" ref="E161:AL161" ca="1">INDEX(mspCnU,stdCSL+1,3)*tPIdxAll + INDEX(instCnU,stdCSL+1,3) + IF(bESav,SUMPRODUCT(dFactor,tpSurvCnU,INDEX(mrCnU,stdCSL+1,3)*allOnes),0)</f>
        <v>0</v>
      </c>
      <c r="F161" s="13">
        <f ca="1"/>
        <v>0</v>
      </c>
      <c r="G161" s="13">
        <f ca="1"/>
        <v>0</v>
      </c>
      <c r="H161" s="13">
        <f ca="1"/>
        <v>0</v>
      </c>
      <c r="I161" s="13">
        <f ca="1"/>
        <v>0</v>
      </c>
      <c r="J161" s="13">
        <f ca="1"/>
        <v>0</v>
      </c>
      <c r="K161" s="13">
        <f ca="1"/>
        <v>0</v>
      </c>
      <c r="L161" s="13">
        <f ca="1"/>
        <v>0</v>
      </c>
      <c r="M161" s="13">
        <f ca="1"/>
        <v>0</v>
      </c>
      <c r="N161" s="13">
        <f ca="1"/>
        <v>0</v>
      </c>
      <c r="O161" s="13">
        <f ca="1"/>
        <v>0</v>
      </c>
      <c r="P161" s="13">
        <f ca="1"/>
        <v>0</v>
      </c>
      <c r="Q161" s="13">
        <f ca="1"/>
        <v>0</v>
      </c>
      <c r="R161" s="13">
        <f ca="1"/>
        <v>0</v>
      </c>
      <c r="S161" s="13">
        <f ca="1"/>
        <v>0</v>
      </c>
      <c r="T161" s="13">
        <f ca="1"/>
        <v>0</v>
      </c>
      <c r="U161" s="13">
        <f ca="1"/>
        <v>0</v>
      </c>
      <c r="V161" s="13">
        <f ca="1"/>
        <v>0</v>
      </c>
      <c r="W161" s="13">
        <f ca="1"/>
        <v>0</v>
      </c>
      <c r="X161" s="13">
        <f ca="1"/>
        <v>0</v>
      </c>
      <c r="Y161" s="13">
        <f ca="1"/>
        <v>0</v>
      </c>
      <c r="Z161" s="13">
        <f ca="1"/>
        <v>0</v>
      </c>
      <c r="AA161" s="13">
        <f ca="1"/>
        <v>0</v>
      </c>
      <c r="AB161" s="13">
        <f ca="1"/>
        <v>0</v>
      </c>
      <c r="AC161" s="13">
        <f ca="1"/>
        <v>0</v>
      </c>
      <c r="AD161" s="13">
        <f ca="1"/>
        <v>0</v>
      </c>
      <c r="AE161" s="13">
        <f ca="1"/>
        <v>0</v>
      </c>
      <c r="AF161" s="13">
        <f ca="1"/>
        <v>0</v>
      </c>
      <c r="AG161" s="13">
        <f ca="1"/>
        <v>0</v>
      </c>
      <c r="AH161" s="13">
        <f ca="1"/>
        <v>0</v>
      </c>
      <c r="AI161" s="13">
        <f ca="1"/>
        <v>0</v>
      </c>
      <c r="AJ161" s="13">
        <f ca="1"/>
        <v>0</v>
      </c>
      <c r="AK161" s="13">
        <f ca="1"/>
        <v>0</v>
      </c>
      <c r="AL161" s="56">
        <f ca="1"/>
        <v>0</v>
      </c>
      <c r="AM161" s="10"/>
    </row>
    <row r="162" spans="2:39">
      <c r="B162" s="10"/>
      <c r="C162" s="16" t="str">
        <f>zEO&amp;" Costs"</f>
        <v>Operating Costs</v>
      </c>
      <c r="D162" s="12" t="str">
        <f>_yearDol &amp; "$"</f>
        <v>2015$</v>
      </c>
      <c r="E162" s="13">
        <f t="array" aca="1" ref="E162:AL162" ca="1">(tlccEFuElecpol2) + IF(bOSav,SUMPRODUCT(dFactor,tpSurvCnU,INDEX(mrCnU,stdCSL+1,3)*allOnes),0)</f>
        <v>0</v>
      </c>
      <c r="F162" s="13">
        <f ca="1"/>
        <v>0</v>
      </c>
      <c r="G162" s="13">
        <f ca="1"/>
        <v>0</v>
      </c>
      <c r="H162" s="13">
        <f ca="1"/>
        <v>0</v>
      </c>
      <c r="I162" s="13">
        <f ca="1"/>
        <v>0</v>
      </c>
      <c r="J162" s="13">
        <f ca="1"/>
        <v>0</v>
      </c>
      <c r="K162" s="13">
        <f ca="1"/>
        <v>0</v>
      </c>
      <c r="L162" s="13">
        <f ca="1"/>
        <v>0</v>
      </c>
      <c r="M162" s="13">
        <f ca="1"/>
        <v>0</v>
      </c>
      <c r="N162" s="13">
        <f ca="1"/>
        <v>0</v>
      </c>
      <c r="O162" s="13">
        <f ca="1"/>
        <v>0</v>
      </c>
      <c r="P162" s="13">
        <f ca="1"/>
        <v>0</v>
      </c>
      <c r="Q162" s="13">
        <f ca="1"/>
        <v>0</v>
      </c>
      <c r="R162" s="13">
        <f ca="1"/>
        <v>0</v>
      </c>
      <c r="S162" s="13">
        <f ca="1"/>
        <v>0</v>
      </c>
      <c r="T162" s="13">
        <f ca="1"/>
        <v>0</v>
      </c>
      <c r="U162" s="13">
        <f ca="1"/>
        <v>0</v>
      </c>
      <c r="V162" s="13">
        <f ca="1"/>
        <v>0</v>
      </c>
      <c r="W162" s="13">
        <f ca="1"/>
        <v>0</v>
      </c>
      <c r="X162" s="13">
        <f ca="1"/>
        <v>0</v>
      </c>
      <c r="Y162" s="13">
        <f ca="1"/>
        <v>0</v>
      </c>
      <c r="Z162" s="13">
        <f ca="1"/>
        <v>0</v>
      </c>
      <c r="AA162" s="13">
        <f ca="1"/>
        <v>0</v>
      </c>
      <c r="AB162" s="13">
        <f ca="1"/>
        <v>0</v>
      </c>
      <c r="AC162" s="13">
        <f ca="1"/>
        <v>0</v>
      </c>
      <c r="AD162" s="13">
        <f ca="1"/>
        <v>0</v>
      </c>
      <c r="AE162" s="13">
        <f ca="1"/>
        <v>0</v>
      </c>
      <c r="AF162" s="13">
        <f ca="1"/>
        <v>0</v>
      </c>
      <c r="AG162" s="13">
        <f ca="1"/>
        <v>0</v>
      </c>
      <c r="AH162" s="13">
        <f ca="1"/>
        <v>0</v>
      </c>
      <c r="AI162" s="13">
        <f ca="1"/>
        <v>0</v>
      </c>
      <c r="AJ162" s="13">
        <f ca="1"/>
        <v>0</v>
      </c>
      <c r="AK162" s="13">
        <f ca="1"/>
        <v>0</v>
      </c>
      <c r="AL162" s="56">
        <f ca="1"/>
        <v>0</v>
      </c>
      <c r="AM162" s="10"/>
    </row>
    <row r="163" spans="2:39">
      <c r="B163" s="10"/>
      <c r="C163" s="28" t="str">
        <f>INDEX(_fuel,1)</f>
        <v>Electricity</v>
      </c>
      <c r="D163" s="12" t="str">
        <f>_yearDol &amp; "$"</f>
        <v>2015$</v>
      </c>
      <c r="E163" s="13">
        <f ca="1">SUMPRODUCT(dFactor,tpSurvCnU,INDEX(elecCnU,stdCSL+1,3)*allOnes,OFFSET(tPrcElec,0,0,1,_maxLT))</f>
        <v>0</v>
      </c>
      <c r="F163" s="13">
        <f ca="1">SUMPRODUCT(dFactor,tpSurvCnU,INDEX(elecCnU,stdCSL+1,3)*allOnes,OFFSET(tPrcElec,0,1,1,_maxLT))</f>
        <v>0</v>
      </c>
      <c r="G163" s="13">
        <f ca="1">SUMPRODUCT(dFactor,tpSurvCnU,INDEX(elecCnU,stdCSL+1,3)*allOnes,OFFSET(tPrcElec,0,2,1,_maxLT))</f>
        <v>0</v>
      </c>
      <c r="H163" s="13">
        <f ca="1">SUMPRODUCT(dFactor,tpSurvCnU,INDEX(elecCnU,stdCSL+1,3)*allOnes,OFFSET(tPrcElec,0,3,1,_maxLT))</f>
        <v>0</v>
      </c>
      <c r="I163" s="13">
        <f ca="1">SUMPRODUCT(dFactor,tpSurvCnU,INDEX(elecCnU,stdCSL+1,3)*allOnes,OFFSET(tPrcElec,0,4,1,_maxLT))</f>
        <v>0</v>
      </c>
      <c r="J163" s="13">
        <f ca="1">SUMPRODUCT(dFactor,tpSurvCnU,INDEX(elecCnU,stdCSL+1,3)*allOnes,OFFSET(tPrcElec,0,5,1,_maxLT))</f>
        <v>0</v>
      </c>
      <c r="K163" s="13">
        <f ca="1">SUMPRODUCT(dFactor,tpSurvCnU,INDEX(elecCnU,stdCSL+1,3)*allOnes,OFFSET(tPrcElec,0,6,1,_maxLT))</f>
        <v>0</v>
      </c>
      <c r="L163" s="13">
        <f ca="1">SUMPRODUCT(dFactor,tpSurvCnU,INDEX(elecCnU,stdCSL+1,3)*allOnes,OFFSET(tPrcElec,0,7,1,_maxLT))</f>
        <v>0</v>
      </c>
      <c r="M163" s="13">
        <f ca="1">SUMPRODUCT(dFactor,tpSurvCnU,INDEX(elecCnU,stdCSL+1,3)*allOnes,OFFSET(tPrcElec,0,8,1,_maxLT))</f>
        <v>0</v>
      </c>
      <c r="N163" s="13">
        <f ca="1">SUMPRODUCT(dFactor,tpSurvCnU,INDEX(elecCnU,stdCSL+1,3)*allOnes,OFFSET(tPrcElec,0,9,1,_maxLT))</f>
        <v>0</v>
      </c>
      <c r="O163" s="13">
        <f ca="1">SUMPRODUCT(dFactor,tpSurvCnU,INDEX(elecCnU,stdCSL+1,3)*allOnes,OFFSET(tPrcElec,0,10,1,_maxLT))</f>
        <v>0</v>
      </c>
      <c r="P163" s="13">
        <f ca="1">SUMPRODUCT(dFactor,tpSurvCnU,INDEX(elecCnU,stdCSL+1,3)*allOnes,OFFSET(tPrcElec,0,11,1,_maxLT))</f>
        <v>0</v>
      </c>
      <c r="Q163" s="13">
        <f ca="1">SUMPRODUCT(dFactor,tpSurvCnU,INDEX(elecCnU,stdCSL+1,3)*allOnes,OFFSET(tPrcElec,0,12,1,_maxLT))</f>
        <v>0</v>
      </c>
      <c r="R163" s="13">
        <f ca="1">SUMPRODUCT(dFactor,tpSurvCnU,INDEX(elecCnU,stdCSL+1,3)*allOnes,OFFSET(tPrcElec,0,13,1,_maxLT))</f>
        <v>0</v>
      </c>
      <c r="S163" s="13">
        <f ca="1">SUMPRODUCT(dFactor,tpSurvCnU,INDEX(elecCnU,stdCSL+1,3)*allOnes,OFFSET(tPrcElec,0,14,1,_maxLT))</f>
        <v>0</v>
      </c>
      <c r="T163" s="13">
        <f ca="1">SUMPRODUCT(dFactor,tpSurvCnU,INDEX(elecCnU,stdCSL+1,3)*allOnes,OFFSET(tPrcElec,0,15,1,_maxLT))</f>
        <v>0</v>
      </c>
      <c r="U163" s="13">
        <f ca="1">SUMPRODUCT(dFactor,tpSurvCnU,INDEX(elecCnU,stdCSL+1,3)*allOnes,OFFSET(tPrcElec,0,16,1,_maxLT))</f>
        <v>0</v>
      </c>
      <c r="V163" s="13">
        <f ca="1">SUMPRODUCT(dFactor,tpSurvCnU,INDEX(elecCnU,stdCSL+1,3)*allOnes,OFFSET(tPrcElec,0,17,1,_maxLT))</f>
        <v>0</v>
      </c>
      <c r="W163" s="13">
        <f ca="1">SUMPRODUCT(dFactor,tpSurvCnU,INDEX(elecCnU,stdCSL+1,3)*allOnes,OFFSET(tPrcElec,0,18,1,_maxLT))</f>
        <v>0</v>
      </c>
      <c r="X163" s="13">
        <f ca="1">SUMPRODUCT(dFactor,tpSurvCnU,INDEX(elecCnU,stdCSL+1,3)*allOnes,OFFSET(tPrcElec,0,19,1,_maxLT))</f>
        <v>0</v>
      </c>
      <c r="Y163" s="13">
        <f ca="1">SUMPRODUCT(dFactor,tpSurvCnU,INDEX(elecCnU,stdCSL+1,3)*allOnes,OFFSET(tPrcElec,0,20,1,_maxLT))</f>
        <v>0</v>
      </c>
      <c r="Z163" s="13">
        <f ca="1">SUMPRODUCT(dFactor,tpSurvCnU,INDEX(elecCnU,stdCSL+1,3)*allOnes,OFFSET(tPrcElec,0,21,1,_maxLT))</f>
        <v>0</v>
      </c>
      <c r="AA163" s="13">
        <f ca="1">SUMPRODUCT(dFactor,tpSurvCnU,INDEX(elecCnU,stdCSL+1,3)*allOnes,OFFSET(tPrcElec,0,22,1,_maxLT))</f>
        <v>0</v>
      </c>
      <c r="AB163" s="13">
        <f ca="1">SUMPRODUCT(dFactor,tpSurvCnU,INDEX(elecCnU,stdCSL+1,3)*allOnes,OFFSET(tPrcElec,0,23,1,_maxLT))</f>
        <v>0</v>
      </c>
      <c r="AC163" s="13">
        <f ca="1">SUMPRODUCT(dFactor,tpSurvCnU,INDEX(elecCnU,stdCSL+1,3)*allOnes,OFFSET(tPrcElec,0,24,1,_maxLT))</f>
        <v>0</v>
      </c>
      <c r="AD163" s="13">
        <f ca="1">SUMPRODUCT(dFactor,tpSurvCnU,INDEX(elecCnU,stdCSL+1,3)*allOnes,OFFSET(tPrcElec,0,25,1,_maxLT))</f>
        <v>0</v>
      </c>
      <c r="AE163" s="13">
        <f ca="1">SUMPRODUCT(dFactor,tpSurvCnU,INDEX(elecCnU,stdCSL+1,3)*allOnes,OFFSET(tPrcElec,0,26,1,_maxLT))</f>
        <v>0</v>
      </c>
      <c r="AF163" s="13">
        <f ca="1">SUMPRODUCT(dFactor,tpSurvCnU,INDEX(elecCnU,stdCSL+1,3)*allOnes,OFFSET(tPrcElec,0,27,1,_maxLT))</f>
        <v>0</v>
      </c>
      <c r="AG163" s="13">
        <f ca="1">SUMPRODUCT(dFactor,tpSurvCnU,INDEX(elecCnU,stdCSL+1,3)*allOnes,OFFSET(tPrcElec,0,28,1,_maxLT))</f>
        <v>0</v>
      </c>
      <c r="AH163" s="13">
        <f ca="1">SUMPRODUCT(dFactor,tpSurvCnU,INDEX(elecCnU,stdCSL+1,3)*allOnes,OFFSET(tPrcElec,0,29,1,_maxLT))</f>
        <v>0</v>
      </c>
      <c r="AI163" s="13">
        <f ca="1">SUMPRODUCT(dFactor,tpSurvCnU,INDEX(elecCnU,stdCSL+1,3)*allOnes,OFFSET(tPrcElec,0,30,1,_maxLT))</f>
        <v>0</v>
      </c>
      <c r="AJ163" s="13">
        <f ca="1">SUMPRODUCT(dFactor,tpSurvCnU,INDEX(elecCnU,stdCSL+1,3)*allOnes,OFFSET(tPrcElec,0,31,1,_maxLT))</f>
        <v>0</v>
      </c>
      <c r="AK163" s="13">
        <f ca="1">SUMPRODUCT(dFactor,tpSurvCnU,INDEX(elecCnU,stdCSL+1,3)*allOnes,OFFSET(tPrcElec,0,32,1,_maxLT))</f>
        <v>0</v>
      </c>
      <c r="AL163" s="56">
        <f ca="1">SUMPRODUCT(dFactor,tpSurvCnU,INDEX(elecCnU,stdCSL+1,3)*allOnes,OFFSET(tPrcElec,0,33,1,_maxLT))</f>
        <v>0</v>
      </c>
      <c r="AM163" s="10"/>
    </row>
    <row r="164" spans="2:39">
      <c r="B164" s="10"/>
      <c r="C164" s="16" t="s">
        <v>79</v>
      </c>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5"/>
      <c r="AM164" s="10"/>
    </row>
    <row r="165" spans="2:39">
      <c r="B165" s="10"/>
      <c r="C165" s="28" t="str">
        <f>INDEX(_fuel,1)</f>
        <v>Electricity</v>
      </c>
      <c r="D165" s="12" t="s">
        <v>83</v>
      </c>
      <c r="E165" s="39">
        <f ca="1">SUMPRODUCT(OFFSET(tConvElecCnU,0,0,1,_maxLT),INDEX(elecCnU,stdCSL+1,3)*allOnes,tpSurvCnU)</f>
        <v>0</v>
      </c>
      <c r="F165" s="39">
        <f ca="1">SUMPRODUCT(OFFSET(tConvElecCnU,0,1,1,_maxLT),INDEX(elecCnU,stdCSL+1,3)*allOnes,tpSurvCnU)</f>
        <v>0</v>
      </c>
      <c r="G165" s="39">
        <f ca="1">SUMPRODUCT(OFFSET(tConvElecCnU,0,2,1,_maxLT),INDEX(elecCnU,stdCSL+1,3)*allOnes,tpSurvCnU)</f>
        <v>0</v>
      </c>
      <c r="H165" s="39">
        <f ca="1">SUMPRODUCT(OFFSET(tConvElecCnU,0,3,1,_maxLT),INDEX(elecCnU,stdCSL+1,3)*allOnes,tpSurvCnU)</f>
        <v>0</v>
      </c>
      <c r="I165" s="39">
        <f ca="1">SUMPRODUCT(OFFSET(tConvElecCnU,0,4,1,_maxLT),INDEX(elecCnU,stdCSL+1,3)*allOnes,tpSurvCnU)</f>
        <v>0</v>
      </c>
      <c r="J165" s="39">
        <f ca="1">SUMPRODUCT(OFFSET(tConvElecCnU,0,5,1,_maxLT),INDEX(elecCnU,stdCSL+1,3)*allOnes,tpSurvCnU)</f>
        <v>0</v>
      </c>
      <c r="K165" s="39">
        <f ca="1">SUMPRODUCT(OFFSET(tConvElecCnU,0,6,1,_maxLT),INDEX(elecCnU,stdCSL+1,3)*allOnes,tpSurvCnU)</f>
        <v>0</v>
      </c>
      <c r="L165" s="39">
        <f ca="1">SUMPRODUCT(OFFSET(tConvElecCnU,0,7,1,_maxLT),INDEX(elecCnU,stdCSL+1,3)*allOnes,tpSurvCnU)</f>
        <v>0</v>
      </c>
      <c r="M165" s="39">
        <f ca="1">SUMPRODUCT(OFFSET(tConvElecCnU,0,8,1,_maxLT),INDEX(elecCnU,stdCSL+1,3)*allOnes,tpSurvCnU)</f>
        <v>0</v>
      </c>
      <c r="N165" s="39">
        <f ca="1">SUMPRODUCT(OFFSET(tConvElecCnU,0,9,1,_maxLT),INDEX(elecCnU,stdCSL+1,3)*allOnes,tpSurvCnU)</f>
        <v>0</v>
      </c>
      <c r="O165" s="39">
        <f ca="1">SUMPRODUCT(OFFSET(tConvElecCnU,0,10,1,_maxLT),INDEX(elecCnU,stdCSL+1,3)*allOnes,tpSurvCnU)</f>
        <v>0</v>
      </c>
      <c r="P165" s="39">
        <f ca="1">SUMPRODUCT(OFFSET(tConvElecCnU,0,11,1,_maxLT),INDEX(elecCnU,stdCSL+1,3)*allOnes,tpSurvCnU)</f>
        <v>0</v>
      </c>
      <c r="Q165" s="39">
        <f ca="1">SUMPRODUCT(OFFSET(tConvElecCnU,0,12,1,_maxLT),INDEX(elecCnU,stdCSL+1,3)*allOnes,tpSurvCnU)</f>
        <v>0</v>
      </c>
      <c r="R165" s="39">
        <f ca="1">SUMPRODUCT(OFFSET(tConvElecCnU,0,13,1,_maxLT),INDEX(elecCnU,stdCSL+1,3)*allOnes,tpSurvCnU)</f>
        <v>0</v>
      </c>
      <c r="S165" s="39">
        <f ca="1">SUMPRODUCT(OFFSET(tConvElecCnU,0,14,1,_maxLT),INDEX(elecCnU,stdCSL+1,3)*allOnes,tpSurvCnU)</f>
        <v>0</v>
      </c>
      <c r="T165" s="39">
        <f ca="1">SUMPRODUCT(OFFSET(tConvElecCnU,0,15,1,_maxLT),INDEX(elecCnU,stdCSL+1,3)*allOnes,tpSurvCnU)</f>
        <v>0</v>
      </c>
      <c r="U165" s="39">
        <f ca="1">SUMPRODUCT(OFFSET(tConvElecCnU,0,16,1,_maxLT),INDEX(elecCnU,stdCSL+1,3)*allOnes,tpSurvCnU)</f>
        <v>0</v>
      </c>
      <c r="V165" s="39">
        <f ca="1">SUMPRODUCT(OFFSET(tConvElecCnU,0,17,1,_maxLT),INDEX(elecCnU,stdCSL+1,3)*allOnes,tpSurvCnU)</f>
        <v>0</v>
      </c>
      <c r="W165" s="39">
        <f ca="1">SUMPRODUCT(OFFSET(tConvElecCnU,0,18,1,_maxLT),INDEX(elecCnU,stdCSL+1,3)*allOnes,tpSurvCnU)</f>
        <v>0</v>
      </c>
      <c r="X165" s="39">
        <f ca="1">SUMPRODUCT(OFFSET(tConvElecCnU,0,19,1,_maxLT),INDEX(elecCnU,stdCSL+1,3)*allOnes,tpSurvCnU)</f>
        <v>0</v>
      </c>
      <c r="Y165" s="39">
        <f ca="1">SUMPRODUCT(OFFSET(tConvElecCnU,0,20,1,_maxLT),INDEX(elecCnU,stdCSL+1,3)*allOnes,tpSurvCnU)</f>
        <v>0</v>
      </c>
      <c r="Z165" s="39">
        <f ca="1">SUMPRODUCT(OFFSET(tConvElecCnU,0,21,1,_maxLT),INDEX(elecCnU,stdCSL+1,3)*allOnes,tpSurvCnU)</f>
        <v>0</v>
      </c>
      <c r="AA165" s="39">
        <f ca="1">SUMPRODUCT(OFFSET(tConvElecCnU,0,22,1,_maxLT),INDEX(elecCnU,stdCSL+1,3)*allOnes,tpSurvCnU)</f>
        <v>0</v>
      </c>
      <c r="AB165" s="39">
        <f ca="1">SUMPRODUCT(OFFSET(tConvElecCnU,0,23,1,_maxLT),INDEX(elecCnU,stdCSL+1,3)*allOnes,tpSurvCnU)</f>
        <v>0</v>
      </c>
      <c r="AC165" s="39">
        <f ca="1">SUMPRODUCT(OFFSET(tConvElecCnU,0,24,1,_maxLT),INDEX(elecCnU,stdCSL+1,3)*allOnes,tpSurvCnU)</f>
        <v>0</v>
      </c>
      <c r="AD165" s="39">
        <f ca="1">SUMPRODUCT(OFFSET(tConvElecCnU,0,25,1,_maxLT),INDEX(elecCnU,stdCSL+1,3)*allOnes,tpSurvCnU)</f>
        <v>0</v>
      </c>
      <c r="AE165" s="39">
        <f ca="1">SUMPRODUCT(OFFSET(tConvElecCnU,0,26,1,_maxLT),INDEX(elecCnU,stdCSL+1,3)*allOnes,tpSurvCnU)</f>
        <v>0</v>
      </c>
      <c r="AF165" s="39">
        <f ca="1">SUMPRODUCT(OFFSET(tConvElecCnU,0,27,1,_maxLT),INDEX(elecCnU,stdCSL+1,3)*allOnes,tpSurvCnU)</f>
        <v>0</v>
      </c>
      <c r="AG165" s="39">
        <f ca="1">SUMPRODUCT(OFFSET(tConvElecCnU,0,28,1,_maxLT),INDEX(elecCnU,stdCSL+1,3)*allOnes,tpSurvCnU)</f>
        <v>0</v>
      </c>
      <c r="AH165" s="39">
        <f ca="1">SUMPRODUCT(OFFSET(tConvElecCnU,0,29,1,_maxLT),INDEX(elecCnU,stdCSL+1,3)*allOnes,tpSurvCnU)</f>
        <v>0</v>
      </c>
      <c r="AI165" s="39">
        <f ca="1">SUMPRODUCT(OFFSET(tConvElecCnU,0,30,1,_maxLT),INDEX(elecCnU,stdCSL+1,3)*allOnes,tpSurvCnU)</f>
        <v>0</v>
      </c>
      <c r="AJ165" s="39">
        <f ca="1">SUMPRODUCT(OFFSET(tConvElecCnU,0,31,1,_maxLT),INDEX(elecCnU,stdCSL+1,3)*allOnes,tpSurvCnU)</f>
        <v>0</v>
      </c>
      <c r="AK165" s="39">
        <f ca="1">SUMPRODUCT(OFFSET(tConvElecCnU,0,32,1,_maxLT),INDEX(elecCnU,stdCSL+1,3)*allOnes,tpSurvCnU)</f>
        <v>0</v>
      </c>
      <c r="AL165" s="40">
        <f ca="1">SUMPRODUCT(OFFSET(tConvElecCnU,0,33,1,_maxLT),INDEX(elecCnU,stdCSL+1,3)*allOnes,tpSurvCnU)</f>
        <v>0</v>
      </c>
      <c r="AM165" s="10"/>
    </row>
    <row r="166" spans="2:39">
      <c r="B166" s="10"/>
      <c r="C166" s="57" t="str">
        <f>"EL 3: " &amp; INDEX(_doName,4,4)</f>
        <v>EL 3: EL 3</v>
      </c>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3"/>
      <c r="AM166" s="10"/>
    </row>
    <row r="167" spans="2:39">
      <c r="B167" s="10"/>
      <c r="C167" s="16" t="s">
        <v>69</v>
      </c>
      <c r="D167" s="12" t="str">
        <f>_yearDol &amp; "$"</f>
        <v>2015$</v>
      </c>
      <c r="E167" s="13">
        <f t="array" aca="1" ref="E167:AL167" ca="1">INDEX(mspCnU,stdCSL+1,4)*tPIdxAll + INDEX(instCnU,stdCSL+1,4) + IF(bESav,SUMPRODUCT(dFactor,tpSurvCnU,INDEX(mrCnU,stdCSL+1,4)*allOnes),0)</f>
        <v>0</v>
      </c>
      <c r="F167" s="13">
        <f ca="1"/>
        <v>0</v>
      </c>
      <c r="G167" s="13">
        <f ca="1"/>
        <v>0</v>
      </c>
      <c r="H167" s="13">
        <f ca="1"/>
        <v>0</v>
      </c>
      <c r="I167" s="13">
        <f ca="1"/>
        <v>0</v>
      </c>
      <c r="J167" s="13">
        <f ca="1"/>
        <v>0</v>
      </c>
      <c r="K167" s="13">
        <f ca="1"/>
        <v>0</v>
      </c>
      <c r="L167" s="13">
        <f ca="1"/>
        <v>0</v>
      </c>
      <c r="M167" s="13">
        <f ca="1"/>
        <v>0</v>
      </c>
      <c r="N167" s="13">
        <f ca="1"/>
        <v>0</v>
      </c>
      <c r="O167" s="13">
        <f ca="1"/>
        <v>0</v>
      </c>
      <c r="P167" s="13">
        <f ca="1"/>
        <v>0</v>
      </c>
      <c r="Q167" s="13">
        <f ca="1"/>
        <v>0</v>
      </c>
      <c r="R167" s="13">
        <f ca="1"/>
        <v>0</v>
      </c>
      <c r="S167" s="13">
        <f ca="1"/>
        <v>0</v>
      </c>
      <c r="T167" s="13">
        <f ca="1"/>
        <v>0</v>
      </c>
      <c r="U167" s="13">
        <f ca="1"/>
        <v>0</v>
      </c>
      <c r="V167" s="13">
        <f ca="1"/>
        <v>0</v>
      </c>
      <c r="W167" s="13">
        <f ca="1"/>
        <v>0</v>
      </c>
      <c r="X167" s="13">
        <f ca="1"/>
        <v>0</v>
      </c>
      <c r="Y167" s="13">
        <f ca="1"/>
        <v>0</v>
      </c>
      <c r="Z167" s="13">
        <f ca="1"/>
        <v>0</v>
      </c>
      <c r="AA167" s="13">
        <f ca="1"/>
        <v>0</v>
      </c>
      <c r="AB167" s="13">
        <f ca="1"/>
        <v>0</v>
      </c>
      <c r="AC167" s="13">
        <f ca="1"/>
        <v>0</v>
      </c>
      <c r="AD167" s="13">
        <f ca="1"/>
        <v>0</v>
      </c>
      <c r="AE167" s="13">
        <f ca="1"/>
        <v>0</v>
      </c>
      <c r="AF167" s="13">
        <f ca="1"/>
        <v>0</v>
      </c>
      <c r="AG167" s="13">
        <f ca="1"/>
        <v>0</v>
      </c>
      <c r="AH167" s="13">
        <f ca="1"/>
        <v>0</v>
      </c>
      <c r="AI167" s="13">
        <f ca="1"/>
        <v>0</v>
      </c>
      <c r="AJ167" s="13">
        <f ca="1"/>
        <v>0</v>
      </c>
      <c r="AK167" s="13">
        <f ca="1"/>
        <v>0</v>
      </c>
      <c r="AL167" s="56">
        <f ca="1"/>
        <v>0</v>
      </c>
      <c r="AM167" s="10"/>
    </row>
    <row r="168" spans="2:39">
      <c r="B168" s="10"/>
      <c r="C168" s="16" t="str">
        <f>zEO&amp;" Costs"</f>
        <v>Operating Costs</v>
      </c>
      <c r="D168" s="12" t="str">
        <f>_yearDol &amp; "$"</f>
        <v>2015$</v>
      </c>
      <c r="E168" s="13">
        <f t="array" aca="1" ref="E168:AL168" ca="1">(tlccEFuElecpol3) + IF(bOSav,SUMPRODUCT(dFactor,tpSurvCnU,INDEX(mrCnU,stdCSL+1,4)*allOnes),0)</f>
        <v>0</v>
      </c>
      <c r="F168" s="13">
        <f ca="1"/>
        <v>0</v>
      </c>
      <c r="G168" s="13">
        <f ca="1"/>
        <v>0</v>
      </c>
      <c r="H168" s="13">
        <f ca="1"/>
        <v>0</v>
      </c>
      <c r="I168" s="13">
        <f ca="1"/>
        <v>0</v>
      </c>
      <c r="J168" s="13">
        <f ca="1"/>
        <v>0</v>
      </c>
      <c r="K168" s="13">
        <f ca="1"/>
        <v>0</v>
      </c>
      <c r="L168" s="13">
        <f ca="1"/>
        <v>0</v>
      </c>
      <c r="M168" s="13">
        <f ca="1"/>
        <v>0</v>
      </c>
      <c r="N168" s="13">
        <f ca="1"/>
        <v>0</v>
      </c>
      <c r="O168" s="13">
        <f ca="1"/>
        <v>0</v>
      </c>
      <c r="P168" s="13">
        <f ca="1"/>
        <v>0</v>
      </c>
      <c r="Q168" s="13">
        <f ca="1"/>
        <v>0</v>
      </c>
      <c r="R168" s="13">
        <f ca="1"/>
        <v>0</v>
      </c>
      <c r="S168" s="13">
        <f ca="1"/>
        <v>0</v>
      </c>
      <c r="T168" s="13">
        <f ca="1"/>
        <v>0</v>
      </c>
      <c r="U168" s="13">
        <f ca="1"/>
        <v>0</v>
      </c>
      <c r="V168" s="13">
        <f ca="1"/>
        <v>0</v>
      </c>
      <c r="W168" s="13">
        <f ca="1"/>
        <v>0</v>
      </c>
      <c r="X168" s="13">
        <f ca="1"/>
        <v>0</v>
      </c>
      <c r="Y168" s="13">
        <f ca="1"/>
        <v>0</v>
      </c>
      <c r="Z168" s="13">
        <f ca="1"/>
        <v>0</v>
      </c>
      <c r="AA168" s="13">
        <f ca="1"/>
        <v>0</v>
      </c>
      <c r="AB168" s="13">
        <f ca="1"/>
        <v>0</v>
      </c>
      <c r="AC168" s="13">
        <f ca="1"/>
        <v>0</v>
      </c>
      <c r="AD168" s="13">
        <f ca="1"/>
        <v>0</v>
      </c>
      <c r="AE168" s="13">
        <f ca="1"/>
        <v>0</v>
      </c>
      <c r="AF168" s="13">
        <f ca="1"/>
        <v>0</v>
      </c>
      <c r="AG168" s="13">
        <f ca="1"/>
        <v>0</v>
      </c>
      <c r="AH168" s="13">
        <f ca="1"/>
        <v>0</v>
      </c>
      <c r="AI168" s="13">
        <f ca="1"/>
        <v>0</v>
      </c>
      <c r="AJ168" s="13">
        <f ca="1"/>
        <v>0</v>
      </c>
      <c r="AK168" s="13">
        <f ca="1"/>
        <v>0</v>
      </c>
      <c r="AL168" s="56">
        <f ca="1"/>
        <v>0</v>
      </c>
      <c r="AM168" s="10"/>
    </row>
    <row r="169" spans="2:39">
      <c r="B169" s="10"/>
      <c r="C169" s="28" t="str">
        <f>INDEX(_fuel,1)</f>
        <v>Electricity</v>
      </c>
      <c r="D169" s="12" t="str">
        <f>_yearDol &amp; "$"</f>
        <v>2015$</v>
      </c>
      <c r="E169" s="13">
        <f ca="1">SUMPRODUCT(dFactor,tpSurvCnU,INDEX(elecCnU,stdCSL+1,4)*allOnes,OFFSET(tPrcElec,0,0,1,_maxLT))</f>
        <v>0</v>
      </c>
      <c r="F169" s="13">
        <f ca="1">SUMPRODUCT(dFactor,tpSurvCnU,INDEX(elecCnU,stdCSL+1,4)*allOnes,OFFSET(tPrcElec,0,1,1,_maxLT))</f>
        <v>0</v>
      </c>
      <c r="G169" s="13">
        <f ca="1">SUMPRODUCT(dFactor,tpSurvCnU,INDEX(elecCnU,stdCSL+1,4)*allOnes,OFFSET(tPrcElec,0,2,1,_maxLT))</f>
        <v>0</v>
      </c>
      <c r="H169" s="13">
        <f ca="1">SUMPRODUCT(dFactor,tpSurvCnU,INDEX(elecCnU,stdCSL+1,4)*allOnes,OFFSET(tPrcElec,0,3,1,_maxLT))</f>
        <v>0</v>
      </c>
      <c r="I169" s="13">
        <f ca="1">SUMPRODUCT(dFactor,tpSurvCnU,INDEX(elecCnU,stdCSL+1,4)*allOnes,OFFSET(tPrcElec,0,4,1,_maxLT))</f>
        <v>0</v>
      </c>
      <c r="J169" s="13">
        <f ca="1">SUMPRODUCT(dFactor,tpSurvCnU,INDEX(elecCnU,stdCSL+1,4)*allOnes,OFFSET(tPrcElec,0,5,1,_maxLT))</f>
        <v>0</v>
      </c>
      <c r="K169" s="13">
        <f ca="1">SUMPRODUCT(dFactor,tpSurvCnU,INDEX(elecCnU,stdCSL+1,4)*allOnes,OFFSET(tPrcElec,0,6,1,_maxLT))</f>
        <v>0</v>
      </c>
      <c r="L169" s="13">
        <f ca="1">SUMPRODUCT(dFactor,tpSurvCnU,INDEX(elecCnU,stdCSL+1,4)*allOnes,OFFSET(tPrcElec,0,7,1,_maxLT))</f>
        <v>0</v>
      </c>
      <c r="M169" s="13">
        <f ca="1">SUMPRODUCT(dFactor,tpSurvCnU,INDEX(elecCnU,stdCSL+1,4)*allOnes,OFFSET(tPrcElec,0,8,1,_maxLT))</f>
        <v>0</v>
      </c>
      <c r="N169" s="13">
        <f ca="1">SUMPRODUCT(dFactor,tpSurvCnU,INDEX(elecCnU,stdCSL+1,4)*allOnes,OFFSET(tPrcElec,0,9,1,_maxLT))</f>
        <v>0</v>
      </c>
      <c r="O169" s="13">
        <f ca="1">SUMPRODUCT(dFactor,tpSurvCnU,INDEX(elecCnU,stdCSL+1,4)*allOnes,OFFSET(tPrcElec,0,10,1,_maxLT))</f>
        <v>0</v>
      </c>
      <c r="P169" s="13">
        <f ca="1">SUMPRODUCT(dFactor,tpSurvCnU,INDEX(elecCnU,stdCSL+1,4)*allOnes,OFFSET(tPrcElec,0,11,1,_maxLT))</f>
        <v>0</v>
      </c>
      <c r="Q169" s="13">
        <f ca="1">SUMPRODUCT(dFactor,tpSurvCnU,INDEX(elecCnU,stdCSL+1,4)*allOnes,OFFSET(tPrcElec,0,12,1,_maxLT))</f>
        <v>0</v>
      </c>
      <c r="R169" s="13">
        <f ca="1">SUMPRODUCT(dFactor,tpSurvCnU,INDEX(elecCnU,stdCSL+1,4)*allOnes,OFFSET(tPrcElec,0,13,1,_maxLT))</f>
        <v>0</v>
      </c>
      <c r="S169" s="13">
        <f ca="1">SUMPRODUCT(dFactor,tpSurvCnU,INDEX(elecCnU,stdCSL+1,4)*allOnes,OFFSET(tPrcElec,0,14,1,_maxLT))</f>
        <v>0</v>
      </c>
      <c r="T169" s="13">
        <f ca="1">SUMPRODUCT(dFactor,tpSurvCnU,INDEX(elecCnU,stdCSL+1,4)*allOnes,OFFSET(tPrcElec,0,15,1,_maxLT))</f>
        <v>0</v>
      </c>
      <c r="U169" s="13">
        <f ca="1">SUMPRODUCT(dFactor,tpSurvCnU,INDEX(elecCnU,stdCSL+1,4)*allOnes,OFFSET(tPrcElec,0,16,1,_maxLT))</f>
        <v>0</v>
      </c>
      <c r="V169" s="13">
        <f ca="1">SUMPRODUCT(dFactor,tpSurvCnU,INDEX(elecCnU,stdCSL+1,4)*allOnes,OFFSET(tPrcElec,0,17,1,_maxLT))</f>
        <v>0</v>
      </c>
      <c r="W169" s="13">
        <f ca="1">SUMPRODUCT(dFactor,tpSurvCnU,INDEX(elecCnU,stdCSL+1,4)*allOnes,OFFSET(tPrcElec,0,18,1,_maxLT))</f>
        <v>0</v>
      </c>
      <c r="X169" s="13">
        <f ca="1">SUMPRODUCT(dFactor,tpSurvCnU,INDEX(elecCnU,stdCSL+1,4)*allOnes,OFFSET(tPrcElec,0,19,1,_maxLT))</f>
        <v>0</v>
      </c>
      <c r="Y169" s="13">
        <f ca="1">SUMPRODUCT(dFactor,tpSurvCnU,INDEX(elecCnU,stdCSL+1,4)*allOnes,OFFSET(tPrcElec,0,20,1,_maxLT))</f>
        <v>0</v>
      </c>
      <c r="Z169" s="13">
        <f ca="1">SUMPRODUCT(dFactor,tpSurvCnU,INDEX(elecCnU,stdCSL+1,4)*allOnes,OFFSET(tPrcElec,0,21,1,_maxLT))</f>
        <v>0</v>
      </c>
      <c r="AA169" s="13">
        <f ca="1">SUMPRODUCT(dFactor,tpSurvCnU,INDEX(elecCnU,stdCSL+1,4)*allOnes,OFFSET(tPrcElec,0,22,1,_maxLT))</f>
        <v>0</v>
      </c>
      <c r="AB169" s="13">
        <f ca="1">SUMPRODUCT(dFactor,tpSurvCnU,INDEX(elecCnU,stdCSL+1,4)*allOnes,OFFSET(tPrcElec,0,23,1,_maxLT))</f>
        <v>0</v>
      </c>
      <c r="AC169" s="13">
        <f ca="1">SUMPRODUCT(dFactor,tpSurvCnU,INDEX(elecCnU,stdCSL+1,4)*allOnes,OFFSET(tPrcElec,0,24,1,_maxLT))</f>
        <v>0</v>
      </c>
      <c r="AD169" s="13">
        <f ca="1">SUMPRODUCT(dFactor,tpSurvCnU,INDEX(elecCnU,stdCSL+1,4)*allOnes,OFFSET(tPrcElec,0,25,1,_maxLT))</f>
        <v>0</v>
      </c>
      <c r="AE169" s="13">
        <f ca="1">SUMPRODUCT(dFactor,tpSurvCnU,INDEX(elecCnU,stdCSL+1,4)*allOnes,OFFSET(tPrcElec,0,26,1,_maxLT))</f>
        <v>0</v>
      </c>
      <c r="AF169" s="13">
        <f ca="1">SUMPRODUCT(dFactor,tpSurvCnU,INDEX(elecCnU,stdCSL+1,4)*allOnes,OFFSET(tPrcElec,0,27,1,_maxLT))</f>
        <v>0</v>
      </c>
      <c r="AG169" s="13">
        <f ca="1">SUMPRODUCT(dFactor,tpSurvCnU,INDEX(elecCnU,stdCSL+1,4)*allOnes,OFFSET(tPrcElec,0,28,1,_maxLT))</f>
        <v>0</v>
      </c>
      <c r="AH169" s="13">
        <f ca="1">SUMPRODUCT(dFactor,tpSurvCnU,INDEX(elecCnU,stdCSL+1,4)*allOnes,OFFSET(tPrcElec,0,29,1,_maxLT))</f>
        <v>0</v>
      </c>
      <c r="AI169" s="13">
        <f ca="1">SUMPRODUCT(dFactor,tpSurvCnU,INDEX(elecCnU,stdCSL+1,4)*allOnes,OFFSET(tPrcElec,0,30,1,_maxLT))</f>
        <v>0</v>
      </c>
      <c r="AJ169" s="13">
        <f ca="1">SUMPRODUCT(dFactor,tpSurvCnU,INDEX(elecCnU,stdCSL+1,4)*allOnes,OFFSET(tPrcElec,0,31,1,_maxLT))</f>
        <v>0</v>
      </c>
      <c r="AK169" s="13">
        <f ca="1">SUMPRODUCT(dFactor,tpSurvCnU,INDEX(elecCnU,stdCSL+1,4)*allOnes,OFFSET(tPrcElec,0,32,1,_maxLT))</f>
        <v>0</v>
      </c>
      <c r="AL169" s="56">
        <f ca="1">SUMPRODUCT(dFactor,tpSurvCnU,INDEX(elecCnU,stdCSL+1,4)*allOnes,OFFSET(tPrcElec,0,33,1,_maxLT))</f>
        <v>0</v>
      </c>
      <c r="AM169" s="10"/>
    </row>
    <row r="170" spans="2:39">
      <c r="B170" s="10"/>
      <c r="C170" s="16" t="s">
        <v>79</v>
      </c>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5"/>
      <c r="AM170" s="10"/>
    </row>
    <row r="171" spans="2:39">
      <c r="B171" s="10"/>
      <c r="C171" s="28" t="str">
        <f>INDEX(_fuel,1)</f>
        <v>Electricity</v>
      </c>
      <c r="D171" s="12" t="s">
        <v>83</v>
      </c>
      <c r="E171" s="39">
        <f ca="1">SUMPRODUCT(OFFSET(tConvElecCnU,0,0,1,_maxLT),INDEX(elecCnU,stdCSL+1,4)*allOnes,tpSurvCnU)</f>
        <v>0</v>
      </c>
      <c r="F171" s="39">
        <f ca="1">SUMPRODUCT(OFFSET(tConvElecCnU,0,1,1,_maxLT),INDEX(elecCnU,stdCSL+1,4)*allOnes,tpSurvCnU)</f>
        <v>0</v>
      </c>
      <c r="G171" s="39">
        <f ca="1">SUMPRODUCT(OFFSET(tConvElecCnU,0,2,1,_maxLT),INDEX(elecCnU,stdCSL+1,4)*allOnes,tpSurvCnU)</f>
        <v>0</v>
      </c>
      <c r="H171" s="39">
        <f ca="1">SUMPRODUCT(OFFSET(tConvElecCnU,0,3,1,_maxLT),INDEX(elecCnU,stdCSL+1,4)*allOnes,tpSurvCnU)</f>
        <v>0</v>
      </c>
      <c r="I171" s="39">
        <f ca="1">SUMPRODUCT(OFFSET(tConvElecCnU,0,4,1,_maxLT),INDEX(elecCnU,stdCSL+1,4)*allOnes,tpSurvCnU)</f>
        <v>0</v>
      </c>
      <c r="J171" s="39">
        <f ca="1">SUMPRODUCT(OFFSET(tConvElecCnU,0,5,1,_maxLT),INDEX(elecCnU,stdCSL+1,4)*allOnes,tpSurvCnU)</f>
        <v>0</v>
      </c>
      <c r="K171" s="39">
        <f ca="1">SUMPRODUCT(OFFSET(tConvElecCnU,0,6,1,_maxLT),INDEX(elecCnU,stdCSL+1,4)*allOnes,tpSurvCnU)</f>
        <v>0</v>
      </c>
      <c r="L171" s="39">
        <f ca="1">SUMPRODUCT(OFFSET(tConvElecCnU,0,7,1,_maxLT),INDEX(elecCnU,stdCSL+1,4)*allOnes,tpSurvCnU)</f>
        <v>0</v>
      </c>
      <c r="M171" s="39">
        <f ca="1">SUMPRODUCT(OFFSET(tConvElecCnU,0,8,1,_maxLT),INDEX(elecCnU,stdCSL+1,4)*allOnes,tpSurvCnU)</f>
        <v>0</v>
      </c>
      <c r="N171" s="39">
        <f ca="1">SUMPRODUCT(OFFSET(tConvElecCnU,0,9,1,_maxLT),INDEX(elecCnU,stdCSL+1,4)*allOnes,tpSurvCnU)</f>
        <v>0</v>
      </c>
      <c r="O171" s="39">
        <f ca="1">SUMPRODUCT(OFFSET(tConvElecCnU,0,10,1,_maxLT),INDEX(elecCnU,stdCSL+1,4)*allOnes,tpSurvCnU)</f>
        <v>0</v>
      </c>
      <c r="P171" s="39">
        <f ca="1">SUMPRODUCT(OFFSET(tConvElecCnU,0,11,1,_maxLT),INDEX(elecCnU,stdCSL+1,4)*allOnes,tpSurvCnU)</f>
        <v>0</v>
      </c>
      <c r="Q171" s="39">
        <f ca="1">SUMPRODUCT(OFFSET(tConvElecCnU,0,12,1,_maxLT),INDEX(elecCnU,stdCSL+1,4)*allOnes,tpSurvCnU)</f>
        <v>0</v>
      </c>
      <c r="R171" s="39">
        <f ca="1">SUMPRODUCT(OFFSET(tConvElecCnU,0,13,1,_maxLT),INDEX(elecCnU,stdCSL+1,4)*allOnes,tpSurvCnU)</f>
        <v>0</v>
      </c>
      <c r="S171" s="39">
        <f ca="1">SUMPRODUCT(OFFSET(tConvElecCnU,0,14,1,_maxLT),INDEX(elecCnU,stdCSL+1,4)*allOnes,tpSurvCnU)</f>
        <v>0</v>
      </c>
      <c r="T171" s="39">
        <f ca="1">SUMPRODUCT(OFFSET(tConvElecCnU,0,15,1,_maxLT),INDEX(elecCnU,stdCSL+1,4)*allOnes,tpSurvCnU)</f>
        <v>0</v>
      </c>
      <c r="U171" s="39">
        <f ca="1">SUMPRODUCT(OFFSET(tConvElecCnU,0,16,1,_maxLT),INDEX(elecCnU,stdCSL+1,4)*allOnes,tpSurvCnU)</f>
        <v>0</v>
      </c>
      <c r="V171" s="39">
        <f ca="1">SUMPRODUCT(OFFSET(tConvElecCnU,0,17,1,_maxLT),INDEX(elecCnU,stdCSL+1,4)*allOnes,tpSurvCnU)</f>
        <v>0</v>
      </c>
      <c r="W171" s="39">
        <f ca="1">SUMPRODUCT(OFFSET(tConvElecCnU,0,18,1,_maxLT),INDEX(elecCnU,stdCSL+1,4)*allOnes,tpSurvCnU)</f>
        <v>0</v>
      </c>
      <c r="X171" s="39">
        <f ca="1">SUMPRODUCT(OFFSET(tConvElecCnU,0,19,1,_maxLT),INDEX(elecCnU,stdCSL+1,4)*allOnes,tpSurvCnU)</f>
        <v>0</v>
      </c>
      <c r="Y171" s="39">
        <f ca="1">SUMPRODUCT(OFFSET(tConvElecCnU,0,20,1,_maxLT),INDEX(elecCnU,stdCSL+1,4)*allOnes,tpSurvCnU)</f>
        <v>0</v>
      </c>
      <c r="Z171" s="39">
        <f ca="1">SUMPRODUCT(OFFSET(tConvElecCnU,0,21,1,_maxLT),INDEX(elecCnU,stdCSL+1,4)*allOnes,tpSurvCnU)</f>
        <v>0</v>
      </c>
      <c r="AA171" s="39">
        <f ca="1">SUMPRODUCT(OFFSET(tConvElecCnU,0,22,1,_maxLT),INDEX(elecCnU,stdCSL+1,4)*allOnes,tpSurvCnU)</f>
        <v>0</v>
      </c>
      <c r="AB171" s="39">
        <f ca="1">SUMPRODUCT(OFFSET(tConvElecCnU,0,23,1,_maxLT),INDEX(elecCnU,stdCSL+1,4)*allOnes,tpSurvCnU)</f>
        <v>0</v>
      </c>
      <c r="AC171" s="39">
        <f ca="1">SUMPRODUCT(OFFSET(tConvElecCnU,0,24,1,_maxLT),INDEX(elecCnU,stdCSL+1,4)*allOnes,tpSurvCnU)</f>
        <v>0</v>
      </c>
      <c r="AD171" s="39">
        <f ca="1">SUMPRODUCT(OFFSET(tConvElecCnU,0,25,1,_maxLT),INDEX(elecCnU,stdCSL+1,4)*allOnes,tpSurvCnU)</f>
        <v>0</v>
      </c>
      <c r="AE171" s="39">
        <f ca="1">SUMPRODUCT(OFFSET(tConvElecCnU,0,26,1,_maxLT),INDEX(elecCnU,stdCSL+1,4)*allOnes,tpSurvCnU)</f>
        <v>0</v>
      </c>
      <c r="AF171" s="39">
        <f ca="1">SUMPRODUCT(OFFSET(tConvElecCnU,0,27,1,_maxLT),INDEX(elecCnU,stdCSL+1,4)*allOnes,tpSurvCnU)</f>
        <v>0</v>
      </c>
      <c r="AG171" s="39">
        <f ca="1">SUMPRODUCT(OFFSET(tConvElecCnU,0,28,1,_maxLT),INDEX(elecCnU,stdCSL+1,4)*allOnes,tpSurvCnU)</f>
        <v>0</v>
      </c>
      <c r="AH171" s="39">
        <f ca="1">SUMPRODUCT(OFFSET(tConvElecCnU,0,29,1,_maxLT),INDEX(elecCnU,stdCSL+1,4)*allOnes,tpSurvCnU)</f>
        <v>0</v>
      </c>
      <c r="AI171" s="39">
        <f ca="1">SUMPRODUCT(OFFSET(tConvElecCnU,0,30,1,_maxLT),INDEX(elecCnU,stdCSL+1,4)*allOnes,tpSurvCnU)</f>
        <v>0</v>
      </c>
      <c r="AJ171" s="39">
        <f ca="1">SUMPRODUCT(OFFSET(tConvElecCnU,0,31,1,_maxLT),INDEX(elecCnU,stdCSL+1,4)*allOnes,tpSurvCnU)</f>
        <v>0</v>
      </c>
      <c r="AK171" s="39">
        <f ca="1">SUMPRODUCT(OFFSET(tConvElecCnU,0,32,1,_maxLT),INDEX(elecCnU,stdCSL+1,4)*allOnes,tpSurvCnU)</f>
        <v>0</v>
      </c>
      <c r="AL171" s="40">
        <f ca="1">SUMPRODUCT(OFFSET(tConvElecCnU,0,33,1,_maxLT),INDEX(elecCnU,stdCSL+1,4)*allOnes,tpSurvCnU)</f>
        <v>0</v>
      </c>
      <c r="AM171" s="10"/>
    </row>
    <row r="172" spans="2:39">
      <c r="B172" s="10"/>
      <c r="C172" s="57" t="str">
        <f>"EL 4: " &amp; INDEX(_doName,4,5)</f>
        <v>EL 4: EL 4</v>
      </c>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3"/>
      <c r="AM172" s="10"/>
    </row>
    <row r="173" spans="2:39">
      <c r="B173" s="10"/>
      <c r="C173" s="16" t="s">
        <v>69</v>
      </c>
      <c r="D173" s="12" t="str">
        <f>_yearDol &amp; "$"</f>
        <v>2015$</v>
      </c>
      <c r="E173" s="13">
        <f t="array" aca="1" ref="E173:AL173" ca="1">INDEX(mspCnU,stdCSL+1,5)*tPIdxAll + INDEX(instCnU,stdCSL+1,5) + IF(bESav,SUMPRODUCT(dFactor,tpSurvCnU,INDEX(mrCnU,stdCSL+1,5)*allOnes),0)</f>
        <v>0</v>
      </c>
      <c r="F173" s="13">
        <f ca="1"/>
        <v>0</v>
      </c>
      <c r="G173" s="13">
        <f ca="1"/>
        <v>0</v>
      </c>
      <c r="H173" s="13">
        <f ca="1"/>
        <v>0</v>
      </c>
      <c r="I173" s="13">
        <f ca="1"/>
        <v>0</v>
      </c>
      <c r="J173" s="13">
        <f ca="1"/>
        <v>0</v>
      </c>
      <c r="K173" s="13">
        <f ca="1"/>
        <v>0</v>
      </c>
      <c r="L173" s="13">
        <f ca="1"/>
        <v>0</v>
      </c>
      <c r="M173" s="13">
        <f ca="1"/>
        <v>0</v>
      </c>
      <c r="N173" s="13">
        <f ca="1"/>
        <v>0</v>
      </c>
      <c r="O173" s="13">
        <f ca="1"/>
        <v>0</v>
      </c>
      <c r="P173" s="13">
        <f ca="1"/>
        <v>0</v>
      </c>
      <c r="Q173" s="13">
        <f ca="1"/>
        <v>0</v>
      </c>
      <c r="R173" s="13">
        <f ca="1"/>
        <v>0</v>
      </c>
      <c r="S173" s="13">
        <f ca="1"/>
        <v>0</v>
      </c>
      <c r="T173" s="13">
        <f ca="1"/>
        <v>0</v>
      </c>
      <c r="U173" s="13">
        <f ca="1"/>
        <v>0</v>
      </c>
      <c r="V173" s="13">
        <f ca="1"/>
        <v>0</v>
      </c>
      <c r="W173" s="13">
        <f ca="1"/>
        <v>0</v>
      </c>
      <c r="X173" s="13">
        <f ca="1"/>
        <v>0</v>
      </c>
      <c r="Y173" s="13">
        <f ca="1"/>
        <v>0</v>
      </c>
      <c r="Z173" s="13">
        <f ca="1"/>
        <v>0</v>
      </c>
      <c r="AA173" s="13">
        <f ca="1"/>
        <v>0</v>
      </c>
      <c r="AB173" s="13">
        <f ca="1"/>
        <v>0</v>
      </c>
      <c r="AC173" s="13">
        <f ca="1"/>
        <v>0</v>
      </c>
      <c r="AD173" s="13">
        <f ca="1"/>
        <v>0</v>
      </c>
      <c r="AE173" s="13">
        <f ca="1"/>
        <v>0</v>
      </c>
      <c r="AF173" s="13">
        <f ca="1"/>
        <v>0</v>
      </c>
      <c r="AG173" s="13">
        <f ca="1"/>
        <v>0</v>
      </c>
      <c r="AH173" s="13">
        <f ca="1"/>
        <v>0</v>
      </c>
      <c r="AI173" s="13">
        <f ca="1"/>
        <v>0</v>
      </c>
      <c r="AJ173" s="13">
        <f ca="1"/>
        <v>0</v>
      </c>
      <c r="AK173" s="13">
        <f ca="1"/>
        <v>0</v>
      </c>
      <c r="AL173" s="56">
        <f ca="1"/>
        <v>0</v>
      </c>
      <c r="AM173" s="10"/>
    </row>
    <row r="174" spans="2:39">
      <c r="B174" s="10"/>
      <c r="C174" s="16" t="str">
        <f>zEO&amp;" Costs"</f>
        <v>Operating Costs</v>
      </c>
      <c r="D174" s="12" t="str">
        <f>_yearDol &amp; "$"</f>
        <v>2015$</v>
      </c>
      <c r="E174" s="13">
        <f t="array" aca="1" ref="E174:AL174" ca="1">(tlccEFuElecpol4) + IF(bOSav,SUMPRODUCT(dFactor,tpSurvCnU,INDEX(mrCnU,stdCSL+1,5)*allOnes),0)</f>
        <v>0</v>
      </c>
      <c r="F174" s="13">
        <f ca="1"/>
        <v>0</v>
      </c>
      <c r="G174" s="13">
        <f ca="1"/>
        <v>0</v>
      </c>
      <c r="H174" s="13">
        <f ca="1"/>
        <v>0</v>
      </c>
      <c r="I174" s="13">
        <f ca="1"/>
        <v>0</v>
      </c>
      <c r="J174" s="13">
        <f ca="1"/>
        <v>0</v>
      </c>
      <c r="K174" s="13">
        <f ca="1"/>
        <v>0</v>
      </c>
      <c r="L174" s="13">
        <f ca="1"/>
        <v>0</v>
      </c>
      <c r="M174" s="13">
        <f ca="1"/>
        <v>0</v>
      </c>
      <c r="N174" s="13">
        <f ca="1"/>
        <v>0</v>
      </c>
      <c r="O174" s="13">
        <f ca="1"/>
        <v>0</v>
      </c>
      <c r="P174" s="13">
        <f ca="1"/>
        <v>0</v>
      </c>
      <c r="Q174" s="13">
        <f ca="1"/>
        <v>0</v>
      </c>
      <c r="R174" s="13">
        <f ca="1"/>
        <v>0</v>
      </c>
      <c r="S174" s="13">
        <f ca="1"/>
        <v>0</v>
      </c>
      <c r="T174" s="13">
        <f ca="1"/>
        <v>0</v>
      </c>
      <c r="U174" s="13">
        <f ca="1"/>
        <v>0</v>
      </c>
      <c r="V174" s="13">
        <f ca="1"/>
        <v>0</v>
      </c>
      <c r="W174" s="13">
        <f ca="1"/>
        <v>0</v>
      </c>
      <c r="X174" s="13">
        <f ca="1"/>
        <v>0</v>
      </c>
      <c r="Y174" s="13">
        <f ca="1"/>
        <v>0</v>
      </c>
      <c r="Z174" s="13">
        <f ca="1"/>
        <v>0</v>
      </c>
      <c r="AA174" s="13">
        <f ca="1"/>
        <v>0</v>
      </c>
      <c r="AB174" s="13">
        <f ca="1"/>
        <v>0</v>
      </c>
      <c r="AC174" s="13">
        <f ca="1"/>
        <v>0</v>
      </c>
      <c r="AD174" s="13">
        <f ca="1"/>
        <v>0</v>
      </c>
      <c r="AE174" s="13">
        <f ca="1"/>
        <v>0</v>
      </c>
      <c r="AF174" s="13">
        <f ca="1"/>
        <v>0</v>
      </c>
      <c r="AG174" s="13">
        <f ca="1"/>
        <v>0</v>
      </c>
      <c r="AH174" s="13">
        <f ca="1"/>
        <v>0</v>
      </c>
      <c r="AI174" s="13">
        <f ca="1"/>
        <v>0</v>
      </c>
      <c r="AJ174" s="13">
        <f ca="1"/>
        <v>0</v>
      </c>
      <c r="AK174" s="13">
        <f ca="1"/>
        <v>0</v>
      </c>
      <c r="AL174" s="56">
        <f ca="1"/>
        <v>0</v>
      </c>
      <c r="AM174" s="10"/>
    </row>
    <row r="175" spans="2:39">
      <c r="B175" s="10"/>
      <c r="C175" s="28" t="str">
        <f>INDEX(_fuel,1)</f>
        <v>Electricity</v>
      </c>
      <c r="D175" s="12" t="str">
        <f>_yearDol &amp; "$"</f>
        <v>2015$</v>
      </c>
      <c r="E175" s="13">
        <f ca="1">SUMPRODUCT(dFactor,tpSurvCnU,INDEX(elecCnU,stdCSL+1,5)*allOnes,OFFSET(tPrcElec,0,0,1,_maxLT))</f>
        <v>0</v>
      </c>
      <c r="F175" s="13">
        <f ca="1">SUMPRODUCT(dFactor,tpSurvCnU,INDEX(elecCnU,stdCSL+1,5)*allOnes,OFFSET(tPrcElec,0,1,1,_maxLT))</f>
        <v>0</v>
      </c>
      <c r="G175" s="13">
        <f ca="1">SUMPRODUCT(dFactor,tpSurvCnU,INDEX(elecCnU,stdCSL+1,5)*allOnes,OFFSET(tPrcElec,0,2,1,_maxLT))</f>
        <v>0</v>
      </c>
      <c r="H175" s="13">
        <f ca="1">SUMPRODUCT(dFactor,tpSurvCnU,INDEX(elecCnU,stdCSL+1,5)*allOnes,OFFSET(tPrcElec,0,3,1,_maxLT))</f>
        <v>0</v>
      </c>
      <c r="I175" s="13">
        <f ca="1">SUMPRODUCT(dFactor,tpSurvCnU,INDEX(elecCnU,stdCSL+1,5)*allOnes,OFFSET(tPrcElec,0,4,1,_maxLT))</f>
        <v>0</v>
      </c>
      <c r="J175" s="13">
        <f ca="1">SUMPRODUCT(dFactor,tpSurvCnU,INDEX(elecCnU,stdCSL+1,5)*allOnes,OFFSET(tPrcElec,0,5,1,_maxLT))</f>
        <v>0</v>
      </c>
      <c r="K175" s="13">
        <f ca="1">SUMPRODUCT(dFactor,tpSurvCnU,INDEX(elecCnU,stdCSL+1,5)*allOnes,OFFSET(tPrcElec,0,6,1,_maxLT))</f>
        <v>0</v>
      </c>
      <c r="L175" s="13">
        <f ca="1">SUMPRODUCT(dFactor,tpSurvCnU,INDEX(elecCnU,stdCSL+1,5)*allOnes,OFFSET(tPrcElec,0,7,1,_maxLT))</f>
        <v>0</v>
      </c>
      <c r="M175" s="13">
        <f ca="1">SUMPRODUCT(dFactor,tpSurvCnU,INDEX(elecCnU,stdCSL+1,5)*allOnes,OFFSET(tPrcElec,0,8,1,_maxLT))</f>
        <v>0</v>
      </c>
      <c r="N175" s="13">
        <f ca="1">SUMPRODUCT(dFactor,tpSurvCnU,INDEX(elecCnU,stdCSL+1,5)*allOnes,OFFSET(tPrcElec,0,9,1,_maxLT))</f>
        <v>0</v>
      </c>
      <c r="O175" s="13">
        <f ca="1">SUMPRODUCT(dFactor,tpSurvCnU,INDEX(elecCnU,stdCSL+1,5)*allOnes,OFFSET(tPrcElec,0,10,1,_maxLT))</f>
        <v>0</v>
      </c>
      <c r="P175" s="13">
        <f ca="1">SUMPRODUCT(dFactor,tpSurvCnU,INDEX(elecCnU,stdCSL+1,5)*allOnes,OFFSET(tPrcElec,0,11,1,_maxLT))</f>
        <v>0</v>
      </c>
      <c r="Q175" s="13">
        <f ca="1">SUMPRODUCT(dFactor,tpSurvCnU,INDEX(elecCnU,stdCSL+1,5)*allOnes,OFFSET(tPrcElec,0,12,1,_maxLT))</f>
        <v>0</v>
      </c>
      <c r="R175" s="13">
        <f ca="1">SUMPRODUCT(dFactor,tpSurvCnU,INDEX(elecCnU,stdCSL+1,5)*allOnes,OFFSET(tPrcElec,0,13,1,_maxLT))</f>
        <v>0</v>
      </c>
      <c r="S175" s="13">
        <f ca="1">SUMPRODUCT(dFactor,tpSurvCnU,INDEX(elecCnU,stdCSL+1,5)*allOnes,OFFSET(tPrcElec,0,14,1,_maxLT))</f>
        <v>0</v>
      </c>
      <c r="T175" s="13">
        <f ca="1">SUMPRODUCT(dFactor,tpSurvCnU,INDEX(elecCnU,stdCSL+1,5)*allOnes,OFFSET(tPrcElec,0,15,1,_maxLT))</f>
        <v>0</v>
      </c>
      <c r="U175" s="13">
        <f ca="1">SUMPRODUCT(dFactor,tpSurvCnU,INDEX(elecCnU,stdCSL+1,5)*allOnes,OFFSET(tPrcElec,0,16,1,_maxLT))</f>
        <v>0</v>
      </c>
      <c r="V175" s="13">
        <f ca="1">SUMPRODUCT(dFactor,tpSurvCnU,INDEX(elecCnU,stdCSL+1,5)*allOnes,OFFSET(tPrcElec,0,17,1,_maxLT))</f>
        <v>0</v>
      </c>
      <c r="W175" s="13">
        <f ca="1">SUMPRODUCT(dFactor,tpSurvCnU,INDEX(elecCnU,stdCSL+1,5)*allOnes,OFFSET(tPrcElec,0,18,1,_maxLT))</f>
        <v>0</v>
      </c>
      <c r="X175" s="13">
        <f ca="1">SUMPRODUCT(dFactor,tpSurvCnU,INDEX(elecCnU,stdCSL+1,5)*allOnes,OFFSET(tPrcElec,0,19,1,_maxLT))</f>
        <v>0</v>
      </c>
      <c r="Y175" s="13">
        <f ca="1">SUMPRODUCT(dFactor,tpSurvCnU,INDEX(elecCnU,stdCSL+1,5)*allOnes,OFFSET(tPrcElec,0,20,1,_maxLT))</f>
        <v>0</v>
      </c>
      <c r="Z175" s="13">
        <f ca="1">SUMPRODUCT(dFactor,tpSurvCnU,INDEX(elecCnU,stdCSL+1,5)*allOnes,OFFSET(tPrcElec,0,21,1,_maxLT))</f>
        <v>0</v>
      </c>
      <c r="AA175" s="13">
        <f ca="1">SUMPRODUCT(dFactor,tpSurvCnU,INDEX(elecCnU,stdCSL+1,5)*allOnes,OFFSET(tPrcElec,0,22,1,_maxLT))</f>
        <v>0</v>
      </c>
      <c r="AB175" s="13">
        <f ca="1">SUMPRODUCT(dFactor,tpSurvCnU,INDEX(elecCnU,stdCSL+1,5)*allOnes,OFFSET(tPrcElec,0,23,1,_maxLT))</f>
        <v>0</v>
      </c>
      <c r="AC175" s="13">
        <f ca="1">SUMPRODUCT(dFactor,tpSurvCnU,INDEX(elecCnU,stdCSL+1,5)*allOnes,OFFSET(tPrcElec,0,24,1,_maxLT))</f>
        <v>0</v>
      </c>
      <c r="AD175" s="13">
        <f ca="1">SUMPRODUCT(dFactor,tpSurvCnU,INDEX(elecCnU,stdCSL+1,5)*allOnes,OFFSET(tPrcElec,0,25,1,_maxLT))</f>
        <v>0</v>
      </c>
      <c r="AE175" s="13">
        <f ca="1">SUMPRODUCT(dFactor,tpSurvCnU,INDEX(elecCnU,stdCSL+1,5)*allOnes,OFFSET(tPrcElec,0,26,1,_maxLT))</f>
        <v>0</v>
      </c>
      <c r="AF175" s="13">
        <f ca="1">SUMPRODUCT(dFactor,tpSurvCnU,INDEX(elecCnU,stdCSL+1,5)*allOnes,OFFSET(tPrcElec,0,27,1,_maxLT))</f>
        <v>0</v>
      </c>
      <c r="AG175" s="13">
        <f ca="1">SUMPRODUCT(dFactor,tpSurvCnU,INDEX(elecCnU,stdCSL+1,5)*allOnes,OFFSET(tPrcElec,0,28,1,_maxLT))</f>
        <v>0</v>
      </c>
      <c r="AH175" s="13">
        <f ca="1">SUMPRODUCT(dFactor,tpSurvCnU,INDEX(elecCnU,stdCSL+1,5)*allOnes,OFFSET(tPrcElec,0,29,1,_maxLT))</f>
        <v>0</v>
      </c>
      <c r="AI175" s="13">
        <f ca="1">SUMPRODUCT(dFactor,tpSurvCnU,INDEX(elecCnU,stdCSL+1,5)*allOnes,OFFSET(tPrcElec,0,30,1,_maxLT))</f>
        <v>0</v>
      </c>
      <c r="AJ175" s="13">
        <f ca="1">SUMPRODUCT(dFactor,tpSurvCnU,INDEX(elecCnU,stdCSL+1,5)*allOnes,OFFSET(tPrcElec,0,31,1,_maxLT))</f>
        <v>0</v>
      </c>
      <c r="AK175" s="13">
        <f ca="1">SUMPRODUCT(dFactor,tpSurvCnU,INDEX(elecCnU,stdCSL+1,5)*allOnes,OFFSET(tPrcElec,0,32,1,_maxLT))</f>
        <v>0</v>
      </c>
      <c r="AL175" s="56">
        <f ca="1">SUMPRODUCT(dFactor,tpSurvCnU,INDEX(elecCnU,stdCSL+1,5)*allOnes,OFFSET(tPrcElec,0,33,1,_maxLT))</f>
        <v>0</v>
      </c>
      <c r="AM175" s="10"/>
    </row>
    <row r="176" spans="2:39">
      <c r="B176" s="10"/>
      <c r="C176" s="16" t="s">
        <v>79</v>
      </c>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5"/>
      <c r="AM176" s="10"/>
    </row>
    <row r="177" spans="2:39">
      <c r="B177" s="10"/>
      <c r="C177" s="28" t="str">
        <f>INDEX(_fuel,1)</f>
        <v>Electricity</v>
      </c>
      <c r="D177" s="12" t="s">
        <v>83</v>
      </c>
      <c r="E177" s="39">
        <f ca="1">SUMPRODUCT(OFFSET(tConvElecCnU,0,0,1,_maxLT),INDEX(elecCnU,stdCSL+1,5)*allOnes,tpSurvCnU)</f>
        <v>0</v>
      </c>
      <c r="F177" s="39">
        <f ca="1">SUMPRODUCT(OFFSET(tConvElecCnU,0,1,1,_maxLT),INDEX(elecCnU,stdCSL+1,5)*allOnes,tpSurvCnU)</f>
        <v>0</v>
      </c>
      <c r="G177" s="39">
        <f ca="1">SUMPRODUCT(OFFSET(tConvElecCnU,0,2,1,_maxLT),INDEX(elecCnU,stdCSL+1,5)*allOnes,tpSurvCnU)</f>
        <v>0</v>
      </c>
      <c r="H177" s="39">
        <f ca="1">SUMPRODUCT(OFFSET(tConvElecCnU,0,3,1,_maxLT),INDEX(elecCnU,stdCSL+1,5)*allOnes,tpSurvCnU)</f>
        <v>0</v>
      </c>
      <c r="I177" s="39">
        <f ca="1">SUMPRODUCT(OFFSET(tConvElecCnU,0,4,1,_maxLT),INDEX(elecCnU,stdCSL+1,5)*allOnes,tpSurvCnU)</f>
        <v>0</v>
      </c>
      <c r="J177" s="39">
        <f ca="1">SUMPRODUCT(OFFSET(tConvElecCnU,0,5,1,_maxLT),INDEX(elecCnU,stdCSL+1,5)*allOnes,tpSurvCnU)</f>
        <v>0</v>
      </c>
      <c r="K177" s="39">
        <f ca="1">SUMPRODUCT(OFFSET(tConvElecCnU,0,6,1,_maxLT),INDEX(elecCnU,stdCSL+1,5)*allOnes,tpSurvCnU)</f>
        <v>0</v>
      </c>
      <c r="L177" s="39">
        <f ca="1">SUMPRODUCT(OFFSET(tConvElecCnU,0,7,1,_maxLT),INDEX(elecCnU,stdCSL+1,5)*allOnes,tpSurvCnU)</f>
        <v>0</v>
      </c>
      <c r="M177" s="39">
        <f ca="1">SUMPRODUCT(OFFSET(tConvElecCnU,0,8,1,_maxLT),INDEX(elecCnU,stdCSL+1,5)*allOnes,tpSurvCnU)</f>
        <v>0</v>
      </c>
      <c r="N177" s="39">
        <f ca="1">SUMPRODUCT(OFFSET(tConvElecCnU,0,9,1,_maxLT),INDEX(elecCnU,stdCSL+1,5)*allOnes,tpSurvCnU)</f>
        <v>0</v>
      </c>
      <c r="O177" s="39">
        <f ca="1">SUMPRODUCT(OFFSET(tConvElecCnU,0,10,1,_maxLT),INDEX(elecCnU,stdCSL+1,5)*allOnes,tpSurvCnU)</f>
        <v>0</v>
      </c>
      <c r="P177" s="39">
        <f ca="1">SUMPRODUCT(OFFSET(tConvElecCnU,0,11,1,_maxLT),INDEX(elecCnU,stdCSL+1,5)*allOnes,tpSurvCnU)</f>
        <v>0</v>
      </c>
      <c r="Q177" s="39">
        <f ca="1">SUMPRODUCT(OFFSET(tConvElecCnU,0,12,1,_maxLT),INDEX(elecCnU,stdCSL+1,5)*allOnes,tpSurvCnU)</f>
        <v>0</v>
      </c>
      <c r="R177" s="39">
        <f ca="1">SUMPRODUCT(OFFSET(tConvElecCnU,0,13,1,_maxLT),INDEX(elecCnU,stdCSL+1,5)*allOnes,tpSurvCnU)</f>
        <v>0</v>
      </c>
      <c r="S177" s="39">
        <f ca="1">SUMPRODUCT(OFFSET(tConvElecCnU,0,14,1,_maxLT),INDEX(elecCnU,stdCSL+1,5)*allOnes,tpSurvCnU)</f>
        <v>0</v>
      </c>
      <c r="T177" s="39">
        <f ca="1">SUMPRODUCT(OFFSET(tConvElecCnU,0,15,1,_maxLT),INDEX(elecCnU,stdCSL+1,5)*allOnes,tpSurvCnU)</f>
        <v>0</v>
      </c>
      <c r="U177" s="39">
        <f ca="1">SUMPRODUCT(OFFSET(tConvElecCnU,0,16,1,_maxLT),INDEX(elecCnU,stdCSL+1,5)*allOnes,tpSurvCnU)</f>
        <v>0</v>
      </c>
      <c r="V177" s="39">
        <f ca="1">SUMPRODUCT(OFFSET(tConvElecCnU,0,17,1,_maxLT),INDEX(elecCnU,stdCSL+1,5)*allOnes,tpSurvCnU)</f>
        <v>0</v>
      </c>
      <c r="W177" s="39">
        <f ca="1">SUMPRODUCT(OFFSET(tConvElecCnU,0,18,1,_maxLT),INDEX(elecCnU,stdCSL+1,5)*allOnes,tpSurvCnU)</f>
        <v>0</v>
      </c>
      <c r="X177" s="39">
        <f ca="1">SUMPRODUCT(OFFSET(tConvElecCnU,0,19,1,_maxLT),INDEX(elecCnU,stdCSL+1,5)*allOnes,tpSurvCnU)</f>
        <v>0</v>
      </c>
      <c r="Y177" s="39">
        <f ca="1">SUMPRODUCT(OFFSET(tConvElecCnU,0,20,1,_maxLT),INDEX(elecCnU,stdCSL+1,5)*allOnes,tpSurvCnU)</f>
        <v>0</v>
      </c>
      <c r="Z177" s="39">
        <f ca="1">SUMPRODUCT(OFFSET(tConvElecCnU,0,21,1,_maxLT),INDEX(elecCnU,stdCSL+1,5)*allOnes,tpSurvCnU)</f>
        <v>0</v>
      </c>
      <c r="AA177" s="39">
        <f ca="1">SUMPRODUCT(OFFSET(tConvElecCnU,0,22,1,_maxLT),INDEX(elecCnU,stdCSL+1,5)*allOnes,tpSurvCnU)</f>
        <v>0</v>
      </c>
      <c r="AB177" s="39">
        <f ca="1">SUMPRODUCT(OFFSET(tConvElecCnU,0,23,1,_maxLT),INDEX(elecCnU,stdCSL+1,5)*allOnes,tpSurvCnU)</f>
        <v>0</v>
      </c>
      <c r="AC177" s="39">
        <f ca="1">SUMPRODUCT(OFFSET(tConvElecCnU,0,24,1,_maxLT),INDEX(elecCnU,stdCSL+1,5)*allOnes,tpSurvCnU)</f>
        <v>0</v>
      </c>
      <c r="AD177" s="39">
        <f ca="1">SUMPRODUCT(OFFSET(tConvElecCnU,0,25,1,_maxLT),INDEX(elecCnU,stdCSL+1,5)*allOnes,tpSurvCnU)</f>
        <v>0</v>
      </c>
      <c r="AE177" s="39">
        <f ca="1">SUMPRODUCT(OFFSET(tConvElecCnU,0,26,1,_maxLT),INDEX(elecCnU,stdCSL+1,5)*allOnes,tpSurvCnU)</f>
        <v>0</v>
      </c>
      <c r="AF177" s="39">
        <f ca="1">SUMPRODUCT(OFFSET(tConvElecCnU,0,27,1,_maxLT),INDEX(elecCnU,stdCSL+1,5)*allOnes,tpSurvCnU)</f>
        <v>0</v>
      </c>
      <c r="AG177" s="39">
        <f ca="1">SUMPRODUCT(OFFSET(tConvElecCnU,0,28,1,_maxLT),INDEX(elecCnU,stdCSL+1,5)*allOnes,tpSurvCnU)</f>
        <v>0</v>
      </c>
      <c r="AH177" s="39">
        <f ca="1">SUMPRODUCT(OFFSET(tConvElecCnU,0,29,1,_maxLT),INDEX(elecCnU,stdCSL+1,5)*allOnes,tpSurvCnU)</f>
        <v>0</v>
      </c>
      <c r="AI177" s="39">
        <f ca="1">SUMPRODUCT(OFFSET(tConvElecCnU,0,30,1,_maxLT),INDEX(elecCnU,stdCSL+1,5)*allOnes,tpSurvCnU)</f>
        <v>0</v>
      </c>
      <c r="AJ177" s="39">
        <f ca="1">SUMPRODUCT(OFFSET(tConvElecCnU,0,31,1,_maxLT),INDEX(elecCnU,stdCSL+1,5)*allOnes,tpSurvCnU)</f>
        <v>0</v>
      </c>
      <c r="AK177" s="39">
        <f ca="1">SUMPRODUCT(OFFSET(tConvElecCnU,0,32,1,_maxLT),INDEX(elecCnU,stdCSL+1,5)*allOnes,tpSurvCnU)</f>
        <v>0</v>
      </c>
      <c r="AL177" s="40">
        <f ca="1">SUMPRODUCT(OFFSET(tConvElecCnU,0,33,1,_maxLT),INDEX(elecCnU,stdCSL+1,5)*allOnes,tpSurvCnU)</f>
        <v>0</v>
      </c>
      <c r="AM177" s="10"/>
    </row>
    <row r="178" spans="2:39">
      <c r="B178" s="10"/>
      <c r="C178" s="57" t="str">
        <f>"EL 5: " &amp; INDEX(_doName,4,6)</f>
        <v>EL 5: EL 5</v>
      </c>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3"/>
      <c r="AM178" s="10"/>
    </row>
    <row r="179" spans="2:39">
      <c r="B179" s="10"/>
      <c r="C179" s="16" t="s">
        <v>69</v>
      </c>
      <c r="D179" s="12" t="str">
        <f>_yearDol &amp; "$"</f>
        <v>2015$</v>
      </c>
      <c r="E179" s="13">
        <f t="array" aca="1" ref="E179:AL179" ca="1">INDEX(mspCnU,stdCSL+1,6)*tPIdxAll + INDEX(instCnU,stdCSL+1,6) + IF(bESav,SUMPRODUCT(dFactor,tpSurvCnU,INDEX(mrCnU,stdCSL+1,6)*allOnes),0)</f>
        <v>4302.6824232711597</v>
      </c>
      <c r="F179" s="13">
        <f ca="1"/>
        <v>4302.6824232711597</v>
      </c>
      <c r="G179" s="13">
        <f ca="1"/>
        <v>4302.6824232711597</v>
      </c>
      <c r="H179" s="13">
        <f ca="1"/>
        <v>4302.6824232711597</v>
      </c>
      <c r="I179" s="13">
        <f ca="1"/>
        <v>4302.6824232711597</v>
      </c>
      <c r="J179" s="13">
        <f ca="1"/>
        <v>4302.6824232711597</v>
      </c>
      <c r="K179" s="13">
        <f ca="1"/>
        <v>4302.6824232711597</v>
      </c>
      <c r="L179" s="13">
        <f ca="1"/>
        <v>4302.6824232711597</v>
      </c>
      <c r="M179" s="13">
        <f ca="1"/>
        <v>4302.6824232711597</v>
      </c>
      <c r="N179" s="13">
        <f ca="1"/>
        <v>4302.6824232711597</v>
      </c>
      <c r="O179" s="13">
        <f ca="1"/>
        <v>4302.6824232711597</v>
      </c>
      <c r="P179" s="13">
        <f ca="1"/>
        <v>4302.6824232711597</v>
      </c>
      <c r="Q179" s="13">
        <f ca="1"/>
        <v>4302.6824232711597</v>
      </c>
      <c r="R179" s="13">
        <f ca="1"/>
        <v>4302.6824232711597</v>
      </c>
      <c r="S179" s="13">
        <f ca="1"/>
        <v>4302.6824232711597</v>
      </c>
      <c r="T179" s="13">
        <f ca="1"/>
        <v>4302.6824232711597</v>
      </c>
      <c r="U179" s="13">
        <f ca="1"/>
        <v>4302.6824232711597</v>
      </c>
      <c r="V179" s="13">
        <f ca="1"/>
        <v>4302.6824232711597</v>
      </c>
      <c r="W179" s="13">
        <f ca="1"/>
        <v>4302.6824232711597</v>
      </c>
      <c r="X179" s="13">
        <f ca="1"/>
        <v>4302.6824232711597</v>
      </c>
      <c r="Y179" s="13">
        <f ca="1"/>
        <v>4302.6824232711597</v>
      </c>
      <c r="Z179" s="13">
        <f ca="1"/>
        <v>4302.6824232711597</v>
      </c>
      <c r="AA179" s="13">
        <f ca="1"/>
        <v>4302.6824232711597</v>
      </c>
      <c r="AB179" s="13">
        <f ca="1"/>
        <v>4302.6824232711597</v>
      </c>
      <c r="AC179" s="13">
        <f ca="1"/>
        <v>4302.6824232711597</v>
      </c>
      <c r="AD179" s="13">
        <f ca="1"/>
        <v>4302.6824232711597</v>
      </c>
      <c r="AE179" s="13">
        <f ca="1"/>
        <v>4302.6824232711597</v>
      </c>
      <c r="AF179" s="13">
        <f ca="1"/>
        <v>4302.6824232711597</v>
      </c>
      <c r="AG179" s="13">
        <f ca="1"/>
        <v>4302.6824232711597</v>
      </c>
      <c r="AH179" s="13">
        <f ca="1"/>
        <v>4302.6824232711597</v>
      </c>
      <c r="AI179" s="13">
        <f ca="1"/>
        <v>4302.6824232711597</v>
      </c>
      <c r="AJ179" s="13">
        <f ca="1"/>
        <v>4302.6824232711597</v>
      </c>
      <c r="AK179" s="13">
        <f ca="1"/>
        <v>4302.6824232711597</v>
      </c>
      <c r="AL179" s="56">
        <f ca="1"/>
        <v>4302.6824232711597</v>
      </c>
      <c r="AM179" s="10"/>
    </row>
    <row r="180" spans="2:39">
      <c r="B180" s="10"/>
      <c r="C180" s="16" t="str">
        <f>zEO&amp;" Costs"</f>
        <v>Operating Costs</v>
      </c>
      <c r="D180" s="12" t="str">
        <f>_yearDol &amp; "$"</f>
        <v>2015$</v>
      </c>
      <c r="E180" s="13">
        <f t="array" aca="1" ref="E180:AL180" ca="1">(tlccEFuElecpol5) + IF(bOSav,SUMPRODUCT(dFactor,tpSurvCnU,INDEX(mrCnU,stdCSL+1,6)*allOnes),0)</f>
        <v>27991.505663425505</v>
      </c>
      <c r="F180" s="13">
        <f ca="1"/>
        <v>28230.240764232603</v>
      </c>
      <c r="G180" s="13">
        <f ca="1"/>
        <v>28460.352767510049</v>
      </c>
      <c r="H180" s="13">
        <f ca="1"/>
        <v>28663.735668805188</v>
      </c>
      <c r="I180" s="13">
        <f ca="1"/>
        <v>28844.222420951723</v>
      </c>
      <c r="J180" s="13">
        <f ca="1"/>
        <v>29025.869816782928</v>
      </c>
      <c r="K180" s="13">
        <f ca="1"/>
        <v>29208.685496365899</v>
      </c>
      <c r="L180" s="13">
        <f ca="1"/>
        <v>29392.677151319713</v>
      </c>
      <c r="M180" s="13">
        <f ca="1"/>
        <v>29577.852525172017</v>
      </c>
      <c r="N180" s="13">
        <f ca="1"/>
        <v>29764.21941371822</v>
      </c>
      <c r="O180" s="13">
        <f ca="1"/>
        <v>29951.785665383242</v>
      </c>
      <c r="P180" s="13">
        <f ca="1"/>
        <v>30140.55918158573</v>
      </c>
      <c r="Q180" s="13">
        <f ca="1"/>
        <v>30330.547917104992</v>
      </c>
      <c r="R180" s="13">
        <f ca="1"/>
        <v>30521.759880450467</v>
      </c>
      <c r="S180" s="13">
        <f ca="1"/>
        <v>30714.203134233732</v>
      </c>
      <c r="T180" s="13">
        <f ca="1"/>
        <v>30907.885795543309</v>
      </c>
      <c r="U180" s="13">
        <f ca="1"/>
        <v>31102.816036322027</v>
      </c>
      <c r="V180" s="13">
        <f ca="1"/>
        <v>31299.002083747095</v>
      </c>
      <c r="W180" s="13">
        <f ca="1"/>
        <v>31496.452220612871</v>
      </c>
      <c r="X180" s="13">
        <f ca="1"/>
        <v>31695.174785716281</v>
      </c>
      <c r="Y180" s="13">
        <f ca="1"/>
        <v>31895.178174245098</v>
      </c>
      <c r="Z180" s="13">
        <f ca="1"/>
        <v>32096.470838168891</v>
      </c>
      <c r="AA180" s="13">
        <f ca="1"/>
        <v>32299.061286632757</v>
      </c>
      <c r="AB180" s="13">
        <f ca="1"/>
        <v>32502.958086353879</v>
      </c>
      <c r="AC180" s="13">
        <f ca="1"/>
        <v>32708.169862020874</v>
      </c>
      <c r="AD180" s="13">
        <f ca="1"/>
        <v>32914.705296696018</v>
      </c>
      <c r="AE180" s="13">
        <f ca="1"/>
        <v>33122.573132220256</v>
      </c>
      <c r="AF180" s="13">
        <f ca="1"/>
        <v>33331.782169621118</v>
      </c>
      <c r="AG180" s="13">
        <f ca="1"/>
        <v>33542.341269523684</v>
      </c>
      <c r="AH180" s="13">
        <f ca="1"/>
        <v>33754.259352564113</v>
      </c>
      <c r="AI180" s="13">
        <f ca="1"/>
        <v>33967.545399806564</v>
      </c>
      <c r="AJ180" s="13">
        <f ca="1"/>
        <v>34182.208453162675</v>
      </c>
      <c r="AK180" s="13">
        <f ca="1"/>
        <v>34398.257615814277</v>
      </c>
      <c r="AL180" s="56">
        <f ca="1"/>
        <v>34615.702052639142</v>
      </c>
      <c r="AM180" s="10"/>
    </row>
    <row r="181" spans="2:39">
      <c r="B181" s="10"/>
      <c r="C181" s="28" t="str">
        <f>INDEX(_fuel,1)</f>
        <v>Electricity</v>
      </c>
      <c r="D181" s="12" t="str">
        <f>_yearDol &amp; "$"</f>
        <v>2015$</v>
      </c>
      <c r="E181" s="13">
        <f ca="1">SUMPRODUCT(dFactor,tpSurvCnU,INDEX(elecCnU,stdCSL+1,6)*allOnes,OFFSET(tPrcElec,0,0,1,_maxLT))</f>
        <v>27991.505663425505</v>
      </c>
      <c r="F181" s="13">
        <f ca="1">SUMPRODUCT(dFactor,tpSurvCnU,INDEX(elecCnU,stdCSL+1,6)*allOnes,OFFSET(tPrcElec,0,1,1,_maxLT))</f>
        <v>28230.240764232603</v>
      </c>
      <c r="G181" s="13">
        <f ca="1">SUMPRODUCT(dFactor,tpSurvCnU,INDEX(elecCnU,stdCSL+1,6)*allOnes,OFFSET(tPrcElec,0,2,1,_maxLT))</f>
        <v>28460.352767510049</v>
      </c>
      <c r="H181" s="13">
        <f ca="1">SUMPRODUCT(dFactor,tpSurvCnU,INDEX(elecCnU,stdCSL+1,6)*allOnes,OFFSET(tPrcElec,0,3,1,_maxLT))</f>
        <v>28663.735668805188</v>
      </c>
      <c r="I181" s="13">
        <f ca="1">SUMPRODUCT(dFactor,tpSurvCnU,INDEX(elecCnU,stdCSL+1,6)*allOnes,OFFSET(tPrcElec,0,4,1,_maxLT))</f>
        <v>28844.222420951723</v>
      </c>
      <c r="J181" s="13">
        <f ca="1">SUMPRODUCT(dFactor,tpSurvCnU,INDEX(elecCnU,stdCSL+1,6)*allOnes,OFFSET(tPrcElec,0,5,1,_maxLT))</f>
        <v>29025.869816782928</v>
      </c>
      <c r="K181" s="13">
        <f ca="1">SUMPRODUCT(dFactor,tpSurvCnU,INDEX(elecCnU,stdCSL+1,6)*allOnes,OFFSET(tPrcElec,0,6,1,_maxLT))</f>
        <v>29208.685496365899</v>
      </c>
      <c r="L181" s="13">
        <f ca="1">SUMPRODUCT(dFactor,tpSurvCnU,INDEX(elecCnU,stdCSL+1,6)*allOnes,OFFSET(tPrcElec,0,7,1,_maxLT))</f>
        <v>29392.677151319713</v>
      </c>
      <c r="M181" s="13">
        <f ca="1">SUMPRODUCT(dFactor,tpSurvCnU,INDEX(elecCnU,stdCSL+1,6)*allOnes,OFFSET(tPrcElec,0,8,1,_maxLT))</f>
        <v>29577.852525172017</v>
      </c>
      <c r="N181" s="13">
        <f ca="1">SUMPRODUCT(dFactor,tpSurvCnU,INDEX(elecCnU,stdCSL+1,6)*allOnes,OFFSET(tPrcElec,0,9,1,_maxLT))</f>
        <v>29764.21941371822</v>
      </c>
      <c r="O181" s="13">
        <f ca="1">SUMPRODUCT(dFactor,tpSurvCnU,INDEX(elecCnU,stdCSL+1,6)*allOnes,OFFSET(tPrcElec,0,10,1,_maxLT))</f>
        <v>29951.785665383242</v>
      </c>
      <c r="P181" s="13">
        <f ca="1">SUMPRODUCT(dFactor,tpSurvCnU,INDEX(elecCnU,stdCSL+1,6)*allOnes,OFFSET(tPrcElec,0,11,1,_maxLT))</f>
        <v>30140.55918158573</v>
      </c>
      <c r="Q181" s="13">
        <f ca="1">SUMPRODUCT(dFactor,tpSurvCnU,INDEX(elecCnU,stdCSL+1,6)*allOnes,OFFSET(tPrcElec,0,12,1,_maxLT))</f>
        <v>30330.547917104992</v>
      </c>
      <c r="R181" s="13">
        <f ca="1">SUMPRODUCT(dFactor,tpSurvCnU,INDEX(elecCnU,stdCSL+1,6)*allOnes,OFFSET(tPrcElec,0,13,1,_maxLT))</f>
        <v>30521.759880450467</v>
      </c>
      <c r="S181" s="13">
        <f ca="1">SUMPRODUCT(dFactor,tpSurvCnU,INDEX(elecCnU,stdCSL+1,6)*allOnes,OFFSET(tPrcElec,0,14,1,_maxLT))</f>
        <v>30714.203134233732</v>
      </c>
      <c r="T181" s="13">
        <f ca="1">SUMPRODUCT(dFactor,tpSurvCnU,INDEX(elecCnU,stdCSL+1,6)*allOnes,OFFSET(tPrcElec,0,15,1,_maxLT))</f>
        <v>30907.885795543309</v>
      </c>
      <c r="U181" s="13">
        <f ca="1">SUMPRODUCT(dFactor,tpSurvCnU,INDEX(elecCnU,stdCSL+1,6)*allOnes,OFFSET(tPrcElec,0,16,1,_maxLT))</f>
        <v>31102.816036322027</v>
      </c>
      <c r="V181" s="13">
        <f ca="1">SUMPRODUCT(dFactor,tpSurvCnU,INDEX(elecCnU,stdCSL+1,6)*allOnes,OFFSET(tPrcElec,0,17,1,_maxLT))</f>
        <v>31299.002083747095</v>
      </c>
      <c r="W181" s="13">
        <f ca="1">SUMPRODUCT(dFactor,tpSurvCnU,INDEX(elecCnU,stdCSL+1,6)*allOnes,OFFSET(tPrcElec,0,18,1,_maxLT))</f>
        <v>31496.452220612871</v>
      </c>
      <c r="X181" s="13">
        <f ca="1">SUMPRODUCT(dFactor,tpSurvCnU,INDEX(elecCnU,stdCSL+1,6)*allOnes,OFFSET(tPrcElec,0,19,1,_maxLT))</f>
        <v>31695.174785716281</v>
      </c>
      <c r="Y181" s="13">
        <f ca="1">SUMPRODUCT(dFactor,tpSurvCnU,INDEX(elecCnU,stdCSL+1,6)*allOnes,OFFSET(tPrcElec,0,20,1,_maxLT))</f>
        <v>31895.178174245098</v>
      </c>
      <c r="Z181" s="13">
        <f ca="1">SUMPRODUCT(dFactor,tpSurvCnU,INDEX(elecCnU,stdCSL+1,6)*allOnes,OFFSET(tPrcElec,0,21,1,_maxLT))</f>
        <v>32096.470838168891</v>
      </c>
      <c r="AA181" s="13">
        <f ca="1">SUMPRODUCT(dFactor,tpSurvCnU,INDEX(elecCnU,stdCSL+1,6)*allOnes,OFFSET(tPrcElec,0,22,1,_maxLT))</f>
        <v>32299.061286632757</v>
      </c>
      <c r="AB181" s="13">
        <f ca="1">SUMPRODUCT(dFactor,tpSurvCnU,INDEX(elecCnU,stdCSL+1,6)*allOnes,OFFSET(tPrcElec,0,23,1,_maxLT))</f>
        <v>32502.958086353879</v>
      </c>
      <c r="AC181" s="13">
        <f ca="1">SUMPRODUCT(dFactor,tpSurvCnU,INDEX(elecCnU,stdCSL+1,6)*allOnes,OFFSET(tPrcElec,0,24,1,_maxLT))</f>
        <v>32708.169862020874</v>
      </c>
      <c r="AD181" s="13">
        <f ca="1">SUMPRODUCT(dFactor,tpSurvCnU,INDEX(elecCnU,stdCSL+1,6)*allOnes,OFFSET(tPrcElec,0,25,1,_maxLT))</f>
        <v>32914.705296696018</v>
      </c>
      <c r="AE181" s="13">
        <f ca="1">SUMPRODUCT(dFactor,tpSurvCnU,INDEX(elecCnU,stdCSL+1,6)*allOnes,OFFSET(tPrcElec,0,26,1,_maxLT))</f>
        <v>33122.573132220256</v>
      </c>
      <c r="AF181" s="13">
        <f ca="1">SUMPRODUCT(dFactor,tpSurvCnU,INDEX(elecCnU,stdCSL+1,6)*allOnes,OFFSET(tPrcElec,0,27,1,_maxLT))</f>
        <v>33331.782169621118</v>
      </c>
      <c r="AG181" s="13">
        <f ca="1">SUMPRODUCT(dFactor,tpSurvCnU,INDEX(elecCnU,stdCSL+1,6)*allOnes,OFFSET(tPrcElec,0,28,1,_maxLT))</f>
        <v>33542.341269523684</v>
      </c>
      <c r="AH181" s="13">
        <f ca="1">SUMPRODUCT(dFactor,tpSurvCnU,INDEX(elecCnU,stdCSL+1,6)*allOnes,OFFSET(tPrcElec,0,29,1,_maxLT))</f>
        <v>33754.259352564113</v>
      </c>
      <c r="AI181" s="13">
        <f ca="1">SUMPRODUCT(dFactor,tpSurvCnU,INDEX(elecCnU,stdCSL+1,6)*allOnes,OFFSET(tPrcElec,0,30,1,_maxLT))</f>
        <v>33967.545399806564</v>
      </c>
      <c r="AJ181" s="13">
        <f ca="1">SUMPRODUCT(dFactor,tpSurvCnU,INDEX(elecCnU,stdCSL+1,6)*allOnes,OFFSET(tPrcElec,0,31,1,_maxLT))</f>
        <v>34182.208453162675</v>
      </c>
      <c r="AK181" s="13">
        <f ca="1">SUMPRODUCT(dFactor,tpSurvCnU,INDEX(elecCnU,stdCSL+1,6)*allOnes,OFFSET(tPrcElec,0,32,1,_maxLT))</f>
        <v>34398.257615814277</v>
      </c>
      <c r="AL181" s="56">
        <f ca="1">SUMPRODUCT(dFactor,tpSurvCnU,INDEX(elecCnU,stdCSL+1,6)*allOnes,OFFSET(tPrcElec,0,33,1,_maxLT))</f>
        <v>34615.702052639142</v>
      </c>
      <c r="AM181" s="10"/>
    </row>
    <row r="182" spans="2:39">
      <c r="B182" s="10"/>
      <c r="C182" s="16" t="s">
        <v>79</v>
      </c>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5"/>
      <c r="AM182" s="10"/>
    </row>
    <row r="183" spans="2:39">
      <c r="B183" s="10"/>
      <c r="C183" s="28" t="str">
        <f>INDEX(_fuel,1)</f>
        <v>Electricity</v>
      </c>
      <c r="D183" s="12" t="s">
        <v>83</v>
      </c>
      <c r="E183" s="39">
        <f ca="1">SUMPRODUCT(OFFSET(tConvElecCnU,0,0,1,_maxLT),INDEX(elecCnU,stdCSL+1,6)*allOnes,tpSurvCnU)</f>
        <v>4650.2238652625465</v>
      </c>
      <c r="F183" s="39">
        <f ca="1">SUMPRODUCT(OFFSET(tConvElecCnU,0,1,1,_maxLT),INDEX(elecCnU,stdCSL+1,6)*allOnes,tpSurvCnU)</f>
        <v>4604.2858103193121</v>
      </c>
      <c r="G183" s="39">
        <f ca="1">SUMPRODUCT(OFFSET(tConvElecCnU,0,2,1,_maxLT),INDEX(elecCnU,stdCSL+1,6)*allOnes,tpSurvCnU)</f>
        <v>4563.4054854421638</v>
      </c>
      <c r="H183" s="39">
        <f ca="1">SUMPRODUCT(OFFSET(tConvElecCnU,0,3,1,_maxLT),INDEX(elecCnU,stdCSL+1,6)*allOnes,tpSurvCnU)</f>
        <v>4524.1363616903081</v>
      </c>
      <c r="I183" s="39">
        <f ca="1">SUMPRODUCT(OFFSET(tConvElecCnU,0,4,1,_maxLT),INDEX(elecCnU,stdCSL+1,6)*allOnes,tpSurvCnU)</f>
        <v>4489.4672499423759</v>
      </c>
      <c r="J183" s="39">
        <f ca="1">SUMPRODUCT(OFFSET(tConvElecCnU,0,5,1,_maxLT),INDEX(elecCnU,stdCSL+1,6)*allOnes,tpSurvCnU)</f>
        <v>4462.261143939003</v>
      </c>
      <c r="K183" s="39">
        <f ca="1">SUMPRODUCT(OFFSET(tConvElecCnU,0,6,1,_maxLT),INDEX(elecCnU,stdCSL+1,6)*allOnes,tpSurvCnU)</f>
        <v>4439.3828142713719</v>
      </c>
      <c r="L183" s="39">
        <f ca="1">SUMPRODUCT(OFFSET(tConvElecCnU,0,7,1,_maxLT),INDEX(elecCnU,stdCSL+1,6)*allOnes,tpSurvCnU)</f>
        <v>4416.1749147898145</v>
      </c>
      <c r="M183" s="39">
        <f ca="1">SUMPRODUCT(OFFSET(tConvElecCnU,0,8,1,_maxLT),INDEX(elecCnU,stdCSL+1,6)*allOnes,tpSurvCnU)</f>
        <v>4397.3541738730319</v>
      </c>
      <c r="N183" s="39">
        <f ca="1">SUMPRODUCT(OFFSET(tConvElecCnU,0,9,1,_maxLT),INDEX(elecCnU,stdCSL+1,6)*allOnes,tpSurvCnU)</f>
        <v>4384.0849528905192</v>
      </c>
      <c r="O183" s="39">
        <f ca="1">SUMPRODUCT(OFFSET(tConvElecCnU,0,10,1,_maxLT),INDEX(elecCnU,stdCSL+1,6)*allOnes,tpSurvCnU)</f>
        <v>4374.1832039756619</v>
      </c>
      <c r="P183" s="39">
        <f ca="1">SUMPRODUCT(OFFSET(tConvElecCnU,0,11,1,_maxLT),INDEX(elecCnU,stdCSL+1,6)*allOnes,tpSurvCnU)</f>
        <v>4365.7301594117662</v>
      </c>
      <c r="Q183" s="39">
        <f ca="1">SUMPRODUCT(OFFSET(tConvElecCnU,0,12,1,_maxLT),INDEX(elecCnU,stdCSL+1,6)*allOnes,tpSurvCnU)</f>
        <v>4359.3820658329305</v>
      </c>
      <c r="R183" s="39">
        <f ca="1">SUMPRODUCT(OFFSET(tConvElecCnU,0,13,1,_maxLT),INDEX(elecCnU,stdCSL+1,6)*allOnes,tpSurvCnU)</f>
        <v>4354.4579678447662</v>
      </c>
      <c r="S183" s="39">
        <f ca="1">SUMPRODUCT(OFFSET(tConvElecCnU,0,14,1,_maxLT),INDEX(elecCnU,stdCSL+1,6)*allOnes,tpSurvCnU)</f>
        <v>4353.4533374127595</v>
      </c>
      <c r="T183" s="39">
        <f ca="1">SUMPRODUCT(OFFSET(tConvElecCnU,0,15,1,_maxLT),INDEX(elecCnU,stdCSL+1,6)*allOnes,tpSurvCnU)</f>
        <v>4354.233747651946</v>
      </c>
      <c r="U183" s="39">
        <f ca="1">SUMPRODUCT(OFFSET(tConvElecCnU,0,16,1,_maxLT),INDEX(elecCnU,stdCSL+1,6)*allOnes,tpSurvCnU)</f>
        <v>4355.6123422718792</v>
      </c>
      <c r="V183" s="39">
        <f ca="1">SUMPRODUCT(OFFSET(tConvElecCnU,0,17,1,_maxLT),INDEX(elecCnU,stdCSL+1,6)*allOnes,tpSurvCnU)</f>
        <v>4357.7473298501782</v>
      </c>
      <c r="W183" s="39">
        <f ca="1">SUMPRODUCT(OFFSET(tConvElecCnU,0,18,1,_maxLT),INDEX(elecCnU,stdCSL+1,6)*allOnes,tpSurvCnU)</f>
        <v>4359.8051329456903</v>
      </c>
      <c r="X183" s="39">
        <f ca="1">SUMPRODUCT(OFFSET(tConvElecCnU,0,19,1,_maxLT),INDEX(elecCnU,stdCSL+1,6)*allOnes,tpSurvCnU)</f>
        <v>4361.5141664037965</v>
      </c>
      <c r="Y183" s="39">
        <f ca="1">SUMPRODUCT(OFFSET(tConvElecCnU,0,20,1,_maxLT),INDEX(elecCnU,stdCSL+1,6)*allOnes,tpSurvCnU)</f>
        <v>4362.6591193872564</v>
      </c>
      <c r="Z183" s="39">
        <f ca="1">SUMPRODUCT(OFFSET(tConvElecCnU,0,21,1,_maxLT),INDEX(elecCnU,stdCSL+1,6)*allOnes,tpSurvCnU)</f>
        <v>4363.4475890729009</v>
      </c>
      <c r="AA183" s="39">
        <f ca="1">SUMPRODUCT(OFFSET(tConvElecCnU,0,22,1,_maxLT),INDEX(elecCnU,stdCSL+1,6)*allOnes,tpSurvCnU)</f>
        <v>4363.4475890729009</v>
      </c>
      <c r="AB183" s="39">
        <f ca="1">SUMPRODUCT(OFFSET(tConvElecCnU,0,23,1,_maxLT),INDEX(elecCnU,stdCSL+1,6)*allOnes,tpSurvCnU)</f>
        <v>4363.4475890729009</v>
      </c>
      <c r="AC183" s="39">
        <f ca="1">SUMPRODUCT(OFFSET(tConvElecCnU,0,24,1,_maxLT),INDEX(elecCnU,stdCSL+1,6)*allOnes,tpSurvCnU)</f>
        <v>4363.4475890729009</v>
      </c>
      <c r="AD183" s="39">
        <f ca="1">SUMPRODUCT(OFFSET(tConvElecCnU,0,25,1,_maxLT),INDEX(elecCnU,stdCSL+1,6)*allOnes,tpSurvCnU)</f>
        <v>4363.4475890729009</v>
      </c>
      <c r="AE183" s="39">
        <f ca="1">SUMPRODUCT(OFFSET(tConvElecCnU,0,26,1,_maxLT),INDEX(elecCnU,stdCSL+1,6)*allOnes,tpSurvCnU)</f>
        <v>4363.4475890729009</v>
      </c>
      <c r="AF183" s="39">
        <f ca="1">SUMPRODUCT(OFFSET(tConvElecCnU,0,27,1,_maxLT),INDEX(elecCnU,stdCSL+1,6)*allOnes,tpSurvCnU)</f>
        <v>4363.4475890729009</v>
      </c>
      <c r="AG183" s="39">
        <f ca="1">SUMPRODUCT(OFFSET(tConvElecCnU,0,28,1,_maxLT),INDEX(elecCnU,stdCSL+1,6)*allOnes,tpSurvCnU)</f>
        <v>4363.4475890729009</v>
      </c>
      <c r="AH183" s="39">
        <f ca="1">SUMPRODUCT(OFFSET(tConvElecCnU,0,29,1,_maxLT),INDEX(elecCnU,stdCSL+1,6)*allOnes,tpSurvCnU)</f>
        <v>4363.4475890729009</v>
      </c>
      <c r="AI183" s="39">
        <f ca="1">SUMPRODUCT(OFFSET(tConvElecCnU,0,30,1,_maxLT),INDEX(elecCnU,stdCSL+1,6)*allOnes,tpSurvCnU)</f>
        <v>4363.4475890729009</v>
      </c>
      <c r="AJ183" s="39">
        <f ca="1">SUMPRODUCT(OFFSET(tConvElecCnU,0,31,1,_maxLT),INDEX(elecCnU,stdCSL+1,6)*allOnes,tpSurvCnU)</f>
        <v>4363.4475890729009</v>
      </c>
      <c r="AK183" s="39">
        <f ca="1">SUMPRODUCT(OFFSET(tConvElecCnU,0,32,1,_maxLT),INDEX(elecCnU,stdCSL+1,6)*allOnes,tpSurvCnU)</f>
        <v>4363.4475890729009</v>
      </c>
      <c r="AL183" s="40">
        <f ca="1">SUMPRODUCT(OFFSET(tConvElecCnU,0,33,1,_maxLT),INDEX(elecCnU,stdCSL+1,6)*allOnes,tpSurvCnU)</f>
        <v>4363.4475890729009</v>
      </c>
      <c r="AM183" s="10"/>
    </row>
    <row r="184" spans="2:39">
      <c r="B184" s="10"/>
      <c r="C184" s="57" t="str">
        <f>"EL 6: " &amp; INDEX(_doName,4,7)</f>
        <v>EL 6: EL 6</v>
      </c>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3"/>
      <c r="AM184" s="10"/>
    </row>
    <row r="185" spans="2:39">
      <c r="B185" s="10"/>
      <c r="C185" s="16" t="s">
        <v>69</v>
      </c>
      <c r="D185" s="12" t="str">
        <f>_yearDol &amp; "$"</f>
        <v>2015$</v>
      </c>
      <c r="E185" s="13">
        <f t="array" aca="1" ref="E185:AL185" ca="1">INDEX(mspCnU,stdCSL+1,7)*tPIdxAll + INDEX(instCnU,stdCSL+1,7) + IF(bESav,SUMPRODUCT(dFactor,tpSurvCnU,INDEX(mrCnU,stdCSL+1,7)*allOnes),0)</f>
        <v>3807.3938091960199</v>
      </c>
      <c r="F185" s="13">
        <f ca="1"/>
        <v>3807.3938091960199</v>
      </c>
      <c r="G185" s="13">
        <f ca="1"/>
        <v>3807.3938091960199</v>
      </c>
      <c r="H185" s="13">
        <f ca="1"/>
        <v>3807.3938091960199</v>
      </c>
      <c r="I185" s="13">
        <f ca="1"/>
        <v>3807.3938091960199</v>
      </c>
      <c r="J185" s="13">
        <f ca="1"/>
        <v>3807.3938091960199</v>
      </c>
      <c r="K185" s="13">
        <f ca="1"/>
        <v>3807.3938091960199</v>
      </c>
      <c r="L185" s="13">
        <f ca="1"/>
        <v>3807.3938091960199</v>
      </c>
      <c r="M185" s="13">
        <f ca="1"/>
        <v>3807.3938091960199</v>
      </c>
      <c r="N185" s="13">
        <f ca="1"/>
        <v>3807.3938091960199</v>
      </c>
      <c r="O185" s="13">
        <f ca="1"/>
        <v>3807.3938091960199</v>
      </c>
      <c r="P185" s="13">
        <f ca="1"/>
        <v>3807.3938091960199</v>
      </c>
      <c r="Q185" s="13">
        <f ca="1"/>
        <v>3807.3938091960199</v>
      </c>
      <c r="R185" s="13">
        <f ca="1"/>
        <v>3807.3938091960199</v>
      </c>
      <c r="S185" s="13">
        <f ca="1"/>
        <v>3807.3938091960199</v>
      </c>
      <c r="T185" s="13">
        <f ca="1"/>
        <v>3807.3938091960199</v>
      </c>
      <c r="U185" s="13">
        <f ca="1"/>
        <v>3807.3938091960199</v>
      </c>
      <c r="V185" s="13">
        <f ca="1"/>
        <v>3807.3938091960199</v>
      </c>
      <c r="W185" s="13">
        <f ca="1"/>
        <v>3807.3938091960199</v>
      </c>
      <c r="X185" s="13">
        <f ca="1"/>
        <v>3807.3938091960199</v>
      </c>
      <c r="Y185" s="13">
        <f ca="1"/>
        <v>3807.3938091960199</v>
      </c>
      <c r="Z185" s="13">
        <f ca="1"/>
        <v>3807.3938091960199</v>
      </c>
      <c r="AA185" s="13">
        <f ca="1"/>
        <v>3807.3938091960199</v>
      </c>
      <c r="AB185" s="13">
        <f ca="1"/>
        <v>3807.3938091960199</v>
      </c>
      <c r="AC185" s="13">
        <f ca="1"/>
        <v>3807.3938091960199</v>
      </c>
      <c r="AD185" s="13">
        <f ca="1"/>
        <v>3807.3938091960199</v>
      </c>
      <c r="AE185" s="13">
        <f ca="1"/>
        <v>3807.3938091960199</v>
      </c>
      <c r="AF185" s="13">
        <f ca="1"/>
        <v>3807.3938091960199</v>
      </c>
      <c r="AG185" s="13">
        <f ca="1"/>
        <v>3807.3938091960199</v>
      </c>
      <c r="AH185" s="13">
        <f ca="1"/>
        <v>3807.3938091960199</v>
      </c>
      <c r="AI185" s="13">
        <f ca="1"/>
        <v>3807.3938091960199</v>
      </c>
      <c r="AJ185" s="13">
        <f ca="1"/>
        <v>3807.3938091960199</v>
      </c>
      <c r="AK185" s="13">
        <f ca="1"/>
        <v>3807.3938091960199</v>
      </c>
      <c r="AL185" s="56">
        <f ca="1"/>
        <v>3807.3938091960199</v>
      </c>
      <c r="AM185" s="10"/>
    </row>
    <row r="186" spans="2:39">
      <c r="B186" s="10"/>
      <c r="C186" s="16" t="str">
        <f>zEO&amp;" Costs"</f>
        <v>Operating Costs</v>
      </c>
      <c r="D186" s="12" t="str">
        <f>_yearDol &amp; "$"</f>
        <v>2015$</v>
      </c>
      <c r="E186" s="13">
        <f t="array" aca="1" ref="E186:AL186" ca="1">(tlccEFuElecpol6) + IF(bOSav,SUMPRODUCT(dFactor,tpSurvCnU,INDEX(mrCnU,stdCSL+1,7)*allOnes),0)</f>
        <v>19960.13909314838</v>
      </c>
      <c r="F186" s="13">
        <f ca="1"/>
        <v>20130.375945564392</v>
      </c>
      <c r="G186" s="13">
        <f ca="1"/>
        <v>20294.463853076366</v>
      </c>
      <c r="H186" s="13">
        <f ca="1"/>
        <v>20439.491814338297</v>
      </c>
      <c r="I186" s="13">
        <f ca="1"/>
        <v>20568.193025364009</v>
      </c>
      <c r="J186" s="13">
        <f ca="1"/>
        <v>20697.721866373682</v>
      </c>
      <c r="K186" s="13">
        <f ca="1"/>
        <v>20828.083785334406</v>
      </c>
      <c r="L186" s="13">
        <f ca="1"/>
        <v>20959.284266973922</v>
      </c>
      <c r="M186" s="13">
        <f ca="1"/>
        <v>21091.328833034811</v>
      </c>
      <c r="N186" s="13">
        <f ca="1"/>
        <v>21224.22304253067</v>
      </c>
      <c r="O186" s="13">
        <f ca="1"/>
        <v>21357.972492004043</v>
      </c>
      <c r="P186" s="13">
        <f ca="1"/>
        <v>21492.582815786209</v>
      </c>
      <c r="Q186" s="13">
        <f ca="1"/>
        <v>21628.059686258788</v>
      </c>
      <c r="R186" s="13">
        <f ca="1"/>
        <v>21764.408814117112</v>
      </c>
      <c r="S186" s="13">
        <f ca="1"/>
        <v>21901.635948635678</v>
      </c>
      <c r="T186" s="13">
        <f ca="1"/>
        <v>22039.746877935249</v>
      </c>
      <c r="U186" s="13">
        <f ca="1"/>
        <v>22178.747429252093</v>
      </c>
      <c r="V186" s="13">
        <f ca="1"/>
        <v>22318.643469208819</v>
      </c>
      <c r="W186" s="13">
        <f ca="1"/>
        <v>22459.440904087493</v>
      </c>
      <c r="X186" s="13">
        <f ca="1"/>
        <v>22601.145680104379</v>
      </c>
      <c r="Y186" s="13">
        <f ca="1"/>
        <v>22743.763783686849</v>
      </c>
      <c r="Z186" s="13">
        <f ca="1"/>
        <v>22887.301241752186</v>
      </c>
      <c r="AA186" s="13">
        <f ca="1"/>
        <v>23031.764121988235</v>
      </c>
      <c r="AB186" s="13">
        <f ca="1"/>
        <v>23177.158533136284</v>
      </c>
      <c r="AC186" s="13">
        <f ca="1"/>
        <v>23323.490625275848</v>
      </c>
      <c r="AD186" s="13">
        <f ca="1"/>
        <v>23470.766590111372</v>
      </c>
      <c r="AE186" s="13">
        <f ca="1"/>
        <v>23618.992661261102</v>
      </c>
      <c r="AF186" s="13">
        <f ca="1"/>
        <v>23768.175114548038</v>
      </c>
      <c r="AG186" s="13">
        <f ca="1"/>
        <v>23918.320268292828</v>
      </c>
      <c r="AH186" s="13">
        <f ca="1"/>
        <v>24069.434483608809</v>
      </c>
      <c r="AI186" s="13">
        <f ca="1"/>
        <v>24221.524164699054</v>
      </c>
      <c r="AJ186" s="13">
        <f ca="1"/>
        <v>24374.595759155865</v>
      </c>
      <c r="AK186" s="13">
        <f ca="1"/>
        <v>24528.655758261939</v>
      </c>
      <c r="AL186" s="56">
        <f ca="1"/>
        <v>24683.7106972939</v>
      </c>
      <c r="AM186" s="10"/>
    </row>
    <row r="187" spans="2:39">
      <c r="B187" s="10"/>
      <c r="C187" s="28" t="str">
        <f>INDEX(_fuel,1)</f>
        <v>Electricity</v>
      </c>
      <c r="D187" s="12" t="str">
        <f>_yearDol &amp; "$"</f>
        <v>2015$</v>
      </c>
      <c r="E187" s="13">
        <f ca="1">SUMPRODUCT(dFactor,tpSurvCnU,INDEX(elecCnU,stdCSL+1,7)*allOnes,OFFSET(tPrcElec,0,0,1,_maxLT))</f>
        <v>19960.13909314838</v>
      </c>
      <c r="F187" s="13">
        <f ca="1">SUMPRODUCT(dFactor,tpSurvCnU,INDEX(elecCnU,stdCSL+1,7)*allOnes,OFFSET(tPrcElec,0,1,1,_maxLT))</f>
        <v>20130.375945564392</v>
      </c>
      <c r="G187" s="13">
        <f ca="1">SUMPRODUCT(dFactor,tpSurvCnU,INDEX(elecCnU,stdCSL+1,7)*allOnes,OFFSET(tPrcElec,0,2,1,_maxLT))</f>
        <v>20294.463853076366</v>
      </c>
      <c r="H187" s="13">
        <f ca="1">SUMPRODUCT(dFactor,tpSurvCnU,INDEX(elecCnU,stdCSL+1,7)*allOnes,OFFSET(tPrcElec,0,3,1,_maxLT))</f>
        <v>20439.491814338297</v>
      </c>
      <c r="I187" s="13">
        <f ca="1">SUMPRODUCT(dFactor,tpSurvCnU,INDEX(elecCnU,stdCSL+1,7)*allOnes,OFFSET(tPrcElec,0,4,1,_maxLT))</f>
        <v>20568.193025364009</v>
      </c>
      <c r="J187" s="13">
        <f ca="1">SUMPRODUCT(dFactor,tpSurvCnU,INDEX(elecCnU,stdCSL+1,7)*allOnes,OFFSET(tPrcElec,0,5,1,_maxLT))</f>
        <v>20697.721866373682</v>
      </c>
      <c r="K187" s="13">
        <f ca="1">SUMPRODUCT(dFactor,tpSurvCnU,INDEX(elecCnU,stdCSL+1,7)*allOnes,OFFSET(tPrcElec,0,6,1,_maxLT))</f>
        <v>20828.083785334406</v>
      </c>
      <c r="L187" s="13">
        <f ca="1">SUMPRODUCT(dFactor,tpSurvCnU,INDEX(elecCnU,stdCSL+1,7)*allOnes,OFFSET(tPrcElec,0,7,1,_maxLT))</f>
        <v>20959.284266973922</v>
      </c>
      <c r="M187" s="13">
        <f ca="1">SUMPRODUCT(dFactor,tpSurvCnU,INDEX(elecCnU,stdCSL+1,7)*allOnes,OFFSET(tPrcElec,0,8,1,_maxLT))</f>
        <v>21091.328833034811</v>
      </c>
      <c r="N187" s="13">
        <f ca="1">SUMPRODUCT(dFactor,tpSurvCnU,INDEX(elecCnU,stdCSL+1,7)*allOnes,OFFSET(tPrcElec,0,9,1,_maxLT))</f>
        <v>21224.22304253067</v>
      </c>
      <c r="O187" s="13">
        <f ca="1">SUMPRODUCT(dFactor,tpSurvCnU,INDEX(elecCnU,stdCSL+1,7)*allOnes,OFFSET(tPrcElec,0,10,1,_maxLT))</f>
        <v>21357.972492004043</v>
      </c>
      <c r="P187" s="13">
        <f ca="1">SUMPRODUCT(dFactor,tpSurvCnU,INDEX(elecCnU,stdCSL+1,7)*allOnes,OFFSET(tPrcElec,0,11,1,_maxLT))</f>
        <v>21492.582815786209</v>
      </c>
      <c r="Q187" s="13">
        <f ca="1">SUMPRODUCT(dFactor,tpSurvCnU,INDEX(elecCnU,stdCSL+1,7)*allOnes,OFFSET(tPrcElec,0,12,1,_maxLT))</f>
        <v>21628.059686258788</v>
      </c>
      <c r="R187" s="13">
        <f ca="1">SUMPRODUCT(dFactor,tpSurvCnU,INDEX(elecCnU,stdCSL+1,7)*allOnes,OFFSET(tPrcElec,0,13,1,_maxLT))</f>
        <v>21764.408814117112</v>
      </c>
      <c r="S187" s="13">
        <f ca="1">SUMPRODUCT(dFactor,tpSurvCnU,INDEX(elecCnU,stdCSL+1,7)*allOnes,OFFSET(tPrcElec,0,14,1,_maxLT))</f>
        <v>21901.635948635678</v>
      </c>
      <c r="T187" s="13">
        <f ca="1">SUMPRODUCT(dFactor,tpSurvCnU,INDEX(elecCnU,stdCSL+1,7)*allOnes,OFFSET(tPrcElec,0,15,1,_maxLT))</f>
        <v>22039.746877935249</v>
      </c>
      <c r="U187" s="13">
        <f ca="1">SUMPRODUCT(dFactor,tpSurvCnU,INDEX(elecCnU,stdCSL+1,7)*allOnes,OFFSET(tPrcElec,0,16,1,_maxLT))</f>
        <v>22178.747429252093</v>
      </c>
      <c r="V187" s="13">
        <f ca="1">SUMPRODUCT(dFactor,tpSurvCnU,INDEX(elecCnU,stdCSL+1,7)*allOnes,OFFSET(tPrcElec,0,17,1,_maxLT))</f>
        <v>22318.643469208819</v>
      </c>
      <c r="W187" s="13">
        <f ca="1">SUMPRODUCT(dFactor,tpSurvCnU,INDEX(elecCnU,stdCSL+1,7)*allOnes,OFFSET(tPrcElec,0,18,1,_maxLT))</f>
        <v>22459.440904087493</v>
      </c>
      <c r="X187" s="13">
        <f ca="1">SUMPRODUCT(dFactor,tpSurvCnU,INDEX(elecCnU,stdCSL+1,7)*allOnes,OFFSET(tPrcElec,0,19,1,_maxLT))</f>
        <v>22601.145680104379</v>
      </c>
      <c r="Y187" s="13">
        <f ca="1">SUMPRODUCT(dFactor,tpSurvCnU,INDEX(elecCnU,stdCSL+1,7)*allOnes,OFFSET(tPrcElec,0,20,1,_maxLT))</f>
        <v>22743.763783686849</v>
      </c>
      <c r="Z187" s="13">
        <f ca="1">SUMPRODUCT(dFactor,tpSurvCnU,INDEX(elecCnU,stdCSL+1,7)*allOnes,OFFSET(tPrcElec,0,21,1,_maxLT))</f>
        <v>22887.301241752186</v>
      </c>
      <c r="AA187" s="13">
        <f ca="1">SUMPRODUCT(dFactor,tpSurvCnU,INDEX(elecCnU,stdCSL+1,7)*allOnes,OFFSET(tPrcElec,0,22,1,_maxLT))</f>
        <v>23031.764121988235</v>
      </c>
      <c r="AB187" s="13">
        <f ca="1">SUMPRODUCT(dFactor,tpSurvCnU,INDEX(elecCnU,stdCSL+1,7)*allOnes,OFFSET(tPrcElec,0,23,1,_maxLT))</f>
        <v>23177.158533136284</v>
      </c>
      <c r="AC187" s="13">
        <f ca="1">SUMPRODUCT(dFactor,tpSurvCnU,INDEX(elecCnU,stdCSL+1,7)*allOnes,OFFSET(tPrcElec,0,24,1,_maxLT))</f>
        <v>23323.490625275848</v>
      </c>
      <c r="AD187" s="13">
        <f ca="1">SUMPRODUCT(dFactor,tpSurvCnU,INDEX(elecCnU,stdCSL+1,7)*allOnes,OFFSET(tPrcElec,0,25,1,_maxLT))</f>
        <v>23470.766590111372</v>
      </c>
      <c r="AE187" s="13">
        <f ca="1">SUMPRODUCT(dFactor,tpSurvCnU,INDEX(elecCnU,stdCSL+1,7)*allOnes,OFFSET(tPrcElec,0,26,1,_maxLT))</f>
        <v>23618.992661261102</v>
      </c>
      <c r="AF187" s="13">
        <f ca="1">SUMPRODUCT(dFactor,tpSurvCnU,INDEX(elecCnU,stdCSL+1,7)*allOnes,OFFSET(tPrcElec,0,27,1,_maxLT))</f>
        <v>23768.175114548038</v>
      </c>
      <c r="AG187" s="13">
        <f ca="1">SUMPRODUCT(dFactor,tpSurvCnU,INDEX(elecCnU,stdCSL+1,7)*allOnes,OFFSET(tPrcElec,0,28,1,_maxLT))</f>
        <v>23918.320268292828</v>
      </c>
      <c r="AH187" s="13">
        <f ca="1">SUMPRODUCT(dFactor,tpSurvCnU,INDEX(elecCnU,stdCSL+1,7)*allOnes,OFFSET(tPrcElec,0,29,1,_maxLT))</f>
        <v>24069.434483608809</v>
      </c>
      <c r="AI187" s="13">
        <f ca="1">SUMPRODUCT(dFactor,tpSurvCnU,INDEX(elecCnU,stdCSL+1,7)*allOnes,OFFSET(tPrcElec,0,30,1,_maxLT))</f>
        <v>24221.524164699054</v>
      </c>
      <c r="AJ187" s="13">
        <f ca="1">SUMPRODUCT(dFactor,tpSurvCnU,INDEX(elecCnU,stdCSL+1,7)*allOnes,OFFSET(tPrcElec,0,31,1,_maxLT))</f>
        <v>24374.595759155865</v>
      </c>
      <c r="AK187" s="13">
        <f ca="1">SUMPRODUCT(dFactor,tpSurvCnU,INDEX(elecCnU,stdCSL+1,7)*allOnes,OFFSET(tPrcElec,0,32,1,_maxLT))</f>
        <v>24528.655758261939</v>
      </c>
      <c r="AL187" s="56">
        <f ca="1">SUMPRODUCT(dFactor,tpSurvCnU,INDEX(elecCnU,stdCSL+1,7)*allOnes,OFFSET(tPrcElec,0,33,1,_maxLT))</f>
        <v>24683.7106972939</v>
      </c>
      <c r="AM187" s="10"/>
    </row>
    <row r="188" spans="2:39">
      <c r="B188" s="10"/>
      <c r="C188" s="16" t="s">
        <v>79</v>
      </c>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5"/>
      <c r="AM188" s="10"/>
    </row>
    <row r="189" spans="2:39">
      <c r="B189" s="10"/>
      <c r="C189" s="45" t="str">
        <f>INDEX(_fuel,1)</f>
        <v>Electricity</v>
      </c>
      <c r="D189" s="18" t="s">
        <v>83</v>
      </c>
      <c r="E189" s="49">
        <f ca="1">SUMPRODUCT(OFFSET(tConvElecCnU,0,0,1,_maxLT),INDEX(elecCnU,stdCSL+1,7)*allOnes,tpSurvCnU)</f>
        <v>3315.9743631153988</v>
      </c>
      <c r="F189" s="49">
        <f ca="1">SUMPRODUCT(OFFSET(tConvElecCnU,0,1,1,_maxLT),INDEX(elecCnU,stdCSL+1,7)*allOnes,tpSurvCnU)</f>
        <v>3283.2169267216232</v>
      </c>
      <c r="G189" s="49">
        <f ca="1">SUMPRODUCT(OFFSET(tConvElecCnU,0,2,1,_maxLT),INDEX(elecCnU,stdCSL+1,7)*allOnes,tpSurvCnU)</f>
        <v>3254.0660485755025</v>
      </c>
      <c r="H189" s="49">
        <f ca="1">SUMPRODUCT(OFFSET(tConvElecCnU,0,3,1,_maxLT),INDEX(elecCnU,stdCSL+1,7)*allOnes,tpSurvCnU)</f>
        <v>3226.0640832086565</v>
      </c>
      <c r="I189" s="49">
        <f ca="1">SUMPRODUCT(OFFSET(tConvElecCnU,0,4,1,_maxLT),INDEX(elecCnU,stdCSL+1,7)*allOnes,tpSurvCnU)</f>
        <v>3201.3422872093497</v>
      </c>
      <c r="J189" s="49">
        <f ca="1">SUMPRODUCT(OFFSET(tConvElecCnU,0,5,1,_maxLT),INDEX(elecCnU,stdCSL+1,7)*allOnes,tpSurvCnU)</f>
        <v>3181.9421996778028</v>
      </c>
      <c r="K189" s="49">
        <f ca="1">SUMPRODUCT(OFFSET(tConvElecCnU,0,6,1,_maxLT),INDEX(elecCnU,stdCSL+1,7)*allOnes,tpSurvCnU)</f>
        <v>3165.6281561291744</v>
      </c>
      <c r="L189" s="49">
        <f ca="1">SUMPRODUCT(OFFSET(tConvElecCnU,0,7,1,_maxLT),INDEX(elecCnU,stdCSL+1,7)*allOnes,tpSurvCnU)</f>
        <v>3149.0791034529202</v>
      </c>
      <c r="M189" s="49">
        <f ca="1">SUMPRODUCT(OFFSET(tConvElecCnU,0,8,1,_maxLT),INDEX(elecCnU,stdCSL+1,7)*allOnes,tpSurvCnU)</f>
        <v>3135.6584389466179</v>
      </c>
      <c r="N189" s="49">
        <f ca="1">SUMPRODUCT(OFFSET(tConvElecCnU,0,9,1,_maxLT),INDEX(elecCnU,stdCSL+1,7)*allOnes,tpSurvCnU)</f>
        <v>3126.1964435951222</v>
      </c>
      <c r="O189" s="49">
        <f ca="1">SUMPRODUCT(OFFSET(tConvElecCnU,0,10,1,_maxLT),INDEX(elecCnU,stdCSL+1,7)*allOnes,tpSurvCnU)</f>
        <v>3119.1357199605154</v>
      </c>
      <c r="P189" s="49">
        <f ca="1">SUMPRODUCT(OFFSET(tConvElecCnU,0,11,1,_maxLT),INDEX(elecCnU,stdCSL+1,7)*allOnes,tpSurvCnU)</f>
        <v>3113.1080361594113</v>
      </c>
      <c r="Q189" s="49">
        <f ca="1">SUMPRODUCT(OFFSET(tConvElecCnU,0,12,1,_maxLT),INDEX(elecCnU,stdCSL+1,7)*allOnes,tpSurvCnU)</f>
        <v>3108.5813475155974</v>
      </c>
      <c r="R189" s="49">
        <f ca="1">SUMPRODUCT(OFFSET(tConvElecCnU,0,13,1,_maxLT),INDEX(elecCnU,stdCSL+1,7)*allOnes,tpSurvCnU)</f>
        <v>3105.0700794211316</v>
      </c>
      <c r="S189" s="49">
        <f ca="1">SUMPRODUCT(OFFSET(tConvElecCnU,0,14,1,_maxLT),INDEX(elecCnU,stdCSL+1,7)*allOnes,tpSurvCnU)</f>
        <v>3104.3536991234378</v>
      </c>
      <c r="T189" s="49">
        <f ca="1">SUMPRODUCT(OFFSET(tConvElecCnU,0,15,1,_maxLT),INDEX(elecCnU,stdCSL+1,7)*allOnes,tpSurvCnU)</f>
        <v>3104.910192836609</v>
      </c>
      <c r="U189" s="49">
        <f ca="1">SUMPRODUCT(OFFSET(tConvElecCnU,0,16,1,_maxLT),INDEX(elecCnU,stdCSL+1,7)*allOnes,tpSurvCnU)</f>
        <v>3105.8932389327283</v>
      </c>
      <c r="V189" s="49">
        <f ca="1">SUMPRODUCT(OFFSET(tConvElecCnU,0,17,1,_maxLT),INDEX(elecCnU,stdCSL+1,7)*allOnes,tpSurvCnU)</f>
        <v>3107.4156525369617</v>
      </c>
      <c r="W189" s="49">
        <f ca="1">SUMPRODUCT(OFFSET(tConvElecCnU,0,18,1,_maxLT),INDEX(elecCnU,stdCSL+1,7)*allOnes,tpSurvCnU)</f>
        <v>3108.8830275508899</v>
      </c>
      <c r="X189" s="49">
        <f ca="1">SUMPRODUCT(OFFSET(tConvElecCnU,0,19,1,_maxLT),INDEX(elecCnU,stdCSL+1,7)*allOnes,tpSurvCnU)</f>
        <v>3110.1017024570856</v>
      </c>
      <c r="Y189" s="49">
        <f ca="1">SUMPRODUCT(OFFSET(tConvElecCnU,0,20,1,_maxLT),INDEX(elecCnU,stdCSL+1,7)*allOnes,tpSurvCnU)</f>
        <v>3110.9181437403722</v>
      </c>
      <c r="Z189" s="49">
        <f ca="1">SUMPRODUCT(OFFSET(tConvElecCnU,0,21,1,_maxLT),INDEX(elecCnU,stdCSL+1,7)*allOnes,tpSurvCnU)</f>
        <v>3111.4803844710223</v>
      </c>
      <c r="AA189" s="49">
        <f ca="1">SUMPRODUCT(OFFSET(tConvElecCnU,0,22,1,_maxLT),INDEX(elecCnU,stdCSL+1,7)*allOnes,tpSurvCnU)</f>
        <v>3111.4803844710223</v>
      </c>
      <c r="AB189" s="49">
        <f ca="1">SUMPRODUCT(OFFSET(tConvElecCnU,0,23,1,_maxLT),INDEX(elecCnU,stdCSL+1,7)*allOnes,tpSurvCnU)</f>
        <v>3111.4803844710223</v>
      </c>
      <c r="AC189" s="49">
        <f ca="1">SUMPRODUCT(OFFSET(tConvElecCnU,0,24,1,_maxLT),INDEX(elecCnU,stdCSL+1,7)*allOnes,tpSurvCnU)</f>
        <v>3111.4803844710223</v>
      </c>
      <c r="AD189" s="49">
        <f ca="1">SUMPRODUCT(OFFSET(tConvElecCnU,0,25,1,_maxLT),INDEX(elecCnU,stdCSL+1,7)*allOnes,tpSurvCnU)</f>
        <v>3111.4803844710223</v>
      </c>
      <c r="AE189" s="49">
        <f ca="1">SUMPRODUCT(OFFSET(tConvElecCnU,0,26,1,_maxLT),INDEX(elecCnU,stdCSL+1,7)*allOnes,tpSurvCnU)</f>
        <v>3111.4803844710223</v>
      </c>
      <c r="AF189" s="49">
        <f ca="1">SUMPRODUCT(OFFSET(tConvElecCnU,0,27,1,_maxLT),INDEX(elecCnU,stdCSL+1,7)*allOnes,tpSurvCnU)</f>
        <v>3111.4803844710223</v>
      </c>
      <c r="AG189" s="49">
        <f ca="1">SUMPRODUCT(OFFSET(tConvElecCnU,0,28,1,_maxLT),INDEX(elecCnU,stdCSL+1,7)*allOnes,tpSurvCnU)</f>
        <v>3111.4803844710223</v>
      </c>
      <c r="AH189" s="49">
        <f ca="1">SUMPRODUCT(OFFSET(tConvElecCnU,0,29,1,_maxLT),INDEX(elecCnU,stdCSL+1,7)*allOnes,tpSurvCnU)</f>
        <v>3111.4803844710223</v>
      </c>
      <c r="AI189" s="49">
        <f ca="1">SUMPRODUCT(OFFSET(tConvElecCnU,0,30,1,_maxLT),INDEX(elecCnU,stdCSL+1,7)*allOnes,tpSurvCnU)</f>
        <v>3111.4803844710223</v>
      </c>
      <c r="AJ189" s="49">
        <f ca="1">SUMPRODUCT(OFFSET(tConvElecCnU,0,31,1,_maxLT),INDEX(elecCnU,stdCSL+1,7)*allOnes,tpSurvCnU)</f>
        <v>3111.4803844710223</v>
      </c>
      <c r="AK189" s="49">
        <f ca="1">SUMPRODUCT(OFFSET(tConvElecCnU,0,32,1,_maxLT),INDEX(elecCnU,stdCSL+1,7)*allOnes,tpSurvCnU)</f>
        <v>3111.4803844710223</v>
      </c>
      <c r="AL189" s="50">
        <f ca="1">SUMPRODUCT(OFFSET(tConvElecCnU,0,33,1,_maxLT),INDEX(elecCnU,stdCSL+1,7)*allOnes,tpSurvCnU)</f>
        <v>3111.4803844710223</v>
      </c>
      <c r="AM189" s="10"/>
    </row>
    <row r="190" spans="2:39">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row>
  </sheetData>
  <conditionalFormatting sqref="E106:AL106">
    <cfRule type="containsBlanks" dxfId="2280" priority="1" stopIfTrue="1">
      <formula>LEN(TRIM(E106))=0</formula>
    </cfRule>
    <cfRule type="notContainsBlanks" dxfId="2279" priority="2" stopIfTrue="1">
      <formula>LEN(TRIM(E106))&gt;0</formula>
    </cfRule>
  </conditionalFormatting>
  <conditionalFormatting sqref="E107:AL107">
    <cfRule type="containsBlanks" dxfId="2278" priority="3" stopIfTrue="1">
      <formula>LEN(TRIM(E107))=0</formula>
    </cfRule>
    <cfRule type="notContainsBlanks" dxfId="2277" priority="4" stopIfTrue="1">
      <formula>LEN(TRIM(E107))&gt;0</formula>
    </cfRule>
  </conditionalFormatting>
  <conditionalFormatting sqref="E108:AL108">
    <cfRule type="containsBlanks" dxfId="2276" priority="5" stopIfTrue="1">
      <formula>LEN(TRIM(E108))=0</formula>
    </cfRule>
    <cfRule type="notContainsBlanks" dxfId="2275" priority="6" stopIfTrue="1">
      <formula>LEN(TRIM(E108))&gt;0</formula>
    </cfRule>
  </conditionalFormatting>
  <conditionalFormatting sqref="E110:AL110">
    <cfRule type="containsBlanks" dxfId="2274" priority="7" stopIfTrue="1">
      <formula>LEN(TRIM(E110))=0</formula>
    </cfRule>
    <cfRule type="notContainsBlanks" dxfId="2273" priority="8" stopIfTrue="1">
      <formula>LEN(TRIM(E110))&gt;0</formula>
    </cfRule>
  </conditionalFormatting>
  <conditionalFormatting sqref="E112:AL112">
    <cfRule type="containsBlanks" dxfId="2272" priority="9" stopIfTrue="1">
      <formula>LEN(TRIM(E112))=0</formula>
    </cfRule>
    <cfRule type="notContainsBlanks" dxfId="2271" priority="10" stopIfTrue="1">
      <formula>LEN(TRIM(E112))&gt;0</formula>
    </cfRule>
  </conditionalFormatting>
  <conditionalFormatting sqref="E113:AL113">
    <cfRule type="containsBlanks" dxfId="2270" priority="11" stopIfTrue="1">
      <formula>LEN(TRIM(E113))=0</formula>
    </cfRule>
    <cfRule type="notContainsBlanks" dxfId="2269" priority="12" stopIfTrue="1">
      <formula>LEN(TRIM(E113))&gt;0</formula>
    </cfRule>
  </conditionalFormatting>
  <conditionalFormatting sqref="E114:AL114">
    <cfRule type="containsBlanks" dxfId="2268" priority="13" stopIfTrue="1">
      <formula>LEN(TRIM(E114))=0</formula>
    </cfRule>
    <cfRule type="notContainsBlanks" dxfId="2267" priority="14" stopIfTrue="1">
      <formula>LEN(TRIM(E114))&gt;0</formula>
    </cfRule>
  </conditionalFormatting>
  <conditionalFormatting sqref="E116:AL116">
    <cfRule type="containsBlanks" dxfId="2266" priority="15" stopIfTrue="1">
      <formula>LEN(TRIM(E116))=0</formula>
    </cfRule>
    <cfRule type="notContainsBlanks" dxfId="2265" priority="16" stopIfTrue="1">
      <formula>LEN(TRIM(E116))&gt;0</formula>
    </cfRule>
  </conditionalFormatting>
  <conditionalFormatting sqref="E118:AL118">
    <cfRule type="containsBlanks" dxfId="2264" priority="17" stopIfTrue="1">
      <formula>LEN(TRIM(E118))=0</formula>
    </cfRule>
    <cfRule type="notContainsBlanks" dxfId="2263" priority="18" stopIfTrue="1">
      <formula>LEN(TRIM(E118))&gt;0</formula>
    </cfRule>
  </conditionalFormatting>
  <conditionalFormatting sqref="E119:AL119">
    <cfRule type="containsBlanks" dxfId="2262" priority="19" stopIfTrue="1">
      <formula>LEN(TRIM(E119))=0</formula>
    </cfRule>
    <cfRule type="notContainsBlanks" dxfId="2261" priority="20" stopIfTrue="1">
      <formula>LEN(TRIM(E119))&gt;0</formula>
    </cfRule>
  </conditionalFormatting>
  <conditionalFormatting sqref="E120:AL120">
    <cfRule type="containsBlanks" dxfId="2260" priority="21" stopIfTrue="1">
      <formula>LEN(TRIM(E120))=0</formula>
    </cfRule>
    <cfRule type="notContainsBlanks" dxfId="2259" priority="22" stopIfTrue="1">
      <formula>LEN(TRIM(E120))&gt;0</formula>
    </cfRule>
  </conditionalFormatting>
  <conditionalFormatting sqref="E122:AL122">
    <cfRule type="containsBlanks" dxfId="2258" priority="23" stopIfTrue="1">
      <formula>LEN(TRIM(E122))=0</formula>
    </cfRule>
    <cfRule type="notContainsBlanks" dxfId="2257" priority="24" stopIfTrue="1">
      <formula>LEN(TRIM(E122))&gt;0</formula>
    </cfRule>
  </conditionalFormatting>
  <conditionalFormatting sqref="E124:AL124">
    <cfRule type="containsBlanks" dxfId="2256" priority="25" stopIfTrue="1">
      <formula>LEN(TRIM(E124))=0</formula>
    </cfRule>
    <cfRule type="notContainsBlanks" dxfId="2255" priority="26" stopIfTrue="1">
      <formula>LEN(TRIM(E124))&gt;0</formula>
    </cfRule>
  </conditionalFormatting>
  <conditionalFormatting sqref="E125:AL125">
    <cfRule type="containsBlanks" dxfId="2254" priority="27" stopIfTrue="1">
      <formula>LEN(TRIM(E125))=0</formula>
    </cfRule>
    <cfRule type="notContainsBlanks" dxfId="2253" priority="28" stopIfTrue="1">
      <formula>LEN(TRIM(E125))&gt;0</formula>
    </cfRule>
  </conditionalFormatting>
  <conditionalFormatting sqref="E126:AL126">
    <cfRule type="containsBlanks" dxfId="2252" priority="29" stopIfTrue="1">
      <formula>LEN(TRIM(E126))=0</formula>
    </cfRule>
    <cfRule type="notContainsBlanks" dxfId="2251" priority="30" stopIfTrue="1">
      <formula>LEN(TRIM(E126))&gt;0</formula>
    </cfRule>
  </conditionalFormatting>
  <conditionalFormatting sqref="E128:AL128">
    <cfRule type="containsBlanks" dxfId="2250" priority="31" stopIfTrue="1">
      <formula>LEN(TRIM(E128))=0</formula>
    </cfRule>
    <cfRule type="notContainsBlanks" dxfId="2249" priority="32" stopIfTrue="1">
      <formula>LEN(TRIM(E128))&gt;0</formula>
    </cfRule>
  </conditionalFormatting>
  <conditionalFormatting sqref="E130:AL130">
    <cfRule type="containsBlanks" dxfId="2248" priority="33" stopIfTrue="1">
      <formula>LEN(TRIM(E130))=0</formula>
    </cfRule>
    <cfRule type="notContainsBlanks" dxfId="2247" priority="34" stopIfTrue="1">
      <formula>LEN(TRIM(E130))&gt;0</formula>
    </cfRule>
  </conditionalFormatting>
  <conditionalFormatting sqref="E131:AL131">
    <cfRule type="containsBlanks" dxfId="2246" priority="35" stopIfTrue="1">
      <formula>LEN(TRIM(E131))=0</formula>
    </cfRule>
    <cfRule type="notContainsBlanks" dxfId="2245" priority="36" stopIfTrue="1">
      <formula>LEN(TRIM(E131))&gt;0</formula>
    </cfRule>
  </conditionalFormatting>
  <conditionalFormatting sqref="E132:AL132">
    <cfRule type="containsBlanks" dxfId="2244" priority="37" stopIfTrue="1">
      <formula>LEN(TRIM(E132))=0</formula>
    </cfRule>
    <cfRule type="notContainsBlanks" dxfId="2243" priority="38" stopIfTrue="1">
      <formula>LEN(TRIM(E132))&gt;0</formula>
    </cfRule>
  </conditionalFormatting>
  <conditionalFormatting sqref="E134:AL134">
    <cfRule type="containsBlanks" dxfId="2242" priority="39" stopIfTrue="1">
      <formula>LEN(TRIM(E134))=0</formula>
    </cfRule>
    <cfRule type="notContainsBlanks" dxfId="2241" priority="40" stopIfTrue="1">
      <formula>LEN(TRIM(E134))&gt;0</formula>
    </cfRule>
  </conditionalFormatting>
  <conditionalFormatting sqref="E136:AL136">
    <cfRule type="containsBlanks" dxfId="2240" priority="41" stopIfTrue="1">
      <formula>LEN(TRIM(E136))=0</formula>
    </cfRule>
  </conditionalFormatting>
  <conditionalFormatting sqref="E136:AL136">
    <cfRule type="notContainsBlanks" dxfId="2239" priority="42" stopIfTrue="1">
      <formula>LEN(TRIM(E136))&gt;0</formula>
    </cfRule>
  </conditionalFormatting>
  <conditionalFormatting sqref="E137:AL137">
    <cfRule type="containsBlanks" dxfId="2238" priority="43" stopIfTrue="1">
      <formula>LEN(TRIM(E137))=0</formula>
    </cfRule>
  </conditionalFormatting>
  <conditionalFormatting sqref="E137:AL137">
    <cfRule type="notContainsBlanks" dxfId="2237" priority="44" stopIfTrue="1">
      <formula>LEN(TRIM(E137))&gt;0</formula>
    </cfRule>
  </conditionalFormatting>
  <conditionalFormatting sqref="E138:AL138">
    <cfRule type="containsBlanks" dxfId="2236" priority="45" stopIfTrue="1">
      <formula>LEN(TRIM(E138))=0</formula>
    </cfRule>
  </conditionalFormatting>
  <conditionalFormatting sqref="E138:AL138">
    <cfRule type="notContainsBlanks" dxfId="2235" priority="46" stopIfTrue="1">
      <formula>LEN(TRIM(E138))&gt;0</formula>
    </cfRule>
  </conditionalFormatting>
  <conditionalFormatting sqref="E140:AL140">
    <cfRule type="containsBlanks" dxfId="2234" priority="47" stopIfTrue="1">
      <formula>LEN(TRIM(E140))=0</formula>
    </cfRule>
  </conditionalFormatting>
  <conditionalFormatting sqref="E140:AL140">
    <cfRule type="notContainsBlanks" dxfId="2233" priority="48" stopIfTrue="1">
      <formula>LEN(TRIM(E140))&gt;0</formula>
    </cfRule>
  </conditionalFormatting>
  <conditionalFormatting sqref="E142:AL142">
    <cfRule type="containsBlanks" dxfId="2232" priority="49" stopIfTrue="1">
      <formula>LEN(TRIM(E142))=0</formula>
    </cfRule>
  </conditionalFormatting>
  <conditionalFormatting sqref="E142:AL142">
    <cfRule type="notContainsBlanks" dxfId="2231" priority="50" stopIfTrue="1">
      <formula>LEN(TRIM(E142))&gt;0</formula>
    </cfRule>
  </conditionalFormatting>
  <conditionalFormatting sqref="E143:AL143">
    <cfRule type="containsBlanks" dxfId="2230" priority="51" stopIfTrue="1">
      <formula>LEN(TRIM(E143))=0</formula>
    </cfRule>
  </conditionalFormatting>
  <conditionalFormatting sqref="E143:AL143">
    <cfRule type="notContainsBlanks" dxfId="2229" priority="52" stopIfTrue="1">
      <formula>LEN(TRIM(E143))&gt;0</formula>
    </cfRule>
  </conditionalFormatting>
  <conditionalFormatting sqref="E144:AL144">
    <cfRule type="containsBlanks" dxfId="2228" priority="53" stopIfTrue="1">
      <formula>LEN(TRIM(E144))=0</formula>
    </cfRule>
  </conditionalFormatting>
  <conditionalFormatting sqref="E144:AL144">
    <cfRule type="notContainsBlanks" dxfId="2227" priority="54" stopIfTrue="1">
      <formula>LEN(TRIM(E144))&gt;0</formula>
    </cfRule>
  </conditionalFormatting>
  <conditionalFormatting sqref="E146:AL146">
    <cfRule type="containsBlanks" dxfId="2226" priority="55" stopIfTrue="1">
      <formula>LEN(TRIM(E146))=0</formula>
    </cfRule>
  </conditionalFormatting>
  <conditionalFormatting sqref="E146:AL146">
    <cfRule type="notContainsBlanks" dxfId="2225" priority="56" stopIfTrue="1">
      <formula>LEN(TRIM(E146))&gt;0</formula>
    </cfRule>
  </conditionalFormatting>
  <conditionalFormatting sqref="E149:AL149">
    <cfRule type="containsBlanks" dxfId="2224" priority="57" stopIfTrue="1">
      <formula>LEN(TRIM(E149))=0</formula>
    </cfRule>
  </conditionalFormatting>
  <conditionalFormatting sqref="E149:AL149">
    <cfRule type="notContainsBlanks" dxfId="2223" priority="58" stopIfTrue="1">
      <formula>LEN(TRIM(E149))&gt;0</formula>
    </cfRule>
  </conditionalFormatting>
  <conditionalFormatting sqref="E150:AL150">
    <cfRule type="containsBlanks" dxfId="2222" priority="59" stopIfTrue="1">
      <formula>LEN(TRIM(E150))=0</formula>
    </cfRule>
  </conditionalFormatting>
  <conditionalFormatting sqref="E150:AL150">
    <cfRule type="notContainsBlanks" dxfId="2221" priority="60" stopIfTrue="1">
      <formula>LEN(TRIM(E150))&gt;0</formula>
    </cfRule>
  </conditionalFormatting>
  <conditionalFormatting sqref="E151:AL151">
    <cfRule type="containsBlanks" dxfId="2220" priority="61" stopIfTrue="1">
      <formula>LEN(TRIM(E151))=0</formula>
    </cfRule>
  </conditionalFormatting>
  <conditionalFormatting sqref="E151:AL151">
    <cfRule type="notContainsBlanks" dxfId="2219" priority="62" stopIfTrue="1">
      <formula>LEN(TRIM(E151))&gt;0</formula>
    </cfRule>
  </conditionalFormatting>
  <conditionalFormatting sqref="E153:AL153">
    <cfRule type="containsBlanks" dxfId="2218" priority="63" stopIfTrue="1">
      <formula>LEN(TRIM(E153))=0</formula>
    </cfRule>
  </conditionalFormatting>
  <conditionalFormatting sqref="E153:AL153">
    <cfRule type="notContainsBlanks" dxfId="2217" priority="64" stopIfTrue="1">
      <formula>LEN(TRIM(E153))&gt;0</formula>
    </cfRule>
  </conditionalFormatting>
  <conditionalFormatting sqref="E155:AL155">
    <cfRule type="containsBlanks" dxfId="2216" priority="65" stopIfTrue="1">
      <formula>LEN(TRIM(E155))=0</formula>
    </cfRule>
  </conditionalFormatting>
  <conditionalFormatting sqref="E155:AL155">
    <cfRule type="notContainsBlanks" dxfId="2215" priority="66" stopIfTrue="1">
      <formula>LEN(TRIM(E155))&gt;0</formula>
    </cfRule>
  </conditionalFormatting>
  <conditionalFormatting sqref="E156:AL156">
    <cfRule type="containsBlanks" dxfId="2214" priority="67" stopIfTrue="1">
      <formula>LEN(TRIM(E156))=0</formula>
    </cfRule>
  </conditionalFormatting>
  <conditionalFormatting sqref="E156:AL156">
    <cfRule type="notContainsBlanks" dxfId="2213" priority="68" stopIfTrue="1">
      <formula>LEN(TRIM(E156))&gt;0</formula>
    </cfRule>
  </conditionalFormatting>
  <conditionalFormatting sqref="E157:AL157">
    <cfRule type="containsBlanks" dxfId="2212" priority="69" stopIfTrue="1">
      <formula>LEN(TRIM(E157))=0</formula>
    </cfRule>
  </conditionalFormatting>
  <conditionalFormatting sqref="E157:AL157">
    <cfRule type="notContainsBlanks" dxfId="2211" priority="70" stopIfTrue="1">
      <formula>LEN(TRIM(E157))&gt;0</formula>
    </cfRule>
  </conditionalFormatting>
  <conditionalFormatting sqref="E159:AL159">
    <cfRule type="containsBlanks" dxfId="2210" priority="71" stopIfTrue="1">
      <formula>LEN(TRIM(E159))=0</formula>
    </cfRule>
  </conditionalFormatting>
  <conditionalFormatting sqref="E159:AL159">
    <cfRule type="notContainsBlanks" dxfId="2209" priority="72" stopIfTrue="1">
      <formula>LEN(TRIM(E159))&gt;0</formula>
    </cfRule>
  </conditionalFormatting>
  <conditionalFormatting sqref="E161:AL161">
    <cfRule type="containsBlanks" dxfId="2208" priority="73" stopIfTrue="1">
      <formula>LEN(TRIM(E161))=0</formula>
    </cfRule>
  </conditionalFormatting>
  <conditionalFormatting sqref="E161:AL161">
    <cfRule type="notContainsBlanks" dxfId="2207" priority="74" stopIfTrue="1">
      <formula>LEN(TRIM(E161))&gt;0</formula>
    </cfRule>
  </conditionalFormatting>
  <conditionalFormatting sqref="E162:AL162">
    <cfRule type="containsBlanks" dxfId="2206" priority="75" stopIfTrue="1">
      <formula>LEN(TRIM(E162))=0</formula>
    </cfRule>
  </conditionalFormatting>
  <conditionalFormatting sqref="E162:AL162">
    <cfRule type="notContainsBlanks" dxfId="2205" priority="76" stopIfTrue="1">
      <formula>LEN(TRIM(E162))&gt;0</formula>
    </cfRule>
  </conditionalFormatting>
  <conditionalFormatting sqref="E163:AL163">
    <cfRule type="containsBlanks" dxfId="2204" priority="77" stopIfTrue="1">
      <formula>LEN(TRIM(E163))=0</formula>
    </cfRule>
  </conditionalFormatting>
  <conditionalFormatting sqref="E163:AL163">
    <cfRule type="notContainsBlanks" dxfId="2203" priority="78" stopIfTrue="1">
      <formula>LEN(TRIM(E163))&gt;0</formula>
    </cfRule>
  </conditionalFormatting>
  <conditionalFormatting sqref="E165:AL165">
    <cfRule type="containsBlanks" dxfId="2202" priority="79" stopIfTrue="1">
      <formula>LEN(TRIM(E165))=0</formula>
    </cfRule>
  </conditionalFormatting>
  <conditionalFormatting sqref="E165:AL165">
    <cfRule type="notContainsBlanks" dxfId="2201" priority="80" stopIfTrue="1">
      <formula>LEN(TRIM(E165))&gt;0</formula>
    </cfRule>
  </conditionalFormatting>
  <conditionalFormatting sqref="E167:AL167">
    <cfRule type="containsBlanks" dxfId="2200" priority="81" stopIfTrue="1">
      <formula>LEN(TRIM(E167))=0</formula>
    </cfRule>
  </conditionalFormatting>
  <conditionalFormatting sqref="E167:AL167">
    <cfRule type="notContainsBlanks" dxfId="2199" priority="82" stopIfTrue="1">
      <formula>LEN(TRIM(E167))&gt;0</formula>
    </cfRule>
  </conditionalFormatting>
  <conditionalFormatting sqref="E168:AL168">
    <cfRule type="containsBlanks" dxfId="2198" priority="83" stopIfTrue="1">
      <formula>LEN(TRIM(E168))=0</formula>
    </cfRule>
  </conditionalFormatting>
  <conditionalFormatting sqref="E168:AL168">
    <cfRule type="notContainsBlanks" dxfId="2197" priority="84" stopIfTrue="1">
      <formula>LEN(TRIM(E168))&gt;0</formula>
    </cfRule>
  </conditionalFormatting>
  <conditionalFormatting sqref="E169:AL169">
    <cfRule type="containsBlanks" dxfId="2196" priority="85" stopIfTrue="1">
      <formula>LEN(TRIM(E169))=0</formula>
    </cfRule>
  </conditionalFormatting>
  <conditionalFormatting sqref="E169:AL169">
    <cfRule type="notContainsBlanks" dxfId="2195" priority="86" stopIfTrue="1">
      <formula>LEN(TRIM(E169))&gt;0</formula>
    </cfRule>
  </conditionalFormatting>
  <conditionalFormatting sqref="E171:AL171">
    <cfRule type="containsBlanks" dxfId="2194" priority="87" stopIfTrue="1">
      <formula>LEN(TRIM(E171))=0</formula>
    </cfRule>
  </conditionalFormatting>
  <conditionalFormatting sqref="E171:AL171">
    <cfRule type="notContainsBlanks" dxfId="2193" priority="88" stopIfTrue="1">
      <formula>LEN(TRIM(E171))&gt;0</formula>
    </cfRule>
  </conditionalFormatting>
  <conditionalFormatting sqref="E173:AL173">
    <cfRule type="containsBlanks" dxfId="2192" priority="89" stopIfTrue="1">
      <formula>LEN(TRIM(E173))=0</formula>
    </cfRule>
  </conditionalFormatting>
  <conditionalFormatting sqref="E173:AL173">
    <cfRule type="notContainsBlanks" dxfId="2191" priority="90" stopIfTrue="1">
      <formula>LEN(TRIM(E173))&gt;0</formula>
    </cfRule>
  </conditionalFormatting>
  <conditionalFormatting sqref="E174:AL174">
    <cfRule type="containsBlanks" dxfId="2190" priority="91" stopIfTrue="1">
      <formula>LEN(TRIM(E174))=0</formula>
    </cfRule>
  </conditionalFormatting>
  <conditionalFormatting sqref="E174:AL174">
    <cfRule type="notContainsBlanks" dxfId="2189" priority="92" stopIfTrue="1">
      <formula>LEN(TRIM(E174))&gt;0</formula>
    </cfRule>
  </conditionalFormatting>
  <conditionalFormatting sqref="E175:AL175">
    <cfRule type="containsBlanks" dxfId="2188" priority="93" stopIfTrue="1">
      <formula>LEN(TRIM(E175))=0</formula>
    </cfRule>
  </conditionalFormatting>
  <conditionalFormatting sqref="E175:AL175">
    <cfRule type="notContainsBlanks" dxfId="2187" priority="94" stopIfTrue="1">
      <formula>LEN(TRIM(E175))&gt;0</formula>
    </cfRule>
  </conditionalFormatting>
  <conditionalFormatting sqref="E177:AL177">
    <cfRule type="containsBlanks" dxfId="2186" priority="95" stopIfTrue="1">
      <formula>LEN(TRIM(E177))=0</formula>
    </cfRule>
  </conditionalFormatting>
  <conditionalFormatting sqref="E177:AL177">
    <cfRule type="notContainsBlanks" dxfId="2185" priority="96" stopIfTrue="1">
      <formula>LEN(TRIM(E177))&gt;0</formula>
    </cfRule>
  </conditionalFormatting>
  <conditionalFormatting sqref="E179:AL179">
    <cfRule type="containsBlanks" dxfId="2184" priority="97" stopIfTrue="1">
      <formula>LEN(TRIM(E179))=0</formula>
    </cfRule>
  </conditionalFormatting>
  <conditionalFormatting sqref="E179:AL179">
    <cfRule type="notContainsBlanks" dxfId="2183" priority="98" stopIfTrue="1">
      <formula>LEN(TRIM(E179))&gt;0</formula>
    </cfRule>
  </conditionalFormatting>
  <conditionalFormatting sqref="E180:AL180">
    <cfRule type="containsBlanks" dxfId="2182" priority="99" stopIfTrue="1">
      <formula>LEN(TRIM(E180))=0</formula>
    </cfRule>
  </conditionalFormatting>
  <conditionalFormatting sqref="E180:AL180">
    <cfRule type="notContainsBlanks" dxfId="2181" priority="100" stopIfTrue="1">
      <formula>LEN(TRIM(E180))&gt;0</formula>
    </cfRule>
  </conditionalFormatting>
  <conditionalFormatting sqref="E181:AL181">
    <cfRule type="containsBlanks" dxfId="2180" priority="101" stopIfTrue="1">
      <formula>LEN(TRIM(E181))=0</formula>
    </cfRule>
  </conditionalFormatting>
  <conditionalFormatting sqref="E181:AL181">
    <cfRule type="notContainsBlanks" dxfId="2179" priority="102" stopIfTrue="1">
      <formula>LEN(TRIM(E181))&gt;0</formula>
    </cfRule>
  </conditionalFormatting>
  <conditionalFormatting sqref="E183:AL183">
    <cfRule type="containsBlanks" dxfId="2178" priority="103" stopIfTrue="1">
      <formula>LEN(TRIM(E183))=0</formula>
    </cfRule>
  </conditionalFormatting>
  <conditionalFormatting sqref="E183:AL183">
    <cfRule type="notContainsBlanks" dxfId="2177" priority="104" stopIfTrue="1">
      <formula>LEN(TRIM(E183))&gt;0</formula>
    </cfRule>
  </conditionalFormatting>
  <conditionalFormatting sqref="E185:AL185">
    <cfRule type="containsBlanks" dxfId="2176" priority="105" stopIfTrue="1">
      <formula>LEN(TRIM(E185))=0</formula>
    </cfRule>
  </conditionalFormatting>
  <conditionalFormatting sqref="E185:AL185">
    <cfRule type="notContainsBlanks" dxfId="2175" priority="106" stopIfTrue="1">
      <formula>LEN(TRIM(E185))&gt;0</formula>
    </cfRule>
  </conditionalFormatting>
  <conditionalFormatting sqref="E186:AL186">
    <cfRule type="containsBlanks" dxfId="2174" priority="107" stopIfTrue="1">
      <formula>LEN(TRIM(E186))=0</formula>
    </cfRule>
  </conditionalFormatting>
  <conditionalFormatting sqref="E186:AL186">
    <cfRule type="notContainsBlanks" dxfId="2173" priority="108" stopIfTrue="1">
      <formula>LEN(TRIM(E186))&gt;0</formula>
    </cfRule>
  </conditionalFormatting>
  <conditionalFormatting sqref="E187:AL187">
    <cfRule type="containsBlanks" dxfId="2172" priority="109" stopIfTrue="1">
      <formula>LEN(TRIM(E187))=0</formula>
    </cfRule>
  </conditionalFormatting>
  <conditionalFormatting sqref="E187:AL187">
    <cfRule type="notContainsBlanks" dxfId="2171" priority="110" stopIfTrue="1">
      <formula>LEN(TRIM(E187))&gt;0</formula>
    </cfRule>
  </conditionalFormatting>
  <conditionalFormatting sqref="E189:AL189">
    <cfRule type="containsBlanks" dxfId="2170" priority="111" stopIfTrue="1">
      <formula>LEN(TRIM(E189))=0</formula>
    </cfRule>
  </conditionalFormatting>
  <conditionalFormatting sqref="E189:AL189">
    <cfRule type="notContainsBlanks" dxfId="2169" priority="112" stopIfTrue="1">
      <formula>LEN(TRIM(E189))&gt;0</formula>
    </cfRule>
  </conditionalFormatting>
  <conditionalFormatting sqref="E95:AL95">
    <cfRule type="containsBlanks" dxfId="2168" priority="113" stopIfTrue="1">
      <formula>LEN(TRIM(E95))=0</formula>
    </cfRule>
    <cfRule type="notContainsBlanks" dxfId="2167" priority="114" stopIfTrue="1">
      <formula>LEN(TRIM(E95))&gt;0</formula>
    </cfRule>
  </conditionalFormatting>
  <conditionalFormatting sqref="E96:AL96">
    <cfRule type="containsBlanks" dxfId="2166" priority="115" stopIfTrue="1">
      <formula>LEN(TRIM(E96))=0</formula>
    </cfRule>
    <cfRule type="notContainsBlanks" dxfId="2165" priority="116" stopIfTrue="1">
      <formula>LEN(TRIM(E96))&gt;0</formula>
    </cfRule>
  </conditionalFormatting>
  <conditionalFormatting sqref="E97:AL97">
    <cfRule type="containsBlanks" dxfId="2164" priority="117" stopIfTrue="1">
      <formula>LEN(TRIM(E97))=0</formula>
    </cfRule>
    <cfRule type="notContainsBlanks" dxfId="2163" priority="118" stopIfTrue="1">
      <formula>LEN(TRIM(E97))&gt;0</formula>
    </cfRule>
  </conditionalFormatting>
  <conditionalFormatting sqref="E98:AL98">
    <cfRule type="containsBlanks" dxfId="2162" priority="119" stopIfTrue="1">
      <formula>LEN(TRIM(E98))=0</formula>
    </cfRule>
    <cfRule type="notContainsBlanks" dxfId="2161" priority="120" stopIfTrue="1">
      <formula>LEN(TRIM(E98))&gt;0</formula>
    </cfRule>
  </conditionalFormatting>
  <conditionalFormatting sqref="E99:AL99">
    <cfRule type="containsBlanks" dxfId="2160" priority="121" stopIfTrue="1">
      <formula>LEN(TRIM(E99))=0</formula>
    </cfRule>
    <cfRule type="notContainsBlanks" dxfId="2159" priority="122" stopIfTrue="1">
      <formula>LEN(TRIM(E99))&gt;0</formula>
    </cfRule>
  </conditionalFormatting>
  <conditionalFormatting sqref="E100:AL100">
    <cfRule type="containsBlanks" dxfId="2158" priority="123" stopIfTrue="1">
      <formula>LEN(TRIM(E100))=0</formula>
    </cfRule>
    <cfRule type="notContainsBlanks" dxfId="2157" priority="124" stopIfTrue="1">
      <formula>LEN(TRIM(E100))&gt;0</formula>
    </cfRule>
  </conditionalFormatting>
  <conditionalFormatting sqref="E101:AL101">
    <cfRule type="containsBlanks" dxfId="2156" priority="125" stopIfTrue="1">
      <formula>LEN(TRIM(E101))=0</formula>
    </cfRule>
    <cfRule type="notContainsBlanks" dxfId="2155" priority="126" stopIfTrue="1">
      <formula>LEN(TRIM(E101))&gt;0</formula>
    </cfRule>
  </conditionalFormatting>
  <conditionalFormatting sqref="E86:AL86">
    <cfRule type="containsBlanks" dxfId="2154" priority="127" stopIfTrue="1">
      <formula>LEN(TRIM(E86))=0</formula>
    </cfRule>
    <cfRule type="notContainsBlanks" dxfId="2153" priority="128" stopIfTrue="1">
      <formula>LEN(TRIM(E86))&gt;0</formula>
    </cfRule>
  </conditionalFormatting>
  <conditionalFormatting sqref="E87:AL87">
    <cfRule type="containsBlanks" dxfId="2152" priority="129" stopIfTrue="1">
      <formula>LEN(TRIM(E87))=0</formula>
    </cfRule>
    <cfRule type="notContainsBlanks" dxfId="2151" priority="130" stopIfTrue="1">
      <formula>LEN(TRIM(E87))&gt;0</formula>
    </cfRule>
  </conditionalFormatting>
  <conditionalFormatting sqref="E88:AL88">
    <cfRule type="containsBlanks" dxfId="2150" priority="131" stopIfTrue="1">
      <formula>LEN(TRIM(E88))=0</formula>
    </cfRule>
    <cfRule type="notContainsBlanks" dxfId="2149" priority="132" stopIfTrue="1">
      <formula>LEN(TRIM(E88))&gt;0</formula>
    </cfRule>
  </conditionalFormatting>
  <conditionalFormatting sqref="E89:AL89">
    <cfRule type="containsBlanks" dxfId="2148" priority="133" stopIfTrue="1">
      <formula>LEN(TRIM(E89))=0</formula>
    </cfRule>
    <cfRule type="notContainsBlanks" dxfId="2147" priority="134" stopIfTrue="1">
      <formula>LEN(TRIM(E89))&gt;0</formula>
    </cfRule>
  </conditionalFormatting>
  <conditionalFormatting sqref="E90:AL90">
    <cfRule type="containsBlanks" dxfId="2146" priority="135" stopIfTrue="1">
      <formula>LEN(TRIM(E90))=0</formula>
    </cfRule>
    <cfRule type="notContainsBlanks" dxfId="2145" priority="136" stopIfTrue="1">
      <formula>LEN(TRIM(E90))&gt;0</formula>
    </cfRule>
  </conditionalFormatting>
  <conditionalFormatting sqref="E91:AL91">
    <cfRule type="containsBlanks" dxfId="2144" priority="137" stopIfTrue="1">
      <formula>LEN(TRIM(E91))=0</formula>
    </cfRule>
    <cfRule type="notContainsBlanks" dxfId="2143" priority="138" stopIfTrue="1">
      <formula>LEN(TRIM(E91))&gt;0</formula>
    </cfRule>
  </conditionalFormatting>
  <conditionalFormatting sqref="E92:AL92">
    <cfRule type="containsBlanks" dxfId="2142" priority="139" stopIfTrue="1">
      <formula>LEN(TRIM(E92))=0</formula>
    </cfRule>
    <cfRule type="notContainsBlanks" dxfId="2141" priority="140" stopIfTrue="1">
      <formula>LEN(TRIM(E92))&gt;0</formula>
    </cfRule>
  </conditionalFormatting>
  <conditionalFormatting sqref="E77:AL77">
    <cfRule type="containsBlanks" dxfId="2140" priority="141" stopIfTrue="1">
      <formula>LEN(TRIM(E77))=0</formula>
    </cfRule>
    <cfRule type="notContainsBlanks" dxfId="2139" priority="142" stopIfTrue="1">
      <formula>LEN(TRIM(E77))&gt;0</formula>
    </cfRule>
  </conditionalFormatting>
  <conditionalFormatting sqref="E78:AL78">
    <cfRule type="containsBlanks" dxfId="2138" priority="143" stopIfTrue="1">
      <formula>LEN(TRIM(E78))=0</formula>
    </cfRule>
    <cfRule type="notContainsBlanks" dxfId="2137" priority="144" stopIfTrue="1">
      <formula>LEN(TRIM(E78))&gt;0</formula>
    </cfRule>
  </conditionalFormatting>
  <conditionalFormatting sqref="E79:AL79">
    <cfRule type="containsBlanks" dxfId="2136" priority="145" stopIfTrue="1">
      <formula>LEN(TRIM(E79))=0</formula>
    </cfRule>
    <cfRule type="notContainsBlanks" dxfId="2135" priority="146" stopIfTrue="1">
      <formula>LEN(TRIM(E79))&gt;0</formula>
    </cfRule>
  </conditionalFormatting>
  <conditionalFormatting sqref="E80:AL80">
    <cfRule type="containsBlanks" dxfId="2134" priority="147" stopIfTrue="1">
      <formula>LEN(TRIM(E80))=0</formula>
    </cfRule>
    <cfRule type="notContainsBlanks" dxfId="2133" priority="148" stopIfTrue="1">
      <formula>LEN(TRIM(E80))&gt;0</formula>
    </cfRule>
  </conditionalFormatting>
  <conditionalFormatting sqref="E81:AL81">
    <cfRule type="containsBlanks" dxfId="2132" priority="149" stopIfTrue="1">
      <formula>LEN(TRIM(E81))=0</formula>
    </cfRule>
    <cfRule type="notContainsBlanks" dxfId="2131" priority="150" stopIfTrue="1">
      <formula>LEN(TRIM(E81))&gt;0</formula>
    </cfRule>
  </conditionalFormatting>
  <conditionalFormatting sqref="E82:AL82">
    <cfRule type="containsBlanks" dxfId="2130" priority="151" stopIfTrue="1">
      <formula>LEN(TRIM(E82))=0</formula>
    </cfRule>
    <cfRule type="notContainsBlanks" dxfId="2129" priority="152" stopIfTrue="1">
      <formula>LEN(TRIM(E82))&gt;0</formula>
    </cfRule>
  </conditionalFormatting>
  <conditionalFormatting sqref="E83:AL83">
    <cfRule type="containsBlanks" dxfId="2128" priority="153" stopIfTrue="1">
      <formula>LEN(TRIM(E83))=0</formula>
    </cfRule>
    <cfRule type="notContainsBlanks" dxfId="2127" priority="154" stopIfTrue="1">
      <formula>LEN(TRIM(E83))&gt;0</formula>
    </cfRule>
  </conditionalFormatting>
  <conditionalFormatting sqref="E68:AL68">
    <cfRule type="containsBlanks" dxfId="2126" priority="155" stopIfTrue="1">
      <formula>LEN(TRIM(E68))=0</formula>
    </cfRule>
    <cfRule type="notContainsBlanks" dxfId="2125" priority="156" stopIfTrue="1">
      <formula>LEN(TRIM(E68))&gt;0</formula>
    </cfRule>
  </conditionalFormatting>
  <conditionalFormatting sqref="E69:AL69">
    <cfRule type="containsBlanks" dxfId="2124" priority="157" stopIfTrue="1">
      <formula>LEN(TRIM(E69))=0</formula>
    </cfRule>
    <cfRule type="notContainsBlanks" dxfId="2123" priority="158" stopIfTrue="1">
      <formula>LEN(TRIM(E69))&gt;0</formula>
    </cfRule>
  </conditionalFormatting>
  <conditionalFormatting sqref="E70:AL70">
    <cfRule type="containsBlanks" dxfId="2122" priority="159" stopIfTrue="1">
      <formula>LEN(TRIM(E70))=0</formula>
    </cfRule>
    <cfRule type="notContainsBlanks" dxfId="2121" priority="160" stopIfTrue="1">
      <formula>LEN(TRIM(E70))&gt;0</formula>
    </cfRule>
  </conditionalFormatting>
  <conditionalFormatting sqref="E71:AL71">
    <cfRule type="containsBlanks" dxfId="2120" priority="161" stopIfTrue="1">
      <formula>LEN(TRIM(E71))=0</formula>
    </cfRule>
    <cfRule type="notContainsBlanks" dxfId="2119" priority="162" stopIfTrue="1">
      <formula>LEN(TRIM(E71))&gt;0</formula>
    </cfRule>
  </conditionalFormatting>
  <conditionalFormatting sqref="E72:AL72">
    <cfRule type="containsBlanks" dxfId="2118" priority="163" stopIfTrue="1">
      <formula>LEN(TRIM(E72))=0</formula>
    </cfRule>
    <cfRule type="notContainsBlanks" dxfId="2117" priority="164" stopIfTrue="1">
      <formula>LEN(TRIM(E72))&gt;0</formula>
    </cfRule>
  </conditionalFormatting>
  <conditionalFormatting sqref="E73:AL73">
    <cfRule type="containsBlanks" dxfId="2116" priority="165" stopIfTrue="1">
      <formula>LEN(TRIM(E73))=0</formula>
    </cfRule>
    <cfRule type="notContainsBlanks" dxfId="2115" priority="166" stopIfTrue="1">
      <formula>LEN(TRIM(E73))&gt;0</formula>
    </cfRule>
  </conditionalFormatting>
  <conditionalFormatting sqref="E74:AL74">
    <cfRule type="containsBlanks" dxfId="2114" priority="167" stopIfTrue="1">
      <formula>LEN(TRIM(E74))=0</formula>
    </cfRule>
    <cfRule type="notContainsBlanks" dxfId="2113" priority="168" stopIfTrue="1">
      <formula>LEN(TRIM(E74))&gt;0</formula>
    </cfRule>
  </conditionalFormatting>
  <conditionalFormatting sqref="E59:AL59">
    <cfRule type="containsBlanks" dxfId="2112" priority="169" stopIfTrue="1">
      <formula>LEN(TRIM(E59))=0</formula>
    </cfRule>
    <cfRule type="notContainsBlanks" dxfId="2111" priority="170" stopIfTrue="1">
      <formula>LEN(TRIM(E59))&gt;0</formula>
    </cfRule>
  </conditionalFormatting>
  <conditionalFormatting sqref="E60:AL60">
    <cfRule type="containsBlanks" dxfId="2110" priority="171" stopIfTrue="1">
      <formula>LEN(TRIM(E60))=0</formula>
    </cfRule>
    <cfRule type="notContainsBlanks" dxfId="2109" priority="172" stopIfTrue="1">
      <formula>LEN(TRIM(E60))&gt;0</formula>
    </cfRule>
  </conditionalFormatting>
  <conditionalFormatting sqref="E61:AL61">
    <cfRule type="containsBlanks" dxfId="2108" priority="173" stopIfTrue="1">
      <formula>LEN(TRIM(E61))=0</formula>
    </cfRule>
    <cfRule type="notContainsBlanks" dxfId="2107" priority="174" stopIfTrue="1">
      <formula>LEN(TRIM(E61))&gt;0</formula>
    </cfRule>
  </conditionalFormatting>
  <conditionalFormatting sqref="E62:AL62">
    <cfRule type="containsBlanks" dxfId="2106" priority="175" stopIfTrue="1">
      <formula>LEN(TRIM(E62))=0</formula>
    </cfRule>
    <cfRule type="notContainsBlanks" dxfId="2105" priority="176" stopIfTrue="1">
      <formula>LEN(TRIM(E62))&gt;0</formula>
    </cfRule>
  </conditionalFormatting>
  <conditionalFormatting sqref="E63:AL63">
    <cfRule type="containsBlanks" dxfId="2104" priority="177" stopIfTrue="1">
      <formula>LEN(TRIM(E63))=0</formula>
    </cfRule>
    <cfRule type="notContainsBlanks" dxfId="2103" priority="178" stopIfTrue="1">
      <formula>LEN(TRIM(E63))&gt;0</formula>
    </cfRule>
  </conditionalFormatting>
  <conditionalFormatting sqref="E64:AL64">
    <cfRule type="containsBlanks" dxfId="2102" priority="179" stopIfTrue="1">
      <formula>LEN(TRIM(E64))=0</formula>
    </cfRule>
    <cfRule type="notContainsBlanks" dxfId="2101" priority="180" stopIfTrue="1">
      <formula>LEN(TRIM(E64))&gt;0</formula>
    </cfRule>
  </conditionalFormatting>
  <conditionalFormatting sqref="E65:AL65">
    <cfRule type="containsBlanks" dxfId="2100" priority="181" stopIfTrue="1">
      <formula>LEN(TRIM(E65))=0</formula>
    </cfRule>
    <cfRule type="notContainsBlanks" dxfId="2099" priority="182" stopIfTrue="1">
      <formula>LEN(TRIM(E65))&gt;0</formula>
    </cfRule>
  </conditionalFormatting>
  <conditionalFormatting sqref="E50:AL50">
    <cfRule type="containsBlanks" dxfId="2098" priority="183" stopIfTrue="1">
      <formula>LEN(TRIM(E50))=0</formula>
    </cfRule>
    <cfRule type="notContainsBlanks" dxfId="2097" priority="184" stopIfTrue="1">
      <formula>LEN(TRIM(E50))&gt;0</formula>
    </cfRule>
  </conditionalFormatting>
  <conditionalFormatting sqref="E51:AL51">
    <cfRule type="containsBlanks" dxfId="2096" priority="185" stopIfTrue="1">
      <formula>LEN(TRIM(E51))=0</formula>
    </cfRule>
    <cfRule type="notContainsBlanks" dxfId="2095" priority="186" stopIfTrue="1">
      <formula>LEN(TRIM(E51))&gt;0</formula>
    </cfRule>
  </conditionalFormatting>
  <conditionalFormatting sqref="E52:AL52">
    <cfRule type="containsBlanks" dxfId="2094" priority="187" stopIfTrue="1">
      <formula>LEN(TRIM(E52))=0</formula>
    </cfRule>
    <cfRule type="notContainsBlanks" dxfId="2093" priority="188" stopIfTrue="1">
      <formula>LEN(TRIM(E52))&gt;0</formula>
    </cfRule>
  </conditionalFormatting>
  <conditionalFormatting sqref="E53:AL53">
    <cfRule type="containsBlanks" dxfId="2092" priority="189" stopIfTrue="1">
      <formula>LEN(TRIM(E53))=0</formula>
    </cfRule>
    <cfRule type="notContainsBlanks" dxfId="2091" priority="190" stopIfTrue="1">
      <formula>LEN(TRIM(E53))&gt;0</formula>
    </cfRule>
  </conditionalFormatting>
  <conditionalFormatting sqref="E54:AL54">
    <cfRule type="containsBlanks" dxfId="2090" priority="191" stopIfTrue="1">
      <formula>LEN(TRIM(E54))=0</formula>
    </cfRule>
    <cfRule type="notContainsBlanks" dxfId="2089" priority="192" stopIfTrue="1">
      <formula>LEN(TRIM(E54))&gt;0</formula>
    </cfRule>
  </conditionalFormatting>
  <conditionalFormatting sqref="E55:AL55">
    <cfRule type="containsBlanks" dxfId="2088" priority="193" stopIfTrue="1">
      <formula>LEN(TRIM(E55))=0</formula>
    </cfRule>
    <cfRule type="notContainsBlanks" dxfId="2087" priority="194" stopIfTrue="1">
      <formula>LEN(TRIM(E55))&gt;0</formula>
    </cfRule>
  </conditionalFormatting>
  <conditionalFormatting sqref="E56:AL56">
    <cfRule type="containsBlanks" dxfId="2086" priority="195" stopIfTrue="1">
      <formula>LEN(TRIM(E56))=0</formula>
    </cfRule>
    <cfRule type="notContainsBlanks" dxfId="2085" priority="196" stopIfTrue="1">
      <formula>LEN(TRIM(E56))&gt;0</formula>
    </cfRule>
  </conditionalFormatting>
  <conditionalFormatting sqref="E41:E47">
    <cfRule type="containsBlanks" dxfId="2084" priority="211" stopIfTrue="1">
      <formula>LEN(TRIM(E41))=0</formula>
    </cfRule>
    <cfRule type="expression" dxfId="2083" priority="212" stopIfTrue="1">
      <formula>SUM($E$41:$E$47)&lt;&gt;1</formula>
    </cfRule>
    <cfRule type="notContainsBlanks" dxfId="2082" priority="213" stopIfTrue="1">
      <formula>LEN(TRIM(E41))&gt;0</formula>
    </cfRule>
  </conditionalFormatting>
  <conditionalFormatting sqref="F41:F47">
    <cfRule type="containsBlanks" dxfId="2081" priority="214" stopIfTrue="1">
      <formula>LEN(TRIM(F41))=0</formula>
    </cfRule>
    <cfRule type="expression" dxfId="2080" priority="215" stopIfTrue="1">
      <formula>SUM($F$41:$F$47)&lt;&gt;1</formula>
    </cfRule>
    <cfRule type="notContainsBlanks" dxfId="2079" priority="216" stopIfTrue="1">
      <formula>LEN(TRIM(F41))&gt;0</formula>
    </cfRule>
  </conditionalFormatting>
  <conditionalFormatting sqref="G41:G47">
    <cfRule type="containsBlanks" dxfId="2078" priority="217" stopIfTrue="1">
      <formula>LEN(TRIM(G41))=0</formula>
    </cfRule>
    <cfRule type="expression" dxfId="2077" priority="218" stopIfTrue="1">
      <formula>SUM($G$41:$G$47)&lt;&gt;1</formula>
    </cfRule>
    <cfRule type="notContainsBlanks" dxfId="2076" priority="219" stopIfTrue="1">
      <formula>LEN(TRIM(G41))&gt;0</formula>
    </cfRule>
  </conditionalFormatting>
  <conditionalFormatting sqref="H41:H47">
    <cfRule type="containsBlanks" dxfId="2075" priority="220" stopIfTrue="1">
      <formula>LEN(TRIM(H41))=0</formula>
    </cfRule>
    <cfRule type="expression" dxfId="2074" priority="221" stopIfTrue="1">
      <formula>SUM($H$41:$H$47)&lt;&gt;1</formula>
    </cfRule>
    <cfRule type="notContainsBlanks" dxfId="2073" priority="222" stopIfTrue="1">
      <formula>LEN(TRIM(H41))&gt;0</formula>
    </cfRule>
  </conditionalFormatting>
  <conditionalFormatting sqref="I41:I47">
    <cfRule type="containsBlanks" dxfId="2072" priority="223" stopIfTrue="1">
      <formula>LEN(TRIM(I41))=0</formula>
    </cfRule>
    <cfRule type="expression" dxfId="2071" priority="224" stopIfTrue="1">
      <formula>SUM($I$41:$I$47)&lt;&gt;1</formula>
    </cfRule>
    <cfRule type="notContainsBlanks" dxfId="2070" priority="225" stopIfTrue="1">
      <formula>LEN(TRIM(I41))&gt;0</formula>
    </cfRule>
  </conditionalFormatting>
  <conditionalFormatting sqref="J41:J47">
    <cfRule type="containsBlanks" dxfId="2069" priority="226" stopIfTrue="1">
      <formula>LEN(TRIM(J41))=0</formula>
    </cfRule>
    <cfRule type="expression" dxfId="2068" priority="227" stopIfTrue="1">
      <formula>SUM($J$41:$J$47)&lt;&gt;1</formula>
    </cfRule>
    <cfRule type="notContainsBlanks" dxfId="2067" priority="228" stopIfTrue="1">
      <formula>LEN(TRIM(J41))&gt;0</formula>
    </cfRule>
  </conditionalFormatting>
  <conditionalFormatting sqref="K41:K47">
    <cfRule type="containsBlanks" dxfId="2066" priority="229" stopIfTrue="1">
      <formula>LEN(TRIM(K41))=0</formula>
    </cfRule>
    <cfRule type="expression" dxfId="2065" priority="230" stopIfTrue="1">
      <formula>SUM($K$41:$K$47)&lt;&gt;1</formula>
    </cfRule>
    <cfRule type="notContainsBlanks" dxfId="2064" priority="231" stopIfTrue="1">
      <formula>LEN(TRIM(K41))&gt;0</formula>
    </cfRule>
  </conditionalFormatting>
  <conditionalFormatting sqref="L41:L47">
    <cfRule type="containsBlanks" dxfId="2063" priority="232" stopIfTrue="1">
      <formula>LEN(TRIM(L41))=0</formula>
    </cfRule>
    <cfRule type="expression" dxfId="2062" priority="233" stopIfTrue="1">
      <formula>SUM($L$41:$L$47)&lt;&gt;1</formula>
    </cfRule>
    <cfRule type="notContainsBlanks" dxfId="2061" priority="234" stopIfTrue="1">
      <formula>LEN(TRIM(L41))&gt;0</formula>
    </cfRule>
  </conditionalFormatting>
  <conditionalFormatting sqref="M41:M47">
    <cfRule type="containsBlanks" dxfId="2060" priority="235" stopIfTrue="1">
      <formula>LEN(TRIM(M41))=0</formula>
    </cfRule>
    <cfRule type="expression" dxfId="2059" priority="236" stopIfTrue="1">
      <formula>SUM($M$41:$M$47)&lt;&gt;1</formula>
    </cfRule>
    <cfRule type="notContainsBlanks" dxfId="2058" priority="237" stopIfTrue="1">
      <formula>LEN(TRIM(M41))&gt;0</formula>
    </cfRule>
  </conditionalFormatting>
  <conditionalFormatting sqref="N41:N47">
    <cfRule type="containsBlanks" dxfId="2057" priority="238" stopIfTrue="1">
      <formula>LEN(TRIM(N41))=0</formula>
    </cfRule>
    <cfRule type="expression" dxfId="2056" priority="239" stopIfTrue="1">
      <formula>SUM($N$41:$N$47)&lt;&gt;1</formula>
    </cfRule>
    <cfRule type="notContainsBlanks" dxfId="2055" priority="240" stopIfTrue="1">
      <formula>LEN(TRIM(N41))&gt;0</formula>
    </cfRule>
  </conditionalFormatting>
  <conditionalFormatting sqref="O41:O47">
    <cfRule type="containsBlanks" dxfId="2054" priority="241" stopIfTrue="1">
      <formula>LEN(TRIM(O41))=0</formula>
    </cfRule>
    <cfRule type="expression" dxfId="2053" priority="242" stopIfTrue="1">
      <formula>SUM($O$41:$O$47)&lt;&gt;1</formula>
    </cfRule>
    <cfRule type="notContainsBlanks" dxfId="2052" priority="243" stopIfTrue="1">
      <formula>LEN(TRIM(O41))&gt;0</formula>
    </cfRule>
  </conditionalFormatting>
  <conditionalFormatting sqref="P41:P47">
    <cfRule type="containsBlanks" dxfId="2051" priority="244" stopIfTrue="1">
      <formula>LEN(TRIM(P41))=0</formula>
    </cfRule>
    <cfRule type="expression" dxfId="2050" priority="245" stopIfTrue="1">
      <formula>SUM($P$41:$P$47)&lt;&gt;1</formula>
    </cfRule>
    <cfRule type="notContainsBlanks" dxfId="2049" priority="246" stopIfTrue="1">
      <formula>LEN(TRIM(P41))&gt;0</formula>
    </cfRule>
  </conditionalFormatting>
  <conditionalFormatting sqref="Q41:Q47">
    <cfRule type="containsBlanks" dxfId="2048" priority="247" stopIfTrue="1">
      <formula>LEN(TRIM(Q41))=0</formula>
    </cfRule>
    <cfRule type="expression" dxfId="2047" priority="248" stopIfTrue="1">
      <formula>SUM($Q$41:$Q$47)&lt;&gt;1</formula>
    </cfRule>
    <cfRule type="notContainsBlanks" dxfId="2046" priority="249" stopIfTrue="1">
      <formula>LEN(TRIM(Q41))&gt;0</formula>
    </cfRule>
  </conditionalFormatting>
  <conditionalFormatting sqref="R41:R47">
    <cfRule type="containsBlanks" dxfId="2045" priority="250" stopIfTrue="1">
      <formula>LEN(TRIM(R41))=0</formula>
    </cfRule>
  </conditionalFormatting>
  <conditionalFormatting sqref="R41:R47">
    <cfRule type="expression" dxfId="2044" priority="251" stopIfTrue="1">
      <formula>SUM($R$41:$R$47)&lt;&gt;1</formula>
    </cfRule>
  </conditionalFormatting>
  <conditionalFormatting sqref="R41:R47">
    <cfRule type="notContainsBlanks" dxfId="2043" priority="252" stopIfTrue="1">
      <formula>LEN(TRIM(R41))&gt;0</formula>
    </cfRule>
  </conditionalFormatting>
  <conditionalFormatting sqref="S41:S47">
    <cfRule type="containsBlanks" dxfId="2042" priority="253" stopIfTrue="1">
      <formula>LEN(TRIM(S41))=0</formula>
    </cfRule>
  </conditionalFormatting>
  <conditionalFormatting sqref="S41:S47">
    <cfRule type="expression" dxfId="2041" priority="254" stopIfTrue="1">
      <formula>SUM($S$41:$S$47)&lt;&gt;1</formula>
    </cfRule>
  </conditionalFormatting>
  <conditionalFormatting sqref="S41:S47">
    <cfRule type="notContainsBlanks" dxfId="2040" priority="255" stopIfTrue="1">
      <formula>LEN(TRIM(S41))&gt;0</formula>
    </cfRule>
  </conditionalFormatting>
  <conditionalFormatting sqref="T41:T47">
    <cfRule type="containsBlanks" dxfId="2039" priority="256" stopIfTrue="1">
      <formula>LEN(TRIM(T41))=0</formula>
    </cfRule>
  </conditionalFormatting>
  <conditionalFormatting sqref="T41:T47">
    <cfRule type="expression" dxfId="2038" priority="257" stopIfTrue="1">
      <formula>SUM($T$41:$T$47)&lt;&gt;1</formula>
    </cfRule>
  </conditionalFormatting>
  <conditionalFormatting sqref="T41:T47">
    <cfRule type="notContainsBlanks" dxfId="2037" priority="258" stopIfTrue="1">
      <formula>LEN(TRIM(T41))&gt;0</formula>
    </cfRule>
  </conditionalFormatting>
  <conditionalFormatting sqref="U41:U47">
    <cfRule type="containsBlanks" dxfId="2036" priority="259" stopIfTrue="1">
      <formula>LEN(TRIM(U41))=0</formula>
    </cfRule>
  </conditionalFormatting>
  <conditionalFormatting sqref="U41:U47">
    <cfRule type="expression" dxfId="2035" priority="260" stopIfTrue="1">
      <formula>SUM($U$41:$U$47)&lt;&gt;1</formula>
    </cfRule>
  </conditionalFormatting>
  <conditionalFormatting sqref="U41:U47">
    <cfRule type="notContainsBlanks" dxfId="2034" priority="261" stopIfTrue="1">
      <formula>LEN(TRIM(U41))&gt;0</formula>
    </cfRule>
  </conditionalFormatting>
  <conditionalFormatting sqref="V41:V47">
    <cfRule type="containsBlanks" dxfId="2033" priority="262" stopIfTrue="1">
      <formula>LEN(TRIM(V41))=0</formula>
    </cfRule>
  </conditionalFormatting>
  <conditionalFormatting sqref="V41:V47">
    <cfRule type="expression" dxfId="2032" priority="263" stopIfTrue="1">
      <formula>SUM($V$41:$V$47)&lt;&gt;1</formula>
    </cfRule>
  </conditionalFormatting>
  <conditionalFormatting sqref="V41:V47">
    <cfRule type="notContainsBlanks" dxfId="2031" priority="264" stopIfTrue="1">
      <formula>LEN(TRIM(V41))&gt;0</formula>
    </cfRule>
  </conditionalFormatting>
  <conditionalFormatting sqref="W41:W47">
    <cfRule type="containsBlanks" dxfId="2030" priority="265" stopIfTrue="1">
      <formula>LEN(TRIM(W41))=0</formula>
    </cfRule>
  </conditionalFormatting>
  <conditionalFormatting sqref="W41:W47">
    <cfRule type="expression" dxfId="2029" priority="266" stopIfTrue="1">
      <formula>SUM($W$41:$W$47)&lt;&gt;1</formula>
    </cfRule>
  </conditionalFormatting>
  <conditionalFormatting sqref="W41:W47">
    <cfRule type="notContainsBlanks" dxfId="2028" priority="267" stopIfTrue="1">
      <formula>LEN(TRIM(W41))&gt;0</formula>
    </cfRule>
  </conditionalFormatting>
  <conditionalFormatting sqref="X41:X47">
    <cfRule type="containsBlanks" dxfId="2027" priority="268" stopIfTrue="1">
      <formula>LEN(TRIM(X41))=0</formula>
    </cfRule>
  </conditionalFormatting>
  <conditionalFormatting sqref="X41:X47">
    <cfRule type="expression" dxfId="2026" priority="269" stopIfTrue="1">
      <formula>SUM($X$41:$X$47)&lt;&gt;1</formula>
    </cfRule>
  </conditionalFormatting>
  <conditionalFormatting sqref="X41:X47">
    <cfRule type="notContainsBlanks" dxfId="2025" priority="270" stopIfTrue="1">
      <formula>LEN(TRIM(X41))&gt;0</formula>
    </cfRule>
  </conditionalFormatting>
  <conditionalFormatting sqref="Y41:Y47">
    <cfRule type="containsBlanks" dxfId="2024" priority="271" stopIfTrue="1">
      <formula>LEN(TRIM(Y41))=0</formula>
    </cfRule>
  </conditionalFormatting>
  <conditionalFormatting sqref="Y41:Y47">
    <cfRule type="expression" dxfId="2023" priority="272" stopIfTrue="1">
      <formula>SUM($Y$41:$Y$47)&lt;&gt;1</formula>
    </cfRule>
  </conditionalFormatting>
  <conditionalFormatting sqref="Y41:Y47">
    <cfRule type="notContainsBlanks" dxfId="2022" priority="273" stopIfTrue="1">
      <formula>LEN(TRIM(Y41))&gt;0</formula>
    </cfRule>
  </conditionalFormatting>
  <conditionalFormatting sqref="Z41:Z47">
    <cfRule type="containsBlanks" dxfId="2021" priority="274" stopIfTrue="1">
      <formula>LEN(TRIM(Z41))=0</formula>
    </cfRule>
  </conditionalFormatting>
  <conditionalFormatting sqref="Z41:Z47">
    <cfRule type="expression" dxfId="2020" priority="275" stopIfTrue="1">
      <formula>SUM($Z$41:$Z$47)&lt;&gt;1</formula>
    </cfRule>
  </conditionalFormatting>
  <conditionalFormatting sqref="Z41:Z47">
    <cfRule type="notContainsBlanks" dxfId="2019" priority="276" stopIfTrue="1">
      <formula>LEN(TRIM(Z41))&gt;0</formula>
    </cfRule>
  </conditionalFormatting>
  <conditionalFormatting sqref="AA41:AA47">
    <cfRule type="containsBlanks" dxfId="2018" priority="277" stopIfTrue="1">
      <formula>LEN(TRIM(AA41))=0</formula>
    </cfRule>
  </conditionalFormatting>
  <conditionalFormatting sqref="AA41:AA47">
    <cfRule type="expression" dxfId="2017" priority="278" stopIfTrue="1">
      <formula>SUM($AA$41:$AA$47)&lt;&gt;1</formula>
    </cfRule>
  </conditionalFormatting>
  <conditionalFormatting sqref="AA41:AA47">
    <cfRule type="notContainsBlanks" dxfId="2016" priority="279" stopIfTrue="1">
      <formula>LEN(TRIM(AA41))&gt;0</formula>
    </cfRule>
  </conditionalFormatting>
  <conditionalFormatting sqref="AB41:AB47">
    <cfRule type="containsBlanks" dxfId="2015" priority="280" stopIfTrue="1">
      <formula>LEN(TRIM(AB41))=0</formula>
    </cfRule>
  </conditionalFormatting>
  <conditionalFormatting sqref="AB41:AB47">
    <cfRule type="expression" dxfId="2014" priority="281" stopIfTrue="1">
      <formula>SUM($AB$41:$AB$47)&lt;&gt;1</formula>
    </cfRule>
  </conditionalFormatting>
  <conditionalFormatting sqref="AB41:AB47">
    <cfRule type="notContainsBlanks" dxfId="2013" priority="282" stopIfTrue="1">
      <formula>LEN(TRIM(AB41))&gt;0</formula>
    </cfRule>
  </conditionalFormatting>
  <conditionalFormatting sqref="AC41:AC47">
    <cfRule type="containsBlanks" dxfId="2012" priority="283" stopIfTrue="1">
      <formula>LEN(TRIM(AC41))=0</formula>
    </cfRule>
  </conditionalFormatting>
  <conditionalFormatting sqref="AC41:AC47">
    <cfRule type="expression" dxfId="2011" priority="284" stopIfTrue="1">
      <formula>SUM($AC$41:$AC$47)&lt;&gt;1</formula>
    </cfRule>
  </conditionalFormatting>
  <conditionalFormatting sqref="AC41:AC47">
    <cfRule type="notContainsBlanks" dxfId="2010" priority="285" stopIfTrue="1">
      <formula>LEN(TRIM(AC41))&gt;0</formula>
    </cfRule>
  </conditionalFormatting>
  <conditionalFormatting sqref="AD41:AD47">
    <cfRule type="containsBlanks" dxfId="2009" priority="286" stopIfTrue="1">
      <formula>LEN(TRIM(AD41))=0</formula>
    </cfRule>
  </conditionalFormatting>
  <conditionalFormatting sqref="AD41:AD47">
    <cfRule type="expression" dxfId="2008" priority="287" stopIfTrue="1">
      <formula>SUM($AD$41:$AD$47)&lt;&gt;1</formula>
    </cfRule>
  </conditionalFormatting>
  <conditionalFormatting sqref="AD41:AD47">
    <cfRule type="notContainsBlanks" dxfId="2007" priority="288" stopIfTrue="1">
      <formula>LEN(TRIM(AD41))&gt;0</formula>
    </cfRule>
  </conditionalFormatting>
  <conditionalFormatting sqref="AE41:AE47">
    <cfRule type="containsBlanks" dxfId="2006" priority="289" stopIfTrue="1">
      <formula>LEN(TRIM(AE41))=0</formula>
    </cfRule>
  </conditionalFormatting>
  <conditionalFormatting sqref="AE41:AE47">
    <cfRule type="expression" dxfId="2005" priority="290" stopIfTrue="1">
      <formula>SUM($AE$41:$AE$47)&lt;&gt;1</formula>
    </cfRule>
  </conditionalFormatting>
  <conditionalFormatting sqref="AE41:AE47">
    <cfRule type="notContainsBlanks" dxfId="2004" priority="291" stopIfTrue="1">
      <formula>LEN(TRIM(AE41))&gt;0</formula>
    </cfRule>
  </conditionalFormatting>
  <conditionalFormatting sqref="AF41:AF47">
    <cfRule type="containsBlanks" dxfId="2003" priority="292" stopIfTrue="1">
      <formula>LEN(TRIM(AF41))=0</formula>
    </cfRule>
  </conditionalFormatting>
  <conditionalFormatting sqref="AF41:AF47">
    <cfRule type="expression" dxfId="2002" priority="293" stopIfTrue="1">
      <formula>SUM($AF$41:$AF$47)&lt;&gt;1</formula>
    </cfRule>
  </conditionalFormatting>
  <conditionalFormatting sqref="AF41:AF47">
    <cfRule type="notContainsBlanks" dxfId="2001" priority="294" stopIfTrue="1">
      <formula>LEN(TRIM(AF41))&gt;0</formula>
    </cfRule>
  </conditionalFormatting>
  <conditionalFormatting sqref="AG41:AG47">
    <cfRule type="containsBlanks" dxfId="2000" priority="295" stopIfTrue="1">
      <formula>LEN(TRIM(AG41))=0</formula>
    </cfRule>
  </conditionalFormatting>
  <conditionalFormatting sqref="AG41:AG47">
    <cfRule type="expression" dxfId="1999" priority="296" stopIfTrue="1">
      <formula>SUM($AG$41:$AG$47)&lt;&gt;1</formula>
    </cfRule>
  </conditionalFormatting>
  <conditionalFormatting sqref="AG41:AG47">
    <cfRule type="notContainsBlanks" dxfId="1998" priority="297" stopIfTrue="1">
      <formula>LEN(TRIM(AG41))&gt;0</formula>
    </cfRule>
  </conditionalFormatting>
  <conditionalFormatting sqref="AH41:AH47">
    <cfRule type="containsBlanks" dxfId="1997" priority="298" stopIfTrue="1">
      <formula>LEN(TRIM(AH41))=0</formula>
    </cfRule>
  </conditionalFormatting>
  <conditionalFormatting sqref="AH41:AH47">
    <cfRule type="expression" dxfId="1996" priority="299" stopIfTrue="1">
      <formula>SUM($AH$41:$AH$47)&lt;&gt;1</formula>
    </cfRule>
  </conditionalFormatting>
  <conditionalFormatting sqref="AH41:AH47">
    <cfRule type="notContainsBlanks" dxfId="1995" priority="300" stopIfTrue="1">
      <formula>LEN(TRIM(AH41))&gt;0</formula>
    </cfRule>
  </conditionalFormatting>
  <conditionalFormatting sqref="AI41:AI47">
    <cfRule type="containsBlanks" dxfId="1994" priority="301" stopIfTrue="1">
      <formula>LEN(TRIM(AI41))=0</formula>
    </cfRule>
  </conditionalFormatting>
  <conditionalFormatting sqref="AI41:AI47">
    <cfRule type="expression" dxfId="1993" priority="302" stopIfTrue="1">
      <formula>SUM($AI$41:$AI$47)&lt;&gt;1</formula>
    </cfRule>
  </conditionalFormatting>
  <conditionalFormatting sqref="AI41:AI47">
    <cfRule type="notContainsBlanks" dxfId="1992" priority="303" stopIfTrue="1">
      <formula>LEN(TRIM(AI41))&gt;0</formula>
    </cfRule>
  </conditionalFormatting>
  <conditionalFormatting sqref="AJ41:AJ47">
    <cfRule type="containsBlanks" dxfId="1991" priority="304" stopIfTrue="1">
      <formula>LEN(TRIM(AJ41))=0</formula>
    </cfRule>
  </conditionalFormatting>
  <conditionalFormatting sqref="AJ41:AJ47">
    <cfRule type="expression" dxfId="1990" priority="305" stopIfTrue="1">
      <formula>SUM($AJ$41:$AJ$47)&lt;&gt;1</formula>
    </cfRule>
  </conditionalFormatting>
  <conditionalFormatting sqref="AJ41:AJ47">
    <cfRule type="notContainsBlanks" dxfId="1989" priority="306" stopIfTrue="1">
      <formula>LEN(TRIM(AJ41))&gt;0</formula>
    </cfRule>
  </conditionalFormatting>
  <conditionalFormatting sqref="AK41:AK47">
    <cfRule type="containsBlanks" dxfId="1988" priority="307" stopIfTrue="1">
      <formula>LEN(TRIM(AK41))=0</formula>
    </cfRule>
  </conditionalFormatting>
  <conditionalFormatting sqref="AK41:AK47">
    <cfRule type="expression" dxfId="1987" priority="308" stopIfTrue="1">
      <formula>SUM($AK$41:$AK$47)&lt;&gt;1</formula>
    </cfRule>
  </conditionalFormatting>
  <conditionalFormatting sqref="AK41:AK47">
    <cfRule type="notContainsBlanks" dxfId="1986" priority="309" stopIfTrue="1">
      <formula>LEN(TRIM(AK41))&gt;0</formula>
    </cfRule>
  </conditionalFormatting>
  <conditionalFormatting sqref="AL41:AL47">
    <cfRule type="containsBlanks" dxfId="1985" priority="310" stopIfTrue="1">
      <formula>LEN(TRIM(AL41))=0</formula>
    </cfRule>
  </conditionalFormatting>
  <conditionalFormatting sqref="AL41:AL47">
    <cfRule type="expression" dxfId="1984" priority="311" stopIfTrue="1">
      <formula>SUM($AL$41:$AL$47)&lt;&gt;1</formula>
    </cfRule>
  </conditionalFormatting>
  <conditionalFormatting sqref="AL41:AL47">
    <cfRule type="notContainsBlanks" dxfId="1983" priority="312" stopIfTrue="1">
      <formula>LEN(TRIM(AL41))&gt;0</formula>
    </cfRule>
  </conditionalFormatting>
  <conditionalFormatting sqref="E32:E38">
    <cfRule type="containsBlanks" dxfId="1982" priority="327" stopIfTrue="1">
      <formula>LEN(TRIM(E32))=0</formula>
    </cfRule>
    <cfRule type="expression" dxfId="1981" priority="328" stopIfTrue="1">
      <formula>SUM($E$32:$E$38)&lt;&gt;1</formula>
    </cfRule>
    <cfRule type="notContainsBlanks" dxfId="1980" priority="329" stopIfTrue="1">
      <formula>LEN(TRIM(E32))&gt;0</formula>
    </cfRule>
  </conditionalFormatting>
  <conditionalFormatting sqref="F32:F38">
    <cfRule type="containsBlanks" dxfId="1979" priority="330" stopIfTrue="1">
      <formula>LEN(TRIM(F32))=0</formula>
    </cfRule>
    <cfRule type="expression" dxfId="1978" priority="331" stopIfTrue="1">
      <formula>SUM($F$32:$F$38)&lt;&gt;1</formula>
    </cfRule>
    <cfRule type="notContainsBlanks" dxfId="1977" priority="332" stopIfTrue="1">
      <formula>LEN(TRIM(F32))&gt;0</formula>
    </cfRule>
  </conditionalFormatting>
  <conditionalFormatting sqref="G32:G38">
    <cfRule type="containsBlanks" dxfId="1976" priority="333" stopIfTrue="1">
      <formula>LEN(TRIM(G32))=0</formula>
    </cfRule>
    <cfRule type="expression" dxfId="1975" priority="334" stopIfTrue="1">
      <formula>SUM($G$32:$G$38)&lt;&gt;1</formula>
    </cfRule>
    <cfRule type="notContainsBlanks" dxfId="1974" priority="335" stopIfTrue="1">
      <formula>LEN(TRIM(G32))&gt;0</formula>
    </cfRule>
  </conditionalFormatting>
  <conditionalFormatting sqref="H32:H38">
    <cfRule type="containsBlanks" dxfId="1973" priority="336" stopIfTrue="1">
      <formula>LEN(TRIM(H32))=0</formula>
    </cfRule>
    <cfRule type="expression" dxfId="1972" priority="337" stopIfTrue="1">
      <formula>SUM($H$32:$H$38)&lt;&gt;1</formula>
    </cfRule>
    <cfRule type="notContainsBlanks" dxfId="1971" priority="338" stopIfTrue="1">
      <formula>LEN(TRIM(H32))&gt;0</formula>
    </cfRule>
  </conditionalFormatting>
  <conditionalFormatting sqref="I32:I38">
    <cfRule type="containsBlanks" dxfId="1970" priority="339" stopIfTrue="1">
      <formula>LEN(TRIM(I32))=0</formula>
    </cfRule>
    <cfRule type="expression" dxfId="1969" priority="340" stopIfTrue="1">
      <formula>SUM($I$32:$I$38)&lt;&gt;1</formula>
    </cfRule>
    <cfRule type="notContainsBlanks" dxfId="1968" priority="341" stopIfTrue="1">
      <formula>LEN(TRIM(I32))&gt;0</formula>
    </cfRule>
  </conditionalFormatting>
  <conditionalFormatting sqref="J32:J38">
    <cfRule type="containsBlanks" dxfId="1967" priority="342" stopIfTrue="1">
      <formula>LEN(TRIM(J32))=0</formula>
    </cfRule>
    <cfRule type="expression" dxfId="1966" priority="343" stopIfTrue="1">
      <formula>SUM($J$32:$J$38)&lt;&gt;1</formula>
    </cfRule>
    <cfRule type="notContainsBlanks" dxfId="1965" priority="344" stopIfTrue="1">
      <formula>LEN(TRIM(J32))&gt;0</formula>
    </cfRule>
  </conditionalFormatting>
  <conditionalFormatting sqref="K32:K38">
    <cfRule type="containsBlanks" dxfId="1964" priority="345" stopIfTrue="1">
      <formula>LEN(TRIM(K32))=0</formula>
    </cfRule>
  </conditionalFormatting>
  <conditionalFormatting sqref="K32:K38">
    <cfRule type="expression" dxfId="1963" priority="346" stopIfTrue="1">
      <formula>SUM($K$32:$K$38)&lt;&gt;1</formula>
    </cfRule>
  </conditionalFormatting>
  <conditionalFormatting sqref="K32:K38">
    <cfRule type="notContainsBlanks" dxfId="1962" priority="347" stopIfTrue="1">
      <formula>LEN(TRIM(K32))&gt;0</formula>
    </cfRule>
  </conditionalFormatting>
  <conditionalFormatting sqref="L32:L38">
    <cfRule type="containsBlanks" dxfId="1961" priority="348" stopIfTrue="1">
      <formula>LEN(TRIM(L32))=0</formula>
    </cfRule>
  </conditionalFormatting>
  <conditionalFormatting sqref="L32:L38">
    <cfRule type="expression" dxfId="1960" priority="349" stopIfTrue="1">
      <formula>SUM($L$32:$L$38)&lt;&gt;1</formula>
    </cfRule>
  </conditionalFormatting>
  <conditionalFormatting sqref="L32:L38">
    <cfRule type="notContainsBlanks" dxfId="1959" priority="350" stopIfTrue="1">
      <formula>LEN(TRIM(L32))&gt;0</formula>
    </cfRule>
  </conditionalFormatting>
  <conditionalFormatting sqref="M32:M38">
    <cfRule type="containsBlanks" dxfId="1958" priority="351" stopIfTrue="1">
      <formula>LEN(TRIM(M32))=0</formula>
    </cfRule>
  </conditionalFormatting>
  <conditionalFormatting sqref="M32:M38">
    <cfRule type="expression" dxfId="1957" priority="352" stopIfTrue="1">
      <formula>SUM($M$32:$M$38)&lt;&gt;1</formula>
    </cfRule>
  </conditionalFormatting>
  <conditionalFormatting sqref="M32:M38">
    <cfRule type="notContainsBlanks" dxfId="1956" priority="353" stopIfTrue="1">
      <formula>LEN(TRIM(M32))&gt;0</formula>
    </cfRule>
  </conditionalFormatting>
  <conditionalFormatting sqref="N32:N38">
    <cfRule type="containsBlanks" dxfId="1955" priority="354" stopIfTrue="1">
      <formula>LEN(TRIM(N32))=0</formula>
    </cfRule>
  </conditionalFormatting>
  <conditionalFormatting sqref="N32:N38">
    <cfRule type="expression" dxfId="1954" priority="355" stopIfTrue="1">
      <formula>SUM($N$32:$N$38)&lt;&gt;1</formula>
    </cfRule>
  </conditionalFormatting>
  <conditionalFormatting sqref="N32:N38">
    <cfRule type="notContainsBlanks" dxfId="1953" priority="356" stopIfTrue="1">
      <formula>LEN(TRIM(N32))&gt;0</formula>
    </cfRule>
  </conditionalFormatting>
  <conditionalFormatting sqref="O32:O38">
    <cfRule type="containsBlanks" dxfId="1952" priority="357" stopIfTrue="1">
      <formula>LEN(TRIM(O32))=0</formula>
    </cfRule>
  </conditionalFormatting>
  <conditionalFormatting sqref="O32:O38">
    <cfRule type="expression" dxfId="1951" priority="358" stopIfTrue="1">
      <formula>SUM($O$32:$O$38)&lt;&gt;1</formula>
    </cfRule>
  </conditionalFormatting>
  <conditionalFormatting sqref="O32:O38">
    <cfRule type="notContainsBlanks" dxfId="1950" priority="359" stopIfTrue="1">
      <formula>LEN(TRIM(O32))&gt;0</formula>
    </cfRule>
  </conditionalFormatting>
  <conditionalFormatting sqref="P32:P38">
    <cfRule type="containsBlanks" dxfId="1949" priority="360" stopIfTrue="1">
      <formula>LEN(TRIM(P32))=0</formula>
    </cfRule>
  </conditionalFormatting>
  <conditionalFormatting sqref="P32:P38">
    <cfRule type="expression" dxfId="1948" priority="361" stopIfTrue="1">
      <formula>SUM($P$32:$P$38)&lt;&gt;1</formula>
    </cfRule>
  </conditionalFormatting>
  <conditionalFormatting sqref="P32:P38">
    <cfRule type="notContainsBlanks" dxfId="1947" priority="362" stopIfTrue="1">
      <formula>LEN(TRIM(P32))&gt;0</formula>
    </cfRule>
  </conditionalFormatting>
  <conditionalFormatting sqref="Q32:Q38">
    <cfRule type="containsBlanks" dxfId="1946" priority="363" stopIfTrue="1">
      <formula>LEN(TRIM(Q32))=0</formula>
    </cfRule>
  </conditionalFormatting>
  <conditionalFormatting sqref="Q32:Q38">
    <cfRule type="expression" dxfId="1945" priority="364" stopIfTrue="1">
      <formula>SUM($Q$32:$Q$38)&lt;&gt;1</formula>
    </cfRule>
  </conditionalFormatting>
  <conditionalFormatting sqref="Q32:Q38">
    <cfRule type="notContainsBlanks" dxfId="1944" priority="365" stopIfTrue="1">
      <formula>LEN(TRIM(Q32))&gt;0</formula>
    </cfRule>
  </conditionalFormatting>
  <conditionalFormatting sqref="R32:R38">
    <cfRule type="containsBlanks" dxfId="1943" priority="366" stopIfTrue="1">
      <formula>LEN(TRIM(R32))=0</formula>
    </cfRule>
  </conditionalFormatting>
  <conditionalFormatting sqref="R32:R38">
    <cfRule type="expression" dxfId="1942" priority="367" stopIfTrue="1">
      <formula>SUM($R$32:$R$38)&lt;&gt;1</formula>
    </cfRule>
  </conditionalFormatting>
  <conditionalFormatting sqref="R32:R38">
    <cfRule type="notContainsBlanks" dxfId="1941" priority="368" stopIfTrue="1">
      <formula>LEN(TRIM(R32))&gt;0</formula>
    </cfRule>
  </conditionalFormatting>
  <conditionalFormatting sqref="S32:S38">
    <cfRule type="containsBlanks" dxfId="1940" priority="369" stopIfTrue="1">
      <formula>LEN(TRIM(S32))=0</formula>
    </cfRule>
  </conditionalFormatting>
  <conditionalFormatting sqref="S32:S38">
    <cfRule type="expression" dxfId="1939" priority="370" stopIfTrue="1">
      <formula>SUM($S$32:$S$38)&lt;&gt;1</formula>
    </cfRule>
  </conditionalFormatting>
  <conditionalFormatting sqref="S32:S38">
    <cfRule type="notContainsBlanks" dxfId="1938" priority="371" stopIfTrue="1">
      <formula>LEN(TRIM(S32))&gt;0</formula>
    </cfRule>
  </conditionalFormatting>
  <conditionalFormatting sqref="T32:T38">
    <cfRule type="containsBlanks" dxfId="1937" priority="372" stopIfTrue="1">
      <formula>LEN(TRIM(T32))=0</formula>
    </cfRule>
  </conditionalFormatting>
  <conditionalFormatting sqref="T32:T38">
    <cfRule type="expression" dxfId="1936" priority="373" stopIfTrue="1">
      <formula>SUM($T$32:$T$38)&lt;&gt;1</formula>
    </cfRule>
  </conditionalFormatting>
  <conditionalFormatting sqref="T32:T38">
    <cfRule type="notContainsBlanks" dxfId="1935" priority="374" stopIfTrue="1">
      <formula>LEN(TRIM(T32))&gt;0</formula>
    </cfRule>
  </conditionalFormatting>
  <conditionalFormatting sqref="U32:U38">
    <cfRule type="containsBlanks" dxfId="1934" priority="375" stopIfTrue="1">
      <formula>LEN(TRIM(U32))=0</formula>
    </cfRule>
  </conditionalFormatting>
  <conditionalFormatting sqref="U32:U38">
    <cfRule type="expression" dxfId="1933" priority="376" stopIfTrue="1">
      <formula>SUM($U$32:$U$38)&lt;&gt;1</formula>
    </cfRule>
  </conditionalFormatting>
  <conditionalFormatting sqref="U32:U38">
    <cfRule type="notContainsBlanks" dxfId="1932" priority="377" stopIfTrue="1">
      <formula>LEN(TRIM(U32))&gt;0</formula>
    </cfRule>
  </conditionalFormatting>
  <conditionalFormatting sqref="V32:V38">
    <cfRule type="containsBlanks" dxfId="1931" priority="378" stopIfTrue="1">
      <formula>LEN(TRIM(V32))=0</formula>
    </cfRule>
  </conditionalFormatting>
  <conditionalFormatting sqref="V32:V38">
    <cfRule type="expression" dxfId="1930" priority="379" stopIfTrue="1">
      <formula>SUM($V$32:$V$38)&lt;&gt;1</formula>
    </cfRule>
  </conditionalFormatting>
  <conditionalFormatting sqref="V32:V38">
    <cfRule type="notContainsBlanks" dxfId="1929" priority="380" stopIfTrue="1">
      <formula>LEN(TRIM(V32))&gt;0</formula>
    </cfRule>
  </conditionalFormatting>
  <conditionalFormatting sqref="W32:W38">
    <cfRule type="containsBlanks" dxfId="1928" priority="381" stopIfTrue="1">
      <formula>LEN(TRIM(W32))=0</formula>
    </cfRule>
  </conditionalFormatting>
  <conditionalFormatting sqref="W32:W38">
    <cfRule type="expression" dxfId="1927" priority="382" stopIfTrue="1">
      <formula>SUM($W$32:$W$38)&lt;&gt;1</formula>
    </cfRule>
  </conditionalFormatting>
  <conditionalFormatting sqref="W32:W38">
    <cfRule type="notContainsBlanks" dxfId="1926" priority="383" stopIfTrue="1">
      <formula>LEN(TRIM(W32))&gt;0</formula>
    </cfRule>
  </conditionalFormatting>
  <conditionalFormatting sqref="X32:X38">
    <cfRule type="containsBlanks" dxfId="1925" priority="384" stopIfTrue="1">
      <formula>LEN(TRIM(X32))=0</formula>
    </cfRule>
  </conditionalFormatting>
  <conditionalFormatting sqref="X32:X38">
    <cfRule type="expression" dxfId="1924" priority="385" stopIfTrue="1">
      <formula>SUM($X$32:$X$38)&lt;&gt;1</formula>
    </cfRule>
  </conditionalFormatting>
  <conditionalFormatting sqref="X32:X38">
    <cfRule type="notContainsBlanks" dxfId="1923" priority="386" stopIfTrue="1">
      <formula>LEN(TRIM(X32))&gt;0</formula>
    </cfRule>
  </conditionalFormatting>
  <conditionalFormatting sqref="Y32:Y38">
    <cfRule type="containsBlanks" dxfId="1922" priority="387" stopIfTrue="1">
      <formula>LEN(TRIM(Y32))=0</formula>
    </cfRule>
  </conditionalFormatting>
  <conditionalFormatting sqref="Y32:Y38">
    <cfRule type="expression" dxfId="1921" priority="388" stopIfTrue="1">
      <formula>SUM($Y$32:$Y$38)&lt;&gt;1</formula>
    </cfRule>
  </conditionalFormatting>
  <conditionalFormatting sqref="Y32:Y38">
    <cfRule type="notContainsBlanks" dxfId="1920" priority="389" stopIfTrue="1">
      <formula>LEN(TRIM(Y32))&gt;0</formula>
    </cfRule>
  </conditionalFormatting>
  <conditionalFormatting sqref="Z32:Z38">
    <cfRule type="containsBlanks" dxfId="1919" priority="390" stopIfTrue="1">
      <formula>LEN(TRIM(Z32))=0</formula>
    </cfRule>
  </conditionalFormatting>
  <conditionalFormatting sqref="Z32:Z38">
    <cfRule type="expression" dxfId="1918" priority="391" stopIfTrue="1">
      <formula>SUM($Z$32:$Z$38)&lt;&gt;1</formula>
    </cfRule>
  </conditionalFormatting>
  <conditionalFormatting sqref="Z32:Z38">
    <cfRule type="notContainsBlanks" dxfId="1917" priority="392" stopIfTrue="1">
      <formula>LEN(TRIM(Z32))&gt;0</formula>
    </cfRule>
  </conditionalFormatting>
  <conditionalFormatting sqref="AA32:AA38">
    <cfRule type="containsBlanks" dxfId="1916" priority="393" stopIfTrue="1">
      <formula>LEN(TRIM(AA32))=0</formula>
    </cfRule>
  </conditionalFormatting>
  <conditionalFormatting sqref="AA32:AA38">
    <cfRule type="expression" dxfId="1915" priority="394" stopIfTrue="1">
      <formula>SUM($AA$32:$AA$38)&lt;&gt;1</formula>
    </cfRule>
  </conditionalFormatting>
  <conditionalFormatting sqref="AA32:AA38">
    <cfRule type="notContainsBlanks" dxfId="1914" priority="395" stopIfTrue="1">
      <formula>LEN(TRIM(AA32))&gt;0</formula>
    </cfRule>
  </conditionalFormatting>
  <conditionalFormatting sqref="AB32:AB38">
    <cfRule type="containsBlanks" dxfId="1913" priority="396" stopIfTrue="1">
      <formula>LEN(TRIM(AB32))=0</formula>
    </cfRule>
  </conditionalFormatting>
  <conditionalFormatting sqref="AB32:AB38">
    <cfRule type="expression" dxfId="1912" priority="397" stopIfTrue="1">
      <formula>SUM($AB$32:$AB$38)&lt;&gt;1</formula>
    </cfRule>
  </conditionalFormatting>
  <conditionalFormatting sqref="AB32:AB38">
    <cfRule type="notContainsBlanks" dxfId="1911" priority="398" stopIfTrue="1">
      <formula>LEN(TRIM(AB32))&gt;0</formula>
    </cfRule>
  </conditionalFormatting>
  <conditionalFormatting sqref="AC32:AC38">
    <cfRule type="containsBlanks" dxfId="1910" priority="399" stopIfTrue="1">
      <formula>LEN(TRIM(AC32))=0</formula>
    </cfRule>
  </conditionalFormatting>
  <conditionalFormatting sqref="AC32:AC38">
    <cfRule type="expression" dxfId="1909" priority="400" stopIfTrue="1">
      <formula>SUM($AC$32:$AC$38)&lt;&gt;1</formula>
    </cfRule>
  </conditionalFormatting>
  <conditionalFormatting sqref="AC32:AC38">
    <cfRule type="notContainsBlanks" dxfId="1908" priority="401" stopIfTrue="1">
      <formula>LEN(TRIM(AC32))&gt;0</formula>
    </cfRule>
  </conditionalFormatting>
  <conditionalFormatting sqref="AD32:AD38">
    <cfRule type="containsBlanks" dxfId="1907" priority="402" stopIfTrue="1">
      <formula>LEN(TRIM(AD32))=0</formula>
    </cfRule>
  </conditionalFormatting>
  <conditionalFormatting sqref="AD32:AD38">
    <cfRule type="expression" dxfId="1906" priority="403" stopIfTrue="1">
      <formula>SUM($AD$32:$AD$38)&lt;&gt;1</formula>
    </cfRule>
  </conditionalFormatting>
  <conditionalFormatting sqref="AD32:AD38">
    <cfRule type="notContainsBlanks" dxfId="1905" priority="404" stopIfTrue="1">
      <formula>LEN(TRIM(AD32))&gt;0</formula>
    </cfRule>
  </conditionalFormatting>
  <conditionalFormatting sqref="AE32:AE38">
    <cfRule type="containsBlanks" dxfId="1904" priority="405" stopIfTrue="1">
      <formula>LEN(TRIM(AE32))=0</formula>
    </cfRule>
  </conditionalFormatting>
  <conditionalFormatting sqref="AE32:AE38">
    <cfRule type="expression" dxfId="1903" priority="406" stopIfTrue="1">
      <formula>SUM($AE$32:$AE$38)&lt;&gt;1</formula>
    </cfRule>
  </conditionalFormatting>
  <conditionalFormatting sqref="AE32:AE38">
    <cfRule type="notContainsBlanks" dxfId="1902" priority="407" stopIfTrue="1">
      <formula>LEN(TRIM(AE32))&gt;0</formula>
    </cfRule>
  </conditionalFormatting>
  <conditionalFormatting sqref="AF32:AF38">
    <cfRule type="containsBlanks" dxfId="1901" priority="408" stopIfTrue="1">
      <formula>LEN(TRIM(AF32))=0</formula>
    </cfRule>
  </conditionalFormatting>
  <conditionalFormatting sqref="AF32:AF38">
    <cfRule type="expression" dxfId="1900" priority="409" stopIfTrue="1">
      <formula>SUM($AF$32:$AF$38)&lt;&gt;1</formula>
    </cfRule>
  </conditionalFormatting>
  <conditionalFormatting sqref="AF32:AF38">
    <cfRule type="notContainsBlanks" dxfId="1899" priority="410" stopIfTrue="1">
      <formula>LEN(TRIM(AF32))&gt;0</formula>
    </cfRule>
  </conditionalFormatting>
  <conditionalFormatting sqref="AG32:AG38">
    <cfRule type="containsBlanks" dxfId="1898" priority="411" stopIfTrue="1">
      <formula>LEN(TRIM(AG32))=0</formula>
    </cfRule>
  </conditionalFormatting>
  <conditionalFormatting sqref="AG32:AG38">
    <cfRule type="expression" dxfId="1897" priority="412" stopIfTrue="1">
      <formula>SUM($AG$32:$AG$38)&lt;&gt;1</formula>
    </cfRule>
  </conditionalFormatting>
  <conditionalFormatting sqref="AG32:AG38">
    <cfRule type="notContainsBlanks" dxfId="1896" priority="413" stopIfTrue="1">
      <formula>LEN(TRIM(AG32))&gt;0</formula>
    </cfRule>
  </conditionalFormatting>
  <conditionalFormatting sqref="AH32:AH38">
    <cfRule type="containsBlanks" dxfId="1895" priority="414" stopIfTrue="1">
      <formula>LEN(TRIM(AH32))=0</formula>
    </cfRule>
  </conditionalFormatting>
  <conditionalFormatting sqref="AH32:AH38">
    <cfRule type="expression" dxfId="1894" priority="415" stopIfTrue="1">
      <formula>SUM($AH$32:$AH$38)&lt;&gt;1</formula>
    </cfRule>
  </conditionalFormatting>
  <conditionalFormatting sqref="AH32:AH38">
    <cfRule type="notContainsBlanks" dxfId="1893" priority="416" stopIfTrue="1">
      <formula>LEN(TRIM(AH32))&gt;0</formula>
    </cfRule>
  </conditionalFormatting>
  <conditionalFormatting sqref="AI32:AI38">
    <cfRule type="containsBlanks" dxfId="1892" priority="417" stopIfTrue="1">
      <formula>LEN(TRIM(AI32))=0</formula>
    </cfRule>
  </conditionalFormatting>
  <conditionalFormatting sqref="AI32:AI38">
    <cfRule type="expression" dxfId="1891" priority="418" stopIfTrue="1">
      <formula>SUM($AI$32:$AI$38)&lt;&gt;1</formula>
    </cfRule>
  </conditionalFormatting>
  <conditionalFormatting sqref="AI32:AI38">
    <cfRule type="notContainsBlanks" dxfId="1890" priority="419" stopIfTrue="1">
      <formula>LEN(TRIM(AI32))&gt;0</formula>
    </cfRule>
  </conditionalFormatting>
  <conditionalFormatting sqref="AJ32:AJ38">
    <cfRule type="containsBlanks" dxfId="1889" priority="420" stopIfTrue="1">
      <formula>LEN(TRIM(AJ32))=0</formula>
    </cfRule>
  </conditionalFormatting>
  <conditionalFormatting sqref="AJ32:AJ38">
    <cfRule type="expression" dxfId="1888" priority="421" stopIfTrue="1">
      <formula>SUM($AJ$32:$AJ$38)&lt;&gt;1</formula>
    </cfRule>
  </conditionalFormatting>
  <conditionalFormatting sqref="AJ32:AJ38">
    <cfRule type="notContainsBlanks" dxfId="1887" priority="422" stopIfTrue="1">
      <formula>LEN(TRIM(AJ32))&gt;0</formula>
    </cfRule>
  </conditionalFormatting>
  <conditionalFormatting sqref="AK32:AK38">
    <cfRule type="containsBlanks" dxfId="1886" priority="423" stopIfTrue="1">
      <formula>LEN(TRIM(AK32))=0</formula>
    </cfRule>
  </conditionalFormatting>
  <conditionalFormatting sqref="AK32:AK38">
    <cfRule type="expression" dxfId="1885" priority="424" stopIfTrue="1">
      <formula>SUM($AK$32:$AK$38)&lt;&gt;1</formula>
    </cfRule>
  </conditionalFormatting>
  <conditionalFormatting sqref="AK32:AK38">
    <cfRule type="notContainsBlanks" dxfId="1884" priority="425" stopIfTrue="1">
      <formula>LEN(TRIM(AK32))&gt;0</formula>
    </cfRule>
  </conditionalFormatting>
  <conditionalFormatting sqref="AL32:AL38">
    <cfRule type="containsBlanks" dxfId="1883" priority="426" stopIfTrue="1">
      <formula>LEN(TRIM(AL32))=0</formula>
    </cfRule>
  </conditionalFormatting>
  <conditionalFormatting sqref="AL32:AL38">
    <cfRule type="expression" dxfId="1882" priority="427" stopIfTrue="1">
      <formula>SUM($AL$32:$AL$38)&lt;&gt;1</formula>
    </cfRule>
  </conditionalFormatting>
  <conditionalFormatting sqref="AL32:AL38">
    <cfRule type="notContainsBlanks" dxfId="1881" priority="428" stopIfTrue="1">
      <formula>LEN(TRIM(AL32))&gt;0</formula>
    </cfRule>
  </conditionalFormatting>
  <conditionalFormatting sqref="E21:AL21">
    <cfRule type="containsBlanks" dxfId="1880" priority="429" stopIfTrue="1">
      <formula>LEN(TRIM(E21))=0</formula>
    </cfRule>
  </conditionalFormatting>
  <conditionalFormatting sqref="E21:AL21">
    <cfRule type="notContainsBlanks" dxfId="1879" priority="430" stopIfTrue="1">
      <formula>LEN(TRIM(E21))&gt;0</formula>
    </cfRule>
  </conditionalFormatting>
  <conditionalFormatting sqref="E22:AL22">
    <cfRule type="containsBlanks" dxfId="1878" priority="431" stopIfTrue="1">
      <formula>LEN(TRIM(E22))=0</formula>
    </cfRule>
  </conditionalFormatting>
  <conditionalFormatting sqref="E22:AL22">
    <cfRule type="notContainsBlanks" dxfId="1877" priority="432" stopIfTrue="1">
      <formula>LEN(TRIM(E22))&gt;0</formula>
    </cfRule>
  </conditionalFormatting>
  <conditionalFormatting sqref="E24:AL24">
    <cfRule type="containsBlanks" dxfId="1876" priority="433" stopIfTrue="1">
      <formula>LEN(TRIM(E24))=0</formula>
    </cfRule>
  </conditionalFormatting>
  <conditionalFormatting sqref="E24:AL24">
    <cfRule type="notContainsBlanks" dxfId="1875" priority="434" stopIfTrue="1">
      <formula>LEN(TRIM(E24))&gt;0</formula>
    </cfRule>
  </conditionalFormatting>
  <conditionalFormatting sqref="E26:AL26">
    <cfRule type="containsBlanks" dxfId="1874" priority="435" stopIfTrue="1">
      <formula>LEN(TRIM(E26))=0</formula>
    </cfRule>
  </conditionalFormatting>
  <conditionalFormatting sqref="E26:AL26">
    <cfRule type="notContainsBlanks" dxfId="1873" priority="436" stopIfTrue="1">
      <formula>LEN(TRIM(E26))&gt;0</formula>
    </cfRule>
  </conditionalFormatting>
  <conditionalFormatting sqref="E27:AL27">
    <cfRule type="containsBlanks" dxfId="1872" priority="437" stopIfTrue="1">
      <formula>LEN(TRIM(E27))=0</formula>
    </cfRule>
  </conditionalFormatting>
  <conditionalFormatting sqref="E27:AL27">
    <cfRule type="notContainsBlanks" dxfId="1871" priority="438" stopIfTrue="1">
      <formula>LEN(TRIM(E27))&gt;0</formula>
    </cfRule>
  </conditionalFormatting>
  <conditionalFormatting sqref="E29:AL29">
    <cfRule type="containsBlanks" dxfId="1870" priority="439" stopIfTrue="1">
      <formula>LEN(TRIM(E29))=0</formula>
    </cfRule>
  </conditionalFormatting>
  <conditionalFormatting sqref="E29:AL29">
    <cfRule type="notContainsBlanks" dxfId="1869" priority="440" stopIfTrue="1">
      <formula>LEN(TRIM(E29))&gt;0</formula>
    </cfRule>
  </conditionalFormatting>
  <conditionalFormatting sqref="E13:AL13">
    <cfRule type="containsBlanks" dxfId="1868" priority="441" stopIfTrue="1">
      <formula>LEN(TRIM(E13))=0</formula>
    </cfRule>
  </conditionalFormatting>
  <conditionalFormatting sqref="E13:AL13">
    <cfRule type="notContainsBlanks" dxfId="1867" priority="442" stopIfTrue="1">
      <formula>LEN(TRIM(E13))&gt;0</formula>
    </cfRule>
  </conditionalFormatting>
  <conditionalFormatting sqref="E14:AL14">
    <cfRule type="containsBlanks" dxfId="1866" priority="443" stopIfTrue="1">
      <formula>LEN(TRIM(E14))=0</formula>
    </cfRule>
  </conditionalFormatting>
  <conditionalFormatting sqref="E14:AL14">
    <cfRule type="notContainsBlanks" dxfId="1865" priority="444" stopIfTrue="1">
      <formula>LEN(TRIM(E14))&gt;0</formula>
    </cfRule>
  </conditionalFormatting>
  <conditionalFormatting sqref="E15:AL15">
    <cfRule type="containsBlanks" dxfId="1864" priority="445" stopIfTrue="1">
      <formula>LEN(TRIM(E15))=0</formula>
    </cfRule>
  </conditionalFormatting>
  <conditionalFormatting sqref="E15:AL15">
    <cfRule type="notContainsBlanks" dxfId="1863" priority="446" stopIfTrue="1">
      <formula>LEN(TRIM(E15))&gt;0</formula>
    </cfRule>
  </conditionalFormatting>
  <conditionalFormatting sqref="E17:AL17">
    <cfRule type="containsBlanks" dxfId="1862" priority="447" stopIfTrue="1">
      <formula>LEN(TRIM(E17))=0</formula>
    </cfRule>
  </conditionalFormatting>
  <conditionalFormatting sqref="E17:AL17">
    <cfRule type="notContainsBlanks" dxfId="1861" priority="448" stopIfTrue="1">
      <formula>LEN(TRIM(E17))&gt;0</formula>
    </cfRule>
  </conditionalFormatting>
  <conditionalFormatting sqref="E5:AL5">
    <cfRule type="containsBlanks" dxfId="1860" priority="449" stopIfTrue="1">
      <formula>LEN(TRIM(E5))=0</formula>
    </cfRule>
  </conditionalFormatting>
  <conditionalFormatting sqref="E5:AL5">
    <cfRule type="notContainsBlanks" dxfId="1859" priority="450" stopIfTrue="1">
      <formula>LEN(TRIM(E5))&gt;0</formula>
    </cfRule>
  </conditionalFormatting>
  <conditionalFormatting sqref="E6:AL6">
    <cfRule type="containsBlanks" dxfId="1858" priority="451" stopIfTrue="1">
      <formula>LEN(TRIM(E6))=0</formula>
    </cfRule>
  </conditionalFormatting>
  <conditionalFormatting sqref="E6:AL6">
    <cfRule type="notContainsBlanks" dxfId="1857" priority="452" stopIfTrue="1">
      <formula>LEN(TRIM(E6))&gt;0</formula>
    </cfRule>
  </conditionalFormatting>
  <conditionalFormatting sqref="E7:AL7">
    <cfRule type="containsBlanks" dxfId="1856" priority="453" stopIfTrue="1">
      <formula>LEN(TRIM(E7))=0</formula>
    </cfRule>
  </conditionalFormatting>
  <conditionalFormatting sqref="E7:AL7">
    <cfRule type="notContainsBlanks" dxfId="1855" priority="454" stopIfTrue="1">
      <formula>LEN(TRIM(E7))&gt;0</formula>
    </cfRule>
  </conditionalFormatting>
  <conditionalFormatting sqref="E9:AL9">
    <cfRule type="containsBlanks" dxfId="1854" priority="455" stopIfTrue="1">
      <formula>LEN(TRIM(E9))=0</formula>
    </cfRule>
  </conditionalFormatting>
  <conditionalFormatting sqref="E9:AL9">
    <cfRule type="notContainsBlanks" dxfId="1853" priority="456" stopIfTrue="1">
      <formula>LEN(TRIM(E9))&gt;0</formula>
    </cfRule>
  </conditionalFormatting>
  <pageMargins left="0.7" right="0.7" top="0.75" bottom="0.75" header="0.3" footer="0.3"/>
  <customProperties>
    <customPr name="IsPC"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dimension ref="B2:AM190"/>
  <sheetViews>
    <sheetView zoomScale="85" zoomScaleNormal="85" zoomScalePageLayoutView="85" workbookViewId="0">
      <selection activeCell="B1" sqref="B1"/>
    </sheetView>
  </sheetViews>
  <sheetFormatPr defaultColWidth="8.77734375" defaultRowHeight="14.4"/>
  <cols>
    <col min="1" max="1" width="8.77734375" style="9"/>
    <col min="2" max="2" width="3.6640625" style="9" customWidth="1"/>
    <col min="3" max="3" width="28.44140625" style="9" bestFit="1" customWidth="1"/>
    <col min="4" max="4" width="9.33203125" style="9" bestFit="1" customWidth="1"/>
    <col min="5" max="29" width="8" style="9" bestFit="1" customWidth="1"/>
    <col min="30" max="38" width="9" style="9" bestFit="1" customWidth="1"/>
    <col min="39" max="39" width="3.6640625" style="9" customWidth="1"/>
    <col min="40" max="16384" width="8.77734375" style="9"/>
  </cols>
  <sheetData>
    <row r="2" spans="2:39" ht="15">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row>
    <row r="3" spans="2:39" ht="15">
      <c r="B3" s="10"/>
      <c r="C3" s="22" t="s">
        <v>97</v>
      </c>
      <c r="D3" s="23"/>
      <c r="E3" s="24">
        <f t="array" ref="E3:AL3">_yS</f>
        <v>2019</v>
      </c>
      <c r="F3" s="24">
        <v>2020</v>
      </c>
      <c r="G3" s="24">
        <v>2021</v>
      </c>
      <c r="H3" s="24">
        <v>2022</v>
      </c>
      <c r="I3" s="24">
        <v>2023</v>
      </c>
      <c r="J3" s="24">
        <v>2024</v>
      </c>
      <c r="K3" s="24">
        <v>2025</v>
      </c>
      <c r="L3" s="24">
        <v>2026</v>
      </c>
      <c r="M3" s="24">
        <v>2027</v>
      </c>
      <c r="N3" s="24">
        <v>2028</v>
      </c>
      <c r="O3" s="24">
        <v>2029</v>
      </c>
      <c r="P3" s="24">
        <v>2030</v>
      </c>
      <c r="Q3" s="24">
        <v>2031</v>
      </c>
      <c r="R3" s="24">
        <v>2032</v>
      </c>
      <c r="S3" s="24">
        <v>2033</v>
      </c>
      <c r="T3" s="24">
        <v>2034</v>
      </c>
      <c r="U3" s="24">
        <v>2035</v>
      </c>
      <c r="V3" s="24">
        <v>2036</v>
      </c>
      <c r="W3" s="24">
        <v>2037</v>
      </c>
      <c r="X3" s="24">
        <v>2038</v>
      </c>
      <c r="Y3" s="24">
        <v>2039</v>
      </c>
      <c r="Z3" s="24">
        <v>2040</v>
      </c>
      <c r="AA3" s="24">
        <v>2041</v>
      </c>
      <c r="AB3" s="24">
        <v>2042</v>
      </c>
      <c r="AC3" s="24">
        <v>2043</v>
      </c>
      <c r="AD3" s="24">
        <v>2044</v>
      </c>
      <c r="AE3" s="24">
        <v>2045</v>
      </c>
      <c r="AF3" s="24">
        <v>2046</v>
      </c>
      <c r="AG3" s="24">
        <v>2047</v>
      </c>
      <c r="AH3" s="24">
        <v>2048</v>
      </c>
      <c r="AI3" s="24">
        <v>2049</v>
      </c>
      <c r="AJ3" s="24">
        <v>2050</v>
      </c>
      <c r="AK3" s="24">
        <v>2051</v>
      </c>
      <c r="AL3" s="25">
        <v>2052</v>
      </c>
      <c r="AM3" s="10"/>
    </row>
    <row r="4" spans="2:39" ht="15">
      <c r="B4" s="10"/>
      <c r="C4" s="57" t="str">
        <f ca="1">"Stds Case (CSL " &amp; stdCSL &amp; "): " &amp; INDEX(_doName,5,stdCSL+1)</f>
        <v>Stds Case (CSL 5): EL 5</v>
      </c>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3"/>
      <c r="AM4" s="10"/>
    </row>
    <row r="5" spans="2:39" ht="15">
      <c r="B5" s="10"/>
      <c r="C5" s="16" t="s">
        <v>94</v>
      </c>
      <c r="D5" s="12" t="str">
        <f>"th " &amp; _yearDol &amp; "$"</f>
        <v>th 2015$</v>
      </c>
      <c r="E5" s="13">
        <f t="array" aca="1" ref="E5:AL5" ca="1">tecs-tiec</f>
        <v>0</v>
      </c>
      <c r="F5" s="13">
        <f ca="1"/>
        <v>0</v>
      </c>
      <c r="G5" s="13">
        <f ca="1"/>
        <v>0</v>
      </c>
      <c r="H5" s="13">
        <f ca="1"/>
        <v>44108.032623247855</v>
      </c>
      <c r="I5" s="13">
        <f ca="1"/>
        <v>44607.870698937593</v>
      </c>
      <c r="J5" s="13">
        <f ca="1"/>
        <v>43444.710998108232</v>
      </c>
      <c r="K5" s="13">
        <f ca="1"/>
        <v>43923.375719352378</v>
      </c>
      <c r="L5" s="13">
        <f ca="1"/>
        <v>44379.139577438618</v>
      </c>
      <c r="M5" s="13">
        <f ca="1"/>
        <v>44823.253871055247</v>
      </c>
      <c r="N5" s="13">
        <f ca="1"/>
        <v>45226.953976656529</v>
      </c>
      <c r="O5" s="13">
        <f ca="1"/>
        <v>45631.999589720755</v>
      </c>
      <c r="P5" s="13">
        <f ca="1"/>
        <v>46074.121997619848</v>
      </c>
      <c r="Q5" s="13">
        <f ca="1"/>
        <v>46515.706042820035</v>
      </c>
      <c r="R5" s="13">
        <f ca="1"/>
        <v>48716.299025081025</v>
      </c>
      <c r="S5" s="13">
        <f ca="1"/>
        <v>51004.433376091591</v>
      </c>
      <c r="T5" s="13">
        <f ca="1"/>
        <v>51506.130432865219</v>
      </c>
      <c r="U5" s="13">
        <f ca="1"/>
        <v>53880.252010695986</v>
      </c>
      <c r="V5" s="13">
        <f ca="1"/>
        <v>56306.981468442566</v>
      </c>
      <c r="W5" s="13">
        <f ca="1"/>
        <v>56866.287665123353</v>
      </c>
      <c r="X5" s="13">
        <f ca="1"/>
        <v>57425.578477123228</v>
      </c>
      <c r="Y5" s="13">
        <f ca="1"/>
        <v>57986.013322662504</v>
      </c>
      <c r="Z5" s="13">
        <f ca="1"/>
        <v>58563.789584004873</v>
      </c>
      <c r="AA5" s="13">
        <f ca="1"/>
        <v>59310.836644912255</v>
      </c>
      <c r="AB5" s="13">
        <f ca="1"/>
        <v>60182.040661230305</v>
      </c>
      <c r="AC5" s="13">
        <f ca="1"/>
        <v>61063.916827555047</v>
      </c>
      <c r="AD5" s="13">
        <f ca="1"/>
        <v>61954.498788629135</v>
      </c>
      <c r="AE5" s="13">
        <f ca="1"/>
        <v>62855.237498227885</v>
      </c>
      <c r="AF5" s="13">
        <f ca="1"/>
        <v>63765.815420827246</v>
      </c>
      <c r="AG5" s="13">
        <f ca="1"/>
        <v>64687.08996316095</v>
      </c>
      <c r="AH5" s="13">
        <f ca="1"/>
        <v>65619.717521966464</v>
      </c>
      <c r="AI5" s="13">
        <f ca="1"/>
        <v>66565.827799628285</v>
      </c>
      <c r="AJ5" s="13">
        <f ca="1"/>
        <v>67525.375311014708</v>
      </c>
      <c r="AK5" s="13">
        <f ca="1"/>
        <v>68496.747633024759</v>
      </c>
      <c r="AL5" s="56">
        <f ca="1"/>
        <v>69479.837694813119</v>
      </c>
      <c r="AM5" s="10"/>
    </row>
    <row r="6" spans="2:39" ht="15">
      <c r="B6" s="10"/>
      <c r="C6" s="16" t="s">
        <v>95</v>
      </c>
      <c r="D6" s="12" t="str">
        <f>"th " &amp; _yearDol &amp; "$"</f>
        <v>th 2015$</v>
      </c>
      <c r="E6" s="13">
        <f t="array" aca="1" ref="E6:AL6" ca="1">tlccQmPol*tShpInMxStd-tlccQmBC*IF(bStdShipm,tShpInMxStd,tShpInMxBC)</f>
        <v>0</v>
      </c>
      <c r="F6" s="13">
        <f ca="1"/>
        <v>0</v>
      </c>
      <c r="G6" s="13">
        <f ca="1"/>
        <v>0</v>
      </c>
      <c r="H6" s="13">
        <f ca="1"/>
        <v>34460.790287792188</v>
      </c>
      <c r="I6" s="13">
        <f ca="1"/>
        <v>34464.636553493532</v>
      </c>
      <c r="J6" s="13">
        <f ca="1"/>
        <v>33195.299777452281</v>
      </c>
      <c r="K6" s="13">
        <f ca="1"/>
        <v>33192.14445768531</v>
      </c>
      <c r="L6" s="13">
        <f ca="1"/>
        <v>33169.619620224665</v>
      </c>
      <c r="M6" s="13">
        <f ca="1"/>
        <v>33136.661499154943</v>
      </c>
      <c r="N6" s="13">
        <f ca="1"/>
        <v>33072.564747976037</v>
      </c>
      <c r="O6" s="13">
        <f ca="1"/>
        <v>33008.537091390564</v>
      </c>
      <c r="P6" s="13">
        <f ca="1"/>
        <v>32970.143528970439</v>
      </c>
      <c r="Q6" s="13">
        <f ca="1"/>
        <v>32929.93047558979</v>
      </c>
      <c r="R6" s="13">
        <f ca="1"/>
        <v>34120.315162863073</v>
      </c>
      <c r="S6" s="13">
        <f ca="1"/>
        <v>35343.865254986391</v>
      </c>
      <c r="T6" s="13">
        <f ca="1"/>
        <v>35314.407926650849</v>
      </c>
      <c r="U6" s="13">
        <f ca="1"/>
        <v>36553.481270766468</v>
      </c>
      <c r="V6" s="13">
        <f ca="1"/>
        <v>37799.533168819296</v>
      </c>
      <c r="W6" s="13">
        <f ca="1"/>
        <v>37776.59376379801</v>
      </c>
      <c r="X6" s="13">
        <f ca="1"/>
        <v>37751.604552504781</v>
      </c>
      <c r="Y6" s="13">
        <f ca="1"/>
        <v>37725.371638529643</v>
      </c>
      <c r="Z6" s="13">
        <f ca="1"/>
        <v>37708.351337012864</v>
      </c>
      <c r="AA6" s="13">
        <f ca="1"/>
        <v>37797.068794986699</v>
      </c>
      <c r="AB6" s="13">
        <f ca="1"/>
        <v>37959.809594063234</v>
      </c>
      <c r="AC6" s="13">
        <f ca="1"/>
        <v>38123.425591323408</v>
      </c>
      <c r="AD6" s="13">
        <f ca="1"/>
        <v>38286.627021022898</v>
      </c>
      <c r="AE6" s="13">
        <f ca="1"/>
        <v>38450.266049814149</v>
      </c>
      <c r="AF6" s="13">
        <f ca="1"/>
        <v>38614.089330854593</v>
      </c>
      <c r="AG6" s="13">
        <f ca="1"/>
        <v>38778.557494767098</v>
      </c>
      <c r="AH6" s="13">
        <f ca="1"/>
        <v>38943.992982987751</v>
      </c>
      <c r="AI6" s="13">
        <f ca="1"/>
        <v>39111.570403604972</v>
      </c>
      <c r="AJ6" s="13">
        <f ca="1"/>
        <v>39281.151567431865</v>
      </c>
      <c r="AK6" s="13">
        <f ca="1"/>
        <v>39451.700055566907</v>
      </c>
      <c r="AL6" s="56">
        <f ca="1"/>
        <v>39623.077678823174</v>
      </c>
      <c r="AM6" s="10"/>
    </row>
    <row r="7" spans="2:39" ht="15">
      <c r="B7" s="10"/>
      <c r="C7" s="16" t="str">
        <f>zEO&amp;" Costs Savings"</f>
        <v>Operating Costs Savings</v>
      </c>
      <c r="D7" s="12" t="str">
        <f>"th " &amp; _yearDol &amp; "$"</f>
        <v>th 2015$</v>
      </c>
      <c r="E7" s="13">
        <f t="array" aca="1" ref="E7:AL7" ca="1">tlccEmBC*IF(bStdShipm,tShpInMxStd,tShpInMxBC)-tlccEmPol*tShpInMxStd</f>
        <v>0</v>
      </c>
      <c r="F7" s="13">
        <f ca="1"/>
        <v>0</v>
      </c>
      <c r="G7" s="13">
        <f ca="1"/>
        <v>0</v>
      </c>
      <c r="H7" s="13">
        <f ca="1"/>
        <v>78568.822911040043</v>
      </c>
      <c r="I7" s="13">
        <f ca="1"/>
        <v>79072.507252431125</v>
      </c>
      <c r="J7" s="13">
        <f ca="1"/>
        <v>76640.010775560513</v>
      </c>
      <c r="K7" s="13">
        <f ca="1"/>
        <v>77115.520177037688</v>
      </c>
      <c r="L7" s="13">
        <f ca="1"/>
        <v>77548.759197663283</v>
      </c>
      <c r="M7" s="13">
        <f ca="1"/>
        <v>77959.91537021019</v>
      </c>
      <c r="N7" s="13">
        <f ca="1"/>
        <v>78299.518724632566</v>
      </c>
      <c r="O7" s="13">
        <f ca="1"/>
        <v>78640.53668111132</v>
      </c>
      <c r="P7" s="13">
        <f ca="1"/>
        <v>79044.265526590287</v>
      </c>
      <c r="Q7" s="13">
        <f ca="1"/>
        <v>79445.636518409825</v>
      </c>
      <c r="R7" s="13">
        <f ca="1"/>
        <v>82836.614187944098</v>
      </c>
      <c r="S7" s="13">
        <f ca="1"/>
        <v>86348.298631077982</v>
      </c>
      <c r="T7" s="13">
        <f ca="1"/>
        <v>86820.538359516067</v>
      </c>
      <c r="U7" s="13">
        <f ca="1"/>
        <v>90433.733281462453</v>
      </c>
      <c r="V7" s="13">
        <f ca="1"/>
        <v>94106.514637261862</v>
      </c>
      <c r="W7" s="13">
        <f ca="1"/>
        <v>94642.881428921362</v>
      </c>
      <c r="X7" s="13">
        <f ca="1"/>
        <v>95177.18302962801</v>
      </c>
      <c r="Y7" s="13">
        <f ca="1"/>
        <v>95711.384961192147</v>
      </c>
      <c r="Z7" s="13">
        <f ca="1"/>
        <v>96272.140921017737</v>
      </c>
      <c r="AA7" s="13">
        <f ca="1"/>
        <v>97107.905439898954</v>
      </c>
      <c r="AB7" s="13">
        <f ca="1"/>
        <v>98141.850255293539</v>
      </c>
      <c r="AC7" s="13">
        <f ca="1"/>
        <v>99187.342418878456</v>
      </c>
      <c r="AD7" s="13">
        <f ca="1"/>
        <v>100241.12580965203</v>
      </c>
      <c r="AE7" s="13">
        <f ca="1"/>
        <v>101305.50354804203</v>
      </c>
      <c r="AF7" s="13">
        <f ca="1"/>
        <v>102379.90475168184</v>
      </c>
      <c r="AG7" s="13">
        <f ca="1"/>
        <v>103465.64745792805</v>
      </c>
      <c r="AH7" s="13">
        <f ca="1"/>
        <v>104563.71050495422</v>
      </c>
      <c r="AI7" s="13">
        <f ca="1"/>
        <v>105677.39820323326</v>
      </c>
      <c r="AJ7" s="13">
        <f ca="1"/>
        <v>106806.52687844657</v>
      </c>
      <c r="AK7" s="13">
        <f ca="1"/>
        <v>107948.44768859167</v>
      </c>
      <c r="AL7" s="56">
        <f ca="1"/>
        <v>109102.91537363629</v>
      </c>
      <c r="AM7" s="10"/>
    </row>
    <row r="8" spans="2:39" ht="15">
      <c r="B8" s="10"/>
      <c r="C8" s="16" t="s">
        <v>96</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5"/>
      <c r="AM8" s="10"/>
    </row>
    <row r="9" spans="2:39" ht="15">
      <c r="B9" s="10"/>
      <c r="C9" s="45" t="str">
        <f>INDEX(_fuel,1)</f>
        <v>Electricity</v>
      </c>
      <c r="D9" s="18" t="s">
        <v>98</v>
      </c>
      <c r="E9" s="49">
        <f t="array" aca="1" ref="E9:AL9" ca="1">tlccFmElecBC*IF(bStdShipm,tShpInMxStd,tShpInMxBC)-tlccFmElecPol*tShpInMxStd</f>
        <v>0</v>
      </c>
      <c r="F9" s="49">
        <f ca="1"/>
        <v>0</v>
      </c>
      <c r="G9" s="49">
        <f ca="1"/>
        <v>0</v>
      </c>
      <c r="H9" s="49">
        <f ca="1"/>
        <v>14916.733115693758</v>
      </c>
      <c r="I9" s="49">
        <f ca="1"/>
        <v>14837.13941234615</v>
      </c>
      <c r="J9" s="49">
        <f ca="1"/>
        <v>14229.594856613679</v>
      </c>
      <c r="K9" s="49">
        <f ca="1"/>
        <v>14177.188917902007</v>
      </c>
      <c r="L9" s="49">
        <f ca="1"/>
        <v>14116.250388188404</v>
      </c>
      <c r="M9" s="49">
        <f ca="1"/>
        <v>14060.90124215449</v>
      </c>
      <c r="N9" s="49">
        <f ca="1"/>
        <v>14004.819863375058</v>
      </c>
      <c r="O9" s="49">
        <f ca="1"/>
        <v>13956.377468445105</v>
      </c>
      <c r="P9" s="49">
        <f ca="1"/>
        <v>13922.018148297531</v>
      </c>
      <c r="Q9" s="49">
        <f ca="1"/>
        <v>13891.481155823552</v>
      </c>
      <c r="R9" s="49">
        <f ca="1"/>
        <v>14382.739250019411</v>
      </c>
      <c r="S9" s="49">
        <f ca="1"/>
        <v>14896.325241532904</v>
      </c>
      <c r="T9" s="49">
        <f ca="1"/>
        <v>14885.881963695429</v>
      </c>
      <c r="U9" s="49">
        <f ca="1"/>
        <v>15411.637471730151</v>
      </c>
      <c r="V9" s="49">
        <f ca="1"/>
        <v>15942.441977750888</v>
      </c>
      <c r="W9" s="49">
        <f ca="1"/>
        <v>15937.977179511159</v>
      </c>
      <c r="X9" s="49">
        <f ca="1"/>
        <v>15931.748509785772</v>
      </c>
      <c r="Y9" s="49">
        <f ca="1"/>
        <v>15923.568862696615</v>
      </c>
      <c r="Z9" s="49">
        <f ca="1"/>
        <v>15918.377113410563</v>
      </c>
      <c r="AA9" s="49">
        <f ca="1"/>
        <v>15955.828709741269</v>
      </c>
      <c r="AB9" s="49">
        <f ca="1"/>
        <v>16024.528860227467</v>
      </c>
      <c r="AC9" s="49">
        <f ca="1"/>
        <v>16093.598470905912</v>
      </c>
      <c r="AD9" s="49">
        <f ca="1"/>
        <v>16162.493074124854</v>
      </c>
      <c r="AE9" s="49">
        <f ca="1"/>
        <v>16231.572407439933</v>
      </c>
      <c r="AF9" s="49">
        <f ca="1"/>
        <v>16300.729521848116</v>
      </c>
      <c r="AG9" s="49">
        <f ca="1"/>
        <v>16370.158870082203</v>
      </c>
      <c r="AH9" s="49">
        <f ca="1"/>
        <v>16439.996569055074</v>
      </c>
      <c r="AI9" s="49">
        <f ca="1"/>
        <v>16510.73847323528</v>
      </c>
      <c r="AJ9" s="49">
        <f ca="1"/>
        <v>16582.326246803044</v>
      </c>
      <c r="AK9" s="49">
        <f ca="1"/>
        <v>16654.322371109622</v>
      </c>
      <c r="AL9" s="50">
        <f ca="1"/>
        <v>16726.668510335177</v>
      </c>
      <c r="AM9" s="10"/>
    </row>
    <row r="10" spans="2:39" ht="15">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2:39" ht="15">
      <c r="B11" s="10"/>
      <c r="C11" s="22" t="s">
        <v>93</v>
      </c>
      <c r="D11" s="23"/>
      <c r="E11" s="24">
        <f t="array" ref="E11:AL11">_yS</f>
        <v>2019</v>
      </c>
      <c r="F11" s="24">
        <v>2020</v>
      </c>
      <c r="G11" s="24">
        <v>2021</v>
      </c>
      <c r="H11" s="24">
        <v>2022</v>
      </c>
      <c r="I11" s="24">
        <v>2023</v>
      </c>
      <c r="J11" s="24">
        <v>2024</v>
      </c>
      <c r="K11" s="24">
        <v>2025</v>
      </c>
      <c r="L11" s="24">
        <v>2026</v>
      </c>
      <c r="M11" s="24">
        <v>2027</v>
      </c>
      <c r="N11" s="24">
        <v>2028</v>
      </c>
      <c r="O11" s="24">
        <v>2029</v>
      </c>
      <c r="P11" s="24">
        <v>2030</v>
      </c>
      <c r="Q11" s="24">
        <v>2031</v>
      </c>
      <c r="R11" s="24">
        <v>2032</v>
      </c>
      <c r="S11" s="24">
        <v>2033</v>
      </c>
      <c r="T11" s="24">
        <v>2034</v>
      </c>
      <c r="U11" s="24">
        <v>2035</v>
      </c>
      <c r="V11" s="24">
        <v>2036</v>
      </c>
      <c r="W11" s="24">
        <v>2037</v>
      </c>
      <c r="X11" s="24">
        <v>2038</v>
      </c>
      <c r="Y11" s="24">
        <v>2039</v>
      </c>
      <c r="Z11" s="24">
        <v>2040</v>
      </c>
      <c r="AA11" s="24">
        <v>2041</v>
      </c>
      <c r="AB11" s="24">
        <v>2042</v>
      </c>
      <c r="AC11" s="24">
        <v>2043</v>
      </c>
      <c r="AD11" s="24">
        <v>2044</v>
      </c>
      <c r="AE11" s="24">
        <v>2045</v>
      </c>
      <c r="AF11" s="24">
        <v>2046</v>
      </c>
      <c r="AG11" s="24">
        <v>2047</v>
      </c>
      <c r="AH11" s="24">
        <v>2048</v>
      </c>
      <c r="AI11" s="24">
        <v>2049</v>
      </c>
      <c r="AJ11" s="24">
        <v>2050</v>
      </c>
      <c r="AK11" s="24">
        <v>2051</v>
      </c>
      <c r="AL11" s="25">
        <v>2052</v>
      </c>
      <c r="AM11" s="10"/>
    </row>
    <row r="12" spans="2:39" ht="15">
      <c r="B12" s="10"/>
      <c r="C12" s="57" t="str">
        <f ca="1">"Stds Case (CSL " &amp; stdCSL &amp; "): " &amp; INDEX(_doName,5,stdCSL+1)</f>
        <v>Stds Case (CSL 5): EL 5</v>
      </c>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3"/>
      <c r="AM12" s="10"/>
    </row>
    <row r="13" spans="2:39" ht="15">
      <c r="B13" s="10"/>
      <c r="C13" s="16" t="s">
        <v>94</v>
      </c>
      <c r="D13" s="12" t="str">
        <f>_yearDol &amp; "$"</f>
        <v>2015$</v>
      </c>
      <c r="E13" s="13">
        <f t="array" aca="1" ref="E13:AL13" ca="1">tecsU-tiecU</f>
        <v>0</v>
      </c>
      <c r="F13" s="13">
        <f ca="1"/>
        <v>0</v>
      </c>
      <c r="G13" s="13">
        <f ca="1"/>
        <v>0</v>
      </c>
      <c r="H13" s="13">
        <f ca="1"/>
        <v>1304.9160722025936</v>
      </c>
      <c r="I13" s="13">
        <f ca="1"/>
        <v>1319.5562748162938</v>
      </c>
      <c r="J13" s="13">
        <f ca="1"/>
        <v>1334.2906525373492</v>
      </c>
      <c r="K13" s="13">
        <f ca="1"/>
        <v>1349.1198254938045</v>
      </c>
      <c r="L13" s="13">
        <f ca="1"/>
        <v>1364.0444179995302</v>
      </c>
      <c r="M13" s="13">
        <f ca="1"/>
        <v>1379.0650585831372</v>
      </c>
      <c r="N13" s="13">
        <f ca="1"/>
        <v>1394.1823800173024</v>
      </c>
      <c r="O13" s="13">
        <f ca="1"/>
        <v>1409.3970193479672</v>
      </c>
      <c r="P13" s="13">
        <f ca="1"/>
        <v>1424.7096179240161</v>
      </c>
      <c r="Q13" s="13">
        <f ca="1"/>
        <v>1440.1208214271337</v>
      </c>
      <c r="R13" s="13">
        <f ca="1"/>
        <v>1455.6312799016941</v>
      </c>
      <c r="S13" s="13">
        <f ca="1"/>
        <v>1471.2416477850729</v>
      </c>
      <c r="T13" s="13">
        <f ca="1"/>
        <v>1486.952583938013</v>
      </c>
      <c r="U13" s="13">
        <f ca="1"/>
        <v>1502.7647516753841</v>
      </c>
      <c r="V13" s="13">
        <f ca="1"/>
        <v>1518.6788187969414</v>
      </c>
      <c r="W13" s="13">
        <f ca="1"/>
        <v>1534.6954576184235</v>
      </c>
      <c r="X13" s="13">
        <f ca="1"/>
        <v>1550.8153450030022</v>
      </c>
      <c r="Y13" s="13">
        <f ca="1"/>
        <v>1567.0391623926389</v>
      </c>
      <c r="Z13" s="13">
        <f ca="1"/>
        <v>1583.367595839949</v>
      </c>
      <c r="AA13" s="13">
        <f ca="1"/>
        <v>1599.801336040151</v>
      </c>
      <c r="AB13" s="13">
        <f ca="1"/>
        <v>1616.3410783632698</v>
      </c>
      <c r="AC13" s="13">
        <f ca="1"/>
        <v>1632.9875228865694</v>
      </c>
      <c r="AD13" s="13">
        <f ca="1"/>
        <v>1649.7413744273053</v>
      </c>
      <c r="AE13" s="13">
        <f ca="1"/>
        <v>1666.6033425754813</v>
      </c>
      <c r="AF13" s="13">
        <f ca="1"/>
        <v>1683.5741417271074</v>
      </c>
      <c r="AG13" s="13">
        <f ca="1"/>
        <v>1700.6544911174769</v>
      </c>
      <c r="AH13" s="13">
        <f ca="1"/>
        <v>1717.8451148549193</v>
      </c>
      <c r="AI13" s="13">
        <f ca="1"/>
        <v>1735.1467419544369</v>
      </c>
      <c r="AJ13" s="13">
        <f ca="1"/>
        <v>1752.560106371986</v>
      </c>
      <c r="AK13" s="13">
        <f ca="1"/>
        <v>1770.0859470386986</v>
      </c>
      <c r="AL13" s="56">
        <f ca="1"/>
        <v>1787.7250078955058</v>
      </c>
      <c r="AM13" s="10"/>
    </row>
    <row r="14" spans="2:39" ht="15">
      <c r="B14" s="10"/>
      <c r="C14" s="16" t="s">
        <v>95</v>
      </c>
      <c r="D14" s="12" t="str">
        <f>_yearDol &amp; "$"</f>
        <v>2015$</v>
      </c>
      <c r="E14" s="13">
        <f t="array" ref="E14:AL14">tlccQmPol-tlccQmBC</f>
        <v>0</v>
      </c>
      <c r="F14" s="13">
        <v>0</v>
      </c>
      <c r="G14" s="13">
        <v>0</v>
      </c>
      <c r="H14" s="13">
        <f ca="1"/>
        <v>1019.5067980348267</v>
      </c>
      <c r="I14" s="13">
        <f ca="1"/>
        <v>1019.5067980348267</v>
      </c>
      <c r="J14" s="13">
        <f ca="1"/>
        <v>1019.5067980348267</v>
      </c>
      <c r="K14" s="13">
        <f ca="1"/>
        <v>1019.5067980348267</v>
      </c>
      <c r="L14" s="13">
        <f ca="1"/>
        <v>1019.5067980348267</v>
      </c>
      <c r="M14" s="13">
        <f ca="1"/>
        <v>1019.5067980348267</v>
      </c>
      <c r="N14" s="13">
        <f ca="1"/>
        <v>1019.5067980348267</v>
      </c>
      <c r="O14" s="13">
        <f ca="1"/>
        <v>1019.5067980348267</v>
      </c>
      <c r="P14" s="13">
        <f ca="1"/>
        <v>1019.5067980348267</v>
      </c>
      <c r="Q14" s="13">
        <f ca="1"/>
        <v>1019.5067980348267</v>
      </c>
      <c r="R14" s="13">
        <f ca="1"/>
        <v>1019.5067980348267</v>
      </c>
      <c r="S14" s="13">
        <f ca="1"/>
        <v>1019.5067980348267</v>
      </c>
      <c r="T14" s="13">
        <f ca="1"/>
        <v>1019.5067980348267</v>
      </c>
      <c r="U14" s="13">
        <f ca="1"/>
        <v>1019.5067980348267</v>
      </c>
      <c r="V14" s="13">
        <f ca="1"/>
        <v>1019.5067980348267</v>
      </c>
      <c r="W14" s="13">
        <f ca="1"/>
        <v>1019.5067980348267</v>
      </c>
      <c r="X14" s="13">
        <f ca="1"/>
        <v>1019.5067980348267</v>
      </c>
      <c r="Y14" s="13">
        <f ca="1"/>
        <v>1019.5067980348267</v>
      </c>
      <c r="Z14" s="13">
        <f ca="1"/>
        <v>1019.5067980348267</v>
      </c>
      <c r="AA14" s="13">
        <f ca="1"/>
        <v>1019.5067980348267</v>
      </c>
      <c r="AB14" s="13">
        <f ca="1"/>
        <v>1019.5067980348267</v>
      </c>
      <c r="AC14" s="13">
        <f ca="1"/>
        <v>1019.5067980348267</v>
      </c>
      <c r="AD14" s="13">
        <f ca="1"/>
        <v>1019.5067980348267</v>
      </c>
      <c r="AE14" s="13">
        <f ca="1"/>
        <v>1019.5067980348267</v>
      </c>
      <c r="AF14" s="13">
        <f ca="1"/>
        <v>1019.5067980348267</v>
      </c>
      <c r="AG14" s="13">
        <f ca="1"/>
        <v>1019.5067980348267</v>
      </c>
      <c r="AH14" s="13">
        <f ca="1"/>
        <v>1019.5067980348267</v>
      </c>
      <c r="AI14" s="13">
        <f ca="1"/>
        <v>1019.5067980348267</v>
      </c>
      <c r="AJ14" s="13">
        <f ca="1"/>
        <v>1019.5067980348267</v>
      </c>
      <c r="AK14" s="13">
        <f ca="1"/>
        <v>1019.5067980348267</v>
      </c>
      <c r="AL14" s="56">
        <f ca="1"/>
        <v>1019.5067980348267</v>
      </c>
      <c r="AM14" s="10"/>
    </row>
    <row r="15" spans="2:39" ht="15">
      <c r="B15" s="10"/>
      <c r="C15" s="16" t="str">
        <f>zEO&amp;" Costs Savings"</f>
        <v>Operating Costs Savings</v>
      </c>
      <c r="D15" s="12" t="str">
        <f>_yearDol &amp; "$"</f>
        <v>2015$</v>
      </c>
      <c r="E15" s="13">
        <f t="array" aca="1" ref="E15:AL15" ca="1">tlccEmBC-tlccEmPol</f>
        <v>0</v>
      </c>
      <c r="F15" s="13">
        <f ca="1"/>
        <v>0</v>
      </c>
      <c r="G15" s="13">
        <f ca="1"/>
        <v>0</v>
      </c>
      <c r="H15" s="13">
        <f ca="1"/>
        <v>2324.4228702374203</v>
      </c>
      <c r="I15" s="13">
        <f ca="1"/>
        <v>2339.0630728511205</v>
      </c>
      <c r="J15" s="13">
        <f ca="1"/>
        <v>2353.7974505721759</v>
      </c>
      <c r="K15" s="13">
        <f ca="1"/>
        <v>2368.6266235286312</v>
      </c>
      <c r="L15" s="13">
        <f ca="1"/>
        <v>2383.5512160343569</v>
      </c>
      <c r="M15" s="13">
        <f ca="1"/>
        <v>2398.5718566179639</v>
      </c>
      <c r="N15" s="13">
        <f ca="1"/>
        <v>2413.6891780521291</v>
      </c>
      <c r="O15" s="13">
        <f ca="1"/>
        <v>2428.9038173827939</v>
      </c>
      <c r="P15" s="13">
        <f ca="1"/>
        <v>2444.2164159588428</v>
      </c>
      <c r="Q15" s="13">
        <f ca="1"/>
        <v>2459.6276194619604</v>
      </c>
      <c r="R15" s="13">
        <f ca="1"/>
        <v>2475.1380779365209</v>
      </c>
      <c r="S15" s="13">
        <f ca="1"/>
        <v>2490.7484458198996</v>
      </c>
      <c r="T15" s="13">
        <f ca="1"/>
        <v>2506.4593819728398</v>
      </c>
      <c r="U15" s="13">
        <f ca="1"/>
        <v>2522.2715497102108</v>
      </c>
      <c r="V15" s="13">
        <f ca="1"/>
        <v>2538.1856168317681</v>
      </c>
      <c r="W15" s="13">
        <f ca="1"/>
        <v>2554.2022556532502</v>
      </c>
      <c r="X15" s="13">
        <f ca="1"/>
        <v>2570.3221430378289</v>
      </c>
      <c r="Y15" s="13">
        <f ca="1"/>
        <v>2586.5459604274656</v>
      </c>
      <c r="Z15" s="13">
        <f ca="1"/>
        <v>2602.8743938747757</v>
      </c>
      <c r="AA15" s="13">
        <f ca="1"/>
        <v>2619.3081340749777</v>
      </c>
      <c r="AB15" s="13">
        <f ca="1"/>
        <v>2635.8478763980966</v>
      </c>
      <c r="AC15" s="13">
        <f ca="1"/>
        <v>2652.4943209213961</v>
      </c>
      <c r="AD15" s="13">
        <f ca="1"/>
        <v>2669.2481724621321</v>
      </c>
      <c r="AE15" s="13">
        <f ca="1"/>
        <v>2686.110140610308</v>
      </c>
      <c r="AF15" s="13">
        <f ca="1"/>
        <v>2703.0809397619341</v>
      </c>
      <c r="AG15" s="13">
        <f ca="1"/>
        <v>2720.1612891523037</v>
      </c>
      <c r="AH15" s="13">
        <f ca="1"/>
        <v>2737.351912889746</v>
      </c>
      <c r="AI15" s="13">
        <f ca="1"/>
        <v>2754.6535399892637</v>
      </c>
      <c r="AJ15" s="13">
        <f ca="1"/>
        <v>2772.0669044068127</v>
      </c>
      <c r="AK15" s="13">
        <f ca="1"/>
        <v>2789.5927450735253</v>
      </c>
      <c r="AL15" s="56">
        <f ca="1"/>
        <v>2807.2318059303325</v>
      </c>
      <c r="AM15" s="10"/>
    </row>
    <row r="16" spans="2:39" ht="15">
      <c r="B16" s="10"/>
      <c r="C16" s="16" t="s">
        <v>96</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5"/>
      <c r="AM16" s="10"/>
    </row>
    <row r="17" spans="2:39" ht="15">
      <c r="B17" s="10"/>
      <c r="C17" s="45" t="str">
        <f>INDEX(_fuel,1)</f>
        <v>Electricity</v>
      </c>
      <c r="D17" s="18" t="s">
        <v>83</v>
      </c>
      <c r="E17" s="49">
        <f t="array" aca="1" ref="E17:AL17" ca="1">tlccFmElecBC-tlccFmElecPol</f>
        <v>0</v>
      </c>
      <c r="F17" s="49">
        <f ca="1"/>
        <v>0</v>
      </c>
      <c r="G17" s="49">
        <f ca="1"/>
        <v>0</v>
      </c>
      <c r="H17" s="49">
        <f ca="1"/>
        <v>441.3047608286679</v>
      </c>
      <c r="I17" s="49">
        <f ca="1"/>
        <v>438.90103035901711</v>
      </c>
      <c r="J17" s="49">
        <f ca="1"/>
        <v>437.02478323310606</v>
      </c>
      <c r="K17" s="49">
        <f ca="1"/>
        <v>435.4566634659991</v>
      </c>
      <c r="L17" s="49">
        <f ca="1"/>
        <v>433.87935702297864</v>
      </c>
      <c r="M17" s="49">
        <f ca="1"/>
        <v>432.60798627038548</v>
      </c>
      <c r="N17" s="49">
        <f ca="1"/>
        <v>431.71762349751953</v>
      </c>
      <c r="O17" s="49">
        <f ca="1"/>
        <v>431.05883988815276</v>
      </c>
      <c r="P17" s="49">
        <f ca="1"/>
        <v>430.49834260144644</v>
      </c>
      <c r="Q17" s="49">
        <f ca="1"/>
        <v>430.07863267835091</v>
      </c>
      <c r="R17" s="49">
        <f ca="1"/>
        <v>429.75278422154815</v>
      </c>
      <c r="S17" s="49">
        <f ca="1"/>
        <v>429.68998268625865</v>
      </c>
      <c r="T17" s="49">
        <f ca="1"/>
        <v>429.74691486412758</v>
      </c>
      <c r="U17" s="49">
        <f ca="1"/>
        <v>429.84330425028429</v>
      </c>
      <c r="V17" s="49">
        <f ca="1"/>
        <v>429.9901774183877</v>
      </c>
      <c r="W17" s="49">
        <f ca="1"/>
        <v>430.13078900213486</v>
      </c>
      <c r="X17" s="49">
        <f ca="1"/>
        <v>430.24729949472203</v>
      </c>
      <c r="Y17" s="49">
        <f ca="1"/>
        <v>430.32542820372419</v>
      </c>
      <c r="Z17" s="49">
        <f ca="1"/>
        <v>430.37929544468079</v>
      </c>
      <c r="AA17" s="49">
        <f ca="1"/>
        <v>430.37929544468079</v>
      </c>
      <c r="AB17" s="49">
        <f ca="1"/>
        <v>430.37929544468079</v>
      </c>
      <c r="AC17" s="49">
        <f ca="1"/>
        <v>430.37929544468079</v>
      </c>
      <c r="AD17" s="49">
        <f ca="1"/>
        <v>430.37929544468079</v>
      </c>
      <c r="AE17" s="49">
        <f ca="1"/>
        <v>430.37929544468079</v>
      </c>
      <c r="AF17" s="49">
        <f ca="1"/>
        <v>430.37929544468079</v>
      </c>
      <c r="AG17" s="49">
        <f ca="1"/>
        <v>430.37929544468079</v>
      </c>
      <c r="AH17" s="49">
        <f ca="1"/>
        <v>430.37929544468079</v>
      </c>
      <c r="AI17" s="49">
        <f ca="1"/>
        <v>430.37929544468079</v>
      </c>
      <c r="AJ17" s="49">
        <f ca="1"/>
        <v>430.37929544468079</v>
      </c>
      <c r="AK17" s="49">
        <f ca="1"/>
        <v>430.37929544468079</v>
      </c>
      <c r="AL17" s="50">
        <f ca="1"/>
        <v>430.37929544468079</v>
      </c>
      <c r="AM17" s="10"/>
    </row>
    <row r="18" spans="2:39" ht="15">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2:39" ht="15">
      <c r="B19" s="10"/>
      <c r="C19" s="22" t="s">
        <v>92</v>
      </c>
      <c r="D19" s="23"/>
      <c r="E19" s="24">
        <f t="array" ref="E19:AL19">_yS</f>
        <v>2019</v>
      </c>
      <c r="F19" s="24">
        <v>2020</v>
      </c>
      <c r="G19" s="24">
        <v>2021</v>
      </c>
      <c r="H19" s="24">
        <v>2022</v>
      </c>
      <c r="I19" s="24">
        <v>2023</v>
      </c>
      <c r="J19" s="24">
        <v>2024</v>
      </c>
      <c r="K19" s="24">
        <v>2025</v>
      </c>
      <c r="L19" s="24">
        <v>2026</v>
      </c>
      <c r="M19" s="24">
        <v>2027</v>
      </c>
      <c r="N19" s="24">
        <v>2028</v>
      </c>
      <c r="O19" s="24">
        <v>2029</v>
      </c>
      <c r="P19" s="24">
        <v>2030</v>
      </c>
      <c r="Q19" s="24">
        <v>2031</v>
      </c>
      <c r="R19" s="24">
        <v>2032</v>
      </c>
      <c r="S19" s="24">
        <v>2033</v>
      </c>
      <c r="T19" s="24">
        <v>2034</v>
      </c>
      <c r="U19" s="24">
        <v>2035</v>
      </c>
      <c r="V19" s="24">
        <v>2036</v>
      </c>
      <c r="W19" s="24">
        <v>2037</v>
      </c>
      <c r="X19" s="24">
        <v>2038</v>
      </c>
      <c r="Y19" s="24">
        <v>2039</v>
      </c>
      <c r="Z19" s="24">
        <v>2040</v>
      </c>
      <c r="AA19" s="24">
        <v>2041</v>
      </c>
      <c r="AB19" s="24">
        <v>2042</v>
      </c>
      <c r="AC19" s="24">
        <v>2043</v>
      </c>
      <c r="AD19" s="24">
        <v>2044</v>
      </c>
      <c r="AE19" s="24">
        <v>2045</v>
      </c>
      <c r="AF19" s="24">
        <v>2046</v>
      </c>
      <c r="AG19" s="24">
        <v>2047</v>
      </c>
      <c r="AH19" s="24">
        <v>2048</v>
      </c>
      <c r="AI19" s="24">
        <v>2049</v>
      </c>
      <c r="AJ19" s="24">
        <v>2050</v>
      </c>
      <c r="AK19" s="24">
        <v>2051</v>
      </c>
      <c r="AL19" s="25">
        <v>2052</v>
      </c>
      <c r="AM19" s="10"/>
    </row>
    <row r="20" spans="2:39" ht="15">
      <c r="B20" s="10"/>
      <c r="C20" s="27" t="str">
        <f>"No-Stds Case (CSL 0): " &amp; INDEX(_doName,5,1)</f>
        <v>No-Stds Case (CSL 0): EL 4</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5"/>
      <c r="AM20" s="10"/>
    </row>
    <row r="21" spans="2:39" ht="15">
      <c r="B21" s="10"/>
      <c r="C21" s="16" t="s">
        <v>69</v>
      </c>
      <c r="D21" s="12" t="str">
        <f>_yearDol &amp; "$"</f>
        <v>2015$</v>
      </c>
      <c r="E21" s="13">
        <f>SUMPRODUCT(INDEX(bcEff,,1),INDEX(tlccQubc,,1))</f>
        <v>3608.8670903738011</v>
      </c>
      <c r="F21" s="13">
        <f>SUMPRODUCT(INDEX(bcEff,,2),INDEX(tlccQubc,,2))</f>
        <v>3608.8670903738011</v>
      </c>
      <c r="G21" s="13">
        <f>SUMPRODUCT(INDEX(bcEff,,3),INDEX(tlccQubc,,3))</f>
        <v>3608.8670903738011</v>
      </c>
      <c r="H21" s="13">
        <f>SUMPRODUCT(INDEX(bcEff,,4),INDEX(tlccQubc,,4))</f>
        <v>3608.8670903738011</v>
      </c>
      <c r="I21" s="13">
        <f>SUMPRODUCT(INDEX(bcEff,,5),INDEX(tlccQubc,,5))</f>
        <v>3608.8670903738011</v>
      </c>
      <c r="J21" s="13">
        <f>SUMPRODUCT(INDEX(bcEff,,6),INDEX(tlccQubc,,6))</f>
        <v>3608.8670903738011</v>
      </c>
      <c r="K21" s="13">
        <f>SUMPRODUCT(INDEX(bcEff,,7),INDEX(tlccQubc,,7))</f>
        <v>3608.8670903738011</v>
      </c>
      <c r="L21" s="13">
        <f>SUMPRODUCT(INDEX(bcEff,,8),INDEX(tlccQubc,,8))</f>
        <v>3608.8670903738011</v>
      </c>
      <c r="M21" s="13">
        <f>SUMPRODUCT(INDEX(bcEff,,9),INDEX(tlccQubc,,9))</f>
        <v>3608.8670903738011</v>
      </c>
      <c r="N21" s="13">
        <f>SUMPRODUCT(INDEX(bcEff,,10),INDEX(tlccQubc,,10))</f>
        <v>3608.8670903738011</v>
      </c>
      <c r="O21" s="13">
        <f>SUMPRODUCT(INDEX(bcEff,,11),INDEX(tlccQubc,,11))</f>
        <v>3608.8670903738011</v>
      </c>
      <c r="P21" s="13">
        <f>SUMPRODUCT(INDEX(bcEff,,12),INDEX(tlccQubc,,12))</f>
        <v>3608.8670903738011</v>
      </c>
      <c r="Q21" s="13">
        <f>SUMPRODUCT(INDEX(bcEff,,13),INDEX(tlccQubc,,13))</f>
        <v>3608.8670903738011</v>
      </c>
      <c r="R21" s="13">
        <f>SUMPRODUCT(INDEX(bcEff,,14),INDEX(tlccQubc,,14))</f>
        <v>3608.8670903738011</v>
      </c>
      <c r="S21" s="13">
        <f>SUMPRODUCT(INDEX(bcEff,,15),INDEX(tlccQubc,,15))</f>
        <v>3608.8670903738011</v>
      </c>
      <c r="T21" s="13">
        <f>SUMPRODUCT(INDEX(bcEff,,16),INDEX(tlccQubc,,16))</f>
        <v>3608.8670903738011</v>
      </c>
      <c r="U21" s="13">
        <f>SUMPRODUCT(INDEX(bcEff,,17),INDEX(tlccQubc,,17))</f>
        <v>3608.8670903738011</v>
      </c>
      <c r="V21" s="13">
        <f>SUMPRODUCT(INDEX(bcEff,,18),INDEX(tlccQubc,,18))</f>
        <v>3608.8670903738011</v>
      </c>
      <c r="W21" s="13">
        <f>SUMPRODUCT(INDEX(bcEff,,19),INDEX(tlccQubc,,19))</f>
        <v>3608.8670903738011</v>
      </c>
      <c r="X21" s="13">
        <f>SUMPRODUCT(INDEX(bcEff,,20),INDEX(tlccQubc,,20))</f>
        <v>3608.8670903738011</v>
      </c>
      <c r="Y21" s="13">
        <f>SUMPRODUCT(INDEX(bcEff,,21),INDEX(tlccQubc,,21))</f>
        <v>3608.8670903738011</v>
      </c>
      <c r="Z21" s="13">
        <f>SUMPRODUCT(INDEX(bcEff,,22),INDEX(tlccQubc,,22))</f>
        <v>3608.8670903738011</v>
      </c>
      <c r="AA21" s="13">
        <f>SUMPRODUCT(INDEX(bcEff,,23),INDEX(tlccQubc,,23))</f>
        <v>3608.8670903738011</v>
      </c>
      <c r="AB21" s="13">
        <f>SUMPRODUCT(INDEX(bcEff,,24),INDEX(tlccQubc,,24))</f>
        <v>3608.8670903738011</v>
      </c>
      <c r="AC21" s="13">
        <f>SUMPRODUCT(INDEX(bcEff,,25),INDEX(tlccQubc,,25))</f>
        <v>3608.8670903738011</v>
      </c>
      <c r="AD21" s="13">
        <f>SUMPRODUCT(INDEX(bcEff,,26),INDEX(tlccQubc,,26))</f>
        <v>3608.8670903738011</v>
      </c>
      <c r="AE21" s="13">
        <f>SUMPRODUCT(INDEX(bcEff,,27),INDEX(tlccQubc,,27))</f>
        <v>3608.8670903738011</v>
      </c>
      <c r="AF21" s="13">
        <f>SUMPRODUCT(INDEX(bcEff,,28),INDEX(tlccQubc,,28))</f>
        <v>3608.8670903738011</v>
      </c>
      <c r="AG21" s="13">
        <f>SUMPRODUCT(INDEX(bcEff,,29),INDEX(tlccQubc,,29))</f>
        <v>3608.8670903738011</v>
      </c>
      <c r="AH21" s="13">
        <f>SUMPRODUCT(INDEX(bcEff,,30),INDEX(tlccQubc,,30))</f>
        <v>3608.8670903738011</v>
      </c>
      <c r="AI21" s="13">
        <f>SUMPRODUCT(INDEX(bcEff,,31),INDEX(tlccQubc,,31))</f>
        <v>3608.8670903738011</v>
      </c>
      <c r="AJ21" s="13">
        <f>SUMPRODUCT(INDEX(bcEff,,32),INDEX(tlccQubc,,32))</f>
        <v>3608.8670903738011</v>
      </c>
      <c r="AK21" s="13">
        <f>SUMPRODUCT(INDEX(bcEff,,33),INDEX(tlccQubc,,33))</f>
        <v>3608.8670903738011</v>
      </c>
      <c r="AL21" s="56">
        <f>SUMPRODUCT(INDEX(bcEff,,34),INDEX(tlccQubc,,34))</f>
        <v>3608.8670903738011</v>
      </c>
      <c r="AM21" s="10"/>
    </row>
    <row r="22" spans="2:39" ht="15">
      <c r="B22" s="10"/>
      <c r="C22" s="16" t="str">
        <f>zEO&amp;" Costs"</f>
        <v>Operating Costs</v>
      </c>
      <c r="D22" s="12" t="str">
        <f>_yearDol &amp; "$"</f>
        <v>2015$</v>
      </c>
      <c r="E22" s="13">
        <f ca="1">SUMPRODUCT(INDEX(bcEff,,1),INDEX(tlccEubc,,1))</f>
        <v>22896.064077169405</v>
      </c>
      <c r="F22" s="13">
        <f ca="1">SUMPRODUCT(INDEX(bcEff,,2),INDEX(tlccEubc,,2))</f>
        <v>23082.979391797049</v>
      </c>
      <c r="G22" s="13">
        <f ca="1">SUMPRODUCT(INDEX(bcEff,,3),INDEX(tlccEubc,,3))</f>
        <v>23264.150915199789</v>
      </c>
      <c r="H22" s="13">
        <f ca="1">SUMPRODUCT(INDEX(bcEff,,4),INDEX(tlccEubc,,4))</f>
        <v>23427.203244202414</v>
      </c>
      <c r="I22" s="13">
        <f ca="1">SUMPRODUCT(INDEX(bcEff,,5),INDEX(tlccEubc,,5))</f>
        <v>23574.757721728416</v>
      </c>
      <c r="J22" s="13">
        <f ca="1">SUMPRODUCT(INDEX(bcEff,,6),INDEX(tlccEubc,,6))</f>
        <v>23723.261363629372</v>
      </c>
      <c r="K22" s="13">
        <f ca="1">SUMPRODUCT(INDEX(bcEff,,7),INDEX(tlccEubc,,7))</f>
        <v>23872.720420001024</v>
      </c>
      <c r="L22" s="13">
        <f ca="1">SUMPRODUCT(INDEX(bcEff,,8),INDEX(tlccEubc,,8))</f>
        <v>24023.14118312686</v>
      </c>
      <c r="M22" s="13">
        <f ca="1">SUMPRODUCT(INDEX(bcEff,,9),INDEX(tlccEubc,,9))</f>
        <v>24174.529987770078</v>
      </c>
      <c r="N22" s="13">
        <f ca="1">SUMPRODUCT(INDEX(bcEff,,10),INDEX(tlccEubc,,10))</f>
        <v>24326.893211467694</v>
      </c>
      <c r="O22" s="13">
        <f ca="1">SUMPRODUCT(INDEX(bcEff,,11),INDEX(tlccEubc,,11))</f>
        <v>24480.23727482653</v>
      </c>
      <c r="P22" s="13">
        <f ca="1">SUMPRODUCT(INDEX(bcEff,,12),INDEX(tlccEubc,,12))</f>
        <v>24634.568641821574</v>
      </c>
      <c r="Q22" s="13">
        <f ca="1">SUMPRODUCT(INDEX(bcEff,,13),INDEX(tlccEubc,,13))</f>
        <v>24789.893820096218</v>
      </c>
      <c r="R22" s="13">
        <f ca="1">SUMPRODUCT(INDEX(bcEff,,14),INDEX(tlccEubc,,14))</f>
        <v>24946.219361264742</v>
      </c>
      <c r="S22" s="13">
        <f ca="1">SUMPRODUCT(INDEX(bcEff,,15),INDEX(tlccEubc,,15))</f>
        <v>25103.551861216973</v>
      </c>
      <c r="T22" s="13">
        <f ca="1">SUMPRODUCT(INDEX(bcEff,,16),INDEX(tlccEubc,,16))</f>
        <v>25261.897960424962</v>
      </c>
      <c r="U22" s="13">
        <f ca="1">SUMPRODUCT(INDEX(bcEff,,17),INDEX(tlccEubc,,17))</f>
        <v>25421.26434425202</v>
      </c>
      <c r="V22" s="13">
        <f ca="1">SUMPRODUCT(INDEX(bcEff,,18),INDEX(tlccEubc,,18))</f>
        <v>25581.657743263841</v>
      </c>
      <c r="W22" s="13">
        <f ca="1">SUMPRODUCT(INDEX(bcEff,,19),INDEX(tlccEubc,,19))</f>
        <v>25743.084933541777</v>
      </c>
      <c r="X22" s="13">
        <f ca="1">SUMPRODUCT(INDEX(bcEff,,20),INDEX(tlccEubc,,20))</f>
        <v>25905.552736998554</v>
      </c>
      <c r="Y22" s="13">
        <f ca="1">SUMPRODUCT(INDEX(bcEff,,21),INDEX(tlccEubc,,21))</f>
        <v>26069.068021695904</v>
      </c>
      <c r="Z22" s="13">
        <f ca="1">SUMPRODUCT(INDEX(bcEff,,22),INDEX(tlccEubc,,22))</f>
        <v>26233.637702164811</v>
      </c>
      <c r="AA22" s="13">
        <f ca="1">SUMPRODUCT(INDEX(bcEff,,23),INDEX(tlccEubc,,23))</f>
        <v>26399.268739727755</v>
      </c>
      <c r="AB22" s="13">
        <f ca="1">SUMPRODUCT(INDEX(bcEff,,24),INDEX(tlccEubc,,24))</f>
        <v>26565.968142823334</v>
      </c>
      <c r="AC22" s="13">
        <f ca="1">SUMPRODUCT(INDEX(bcEff,,25),INDEX(tlccEubc,,25))</f>
        <v>26733.742967333299</v>
      </c>
      <c r="AD22" s="13">
        <f ca="1">SUMPRODUCT(INDEX(bcEff,,26),INDEX(tlccEubc,,26))</f>
        <v>26902.600316911736</v>
      </c>
      <c r="AE22" s="13">
        <f ca="1">SUMPRODUCT(INDEX(bcEff,,27),INDEX(tlccEubc,,27))</f>
        <v>27072.547343316688</v>
      </c>
      <c r="AF22" s="13">
        <f ca="1">SUMPRODUCT(INDEX(bcEff,,28),INDEX(tlccEubc,,28))</f>
        <v>27243.591246744152</v>
      </c>
      <c r="AG22" s="13">
        <f ca="1">SUMPRODUCT(INDEX(bcEff,,29),INDEX(tlccEubc,,29))</f>
        <v>27415.73927616435</v>
      </c>
      <c r="AH22" s="13">
        <f ca="1">SUMPRODUCT(INDEX(bcEff,,30),INDEX(tlccEubc,,30))</f>
        <v>27588.99872966051</v>
      </c>
      <c r="AI22" s="13">
        <f ca="1">SUMPRODUCT(INDEX(bcEff,,31),INDEX(tlccEubc,,31))</f>
        <v>27763.376954770018</v>
      </c>
      <c r="AJ22" s="13">
        <f ca="1">SUMPRODUCT(INDEX(bcEff,,32),INDEX(tlccEubc,,32))</f>
        <v>27938.881348827905</v>
      </c>
      <c r="AK22" s="13">
        <f ca="1">SUMPRODUCT(INDEX(bcEff,,33),INDEX(tlccEubc,,33))</f>
        <v>28115.51935931293</v>
      </c>
      <c r="AL22" s="56">
        <f ca="1">SUMPRODUCT(INDEX(bcEff,,34),INDEX(tlccEubc,,34))</f>
        <v>28293.298484196021</v>
      </c>
      <c r="AM22" s="10"/>
    </row>
    <row r="23" spans="2:39" ht="15">
      <c r="B23" s="10"/>
      <c r="C23" s="16" t="s">
        <v>79</v>
      </c>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5"/>
      <c r="AM23" s="10"/>
    </row>
    <row r="24" spans="2:39" ht="15">
      <c r="B24" s="10"/>
      <c r="C24" s="28" t="str">
        <f>INDEX(_fuel,1)</f>
        <v>Electricity</v>
      </c>
      <c r="D24" s="12" t="s">
        <v>83</v>
      </c>
      <c r="E24" s="39">
        <f ca="1">SUMPRODUCT(INDEX(bcEff,,1),INDEX(tlccFubcElec,,1))</f>
        <v>4537.4789266779017</v>
      </c>
      <c r="F24" s="39">
        <f ca="1">SUMPRODUCT(INDEX(bcEff,,2),INDEX(tlccFubcElec,,2))</f>
        <v>4504.5271263575678</v>
      </c>
      <c r="G24" s="39">
        <f ca="1">SUMPRODUCT(INDEX(bcEff,,3),INDEX(tlccFubcElec,,3))</f>
        <v>4475.4375531774185</v>
      </c>
      <c r="H24" s="39">
        <f ca="1">SUMPRODUCT(INDEX(bcEff,,4),INDEX(tlccFubcElec,,4))</f>
        <v>4447.7863546022008</v>
      </c>
      <c r="I24" s="39">
        <f ca="1">SUMPRODUCT(INDEX(bcEff,,5),INDEX(tlccFubcElec,,5))</f>
        <v>4423.5598324070252</v>
      </c>
      <c r="J24" s="39">
        <f ca="1">SUMPRODUCT(INDEX(bcEff,,6),INDEX(tlccFubcElec,,6))</f>
        <v>4404.6496662243253</v>
      </c>
      <c r="K24" s="39">
        <f ca="1">SUMPRODUCT(INDEX(bcEff,,7),INDEX(tlccFubcElec,,7))</f>
        <v>4388.8450288815748</v>
      </c>
      <c r="L24" s="39">
        <f ca="1">SUMPRODUCT(INDEX(bcEff,,8),INDEX(tlccFubcElec,,8))</f>
        <v>4372.9478016204912</v>
      </c>
      <c r="M24" s="39">
        <f ca="1">SUMPRODUCT(INDEX(bcEff,,9),INDEX(tlccFubcElec,,9))</f>
        <v>4360.1340139912645</v>
      </c>
      <c r="N24" s="39">
        <f ca="1">SUMPRODUCT(INDEX(bcEff,,10),INDEX(tlccFubcElec,,10))</f>
        <v>4351.1602984474648</v>
      </c>
      <c r="O24" s="39">
        <f ca="1">SUMPRODUCT(INDEX(bcEff,,11),INDEX(tlccFubcElec,,11))</f>
        <v>4344.5206040492621</v>
      </c>
      <c r="P24" s="39">
        <f ca="1">SUMPRODUCT(INDEX(bcEff,,12),INDEX(tlccFubcElec,,12))</f>
        <v>4338.8715098067187</v>
      </c>
      <c r="Q24" s="39">
        <f ca="1">SUMPRODUCT(INDEX(bcEff,,13),INDEX(tlccFubcElec,,13))</f>
        <v>4334.6413717376608</v>
      </c>
      <c r="R24" s="39">
        <f ca="1">SUMPRODUCT(INDEX(bcEff,,14),INDEX(tlccFubcElec,,14))</f>
        <v>4331.3572369435715</v>
      </c>
      <c r="S24" s="39">
        <f ca="1">SUMPRODUCT(INDEX(bcEff,,15),INDEX(tlccFubcElec,,15))</f>
        <v>4330.7242779626085</v>
      </c>
      <c r="T24" s="39">
        <f ca="1">SUMPRODUCT(INDEX(bcEff,,16),INDEX(tlccFubcElec,,16))</f>
        <v>4331.2980813437243</v>
      </c>
      <c r="U24" s="39">
        <f ca="1">SUMPRODUCT(INDEX(bcEff,,17),INDEX(tlccFubcElec,,17))</f>
        <v>4332.2695628107931</v>
      </c>
      <c r="V24" s="39">
        <f ca="1">SUMPRODUCT(INDEX(bcEff,,18),INDEX(tlccFubcElec,,18))</f>
        <v>4333.7498560931963</v>
      </c>
      <c r="W24" s="39">
        <f ca="1">SUMPRODUCT(INDEX(bcEff,,19),INDEX(tlccFubcElec,,19))</f>
        <v>4335.1670406309531</v>
      </c>
      <c r="X24" s="39">
        <f ca="1">SUMPRODUCT(INDEX(bcEff,,20),INDEX(tlccFubcElec,,20))</f>
        <v>4336.3413170609911</v>
      </c>
      <c r="Y24" s="39">
        <f ca="1">SUMPRODUCT(INDEX(bcEff,,21),INDEX(tlccFubcElec,,21))</f>
        <v>4337.1287543076414</v>
      </c>
      <c r="Z24" s="39">
        <f ca="1">SUMPRODUCT(INDEX(bcEff,,22),INDEX(tlccFubcElec,,22))</f>
        <v>4337.6716670531059</v>
      </c>
      <c r="AA24" s="39">
        <f ca="1">SUMPRODUCT(INDEX(bcEff,,23),INDEX(tlccFubcElec,,23))</f>
        <v>4337.6716670531059</v>
      </c>
      <c r="AB24" s="39">
        <f ca="1">SUMPRODUCT(INDEX(bcEff,,24),INDEX(tlccFubcElec,,24))</f>
        <v>4337.6716670531059</v>
      </c>
      <c r="AC24" s="39">
        <f ca="1">SUMPRODUCT(INDEX(bcEff,,25),INDEX(tlccFubcElec,,25))</f>
        <v>4337.6716670531059</v>
      </c>
      <c r="AD24" s="39">
        <f ca="1">SUMPRODUCT(INDEX(bcEff,,26),INDEX(tlccFubcElec,,26))</f>
        <v>4337.6716670531059</v>
      </c>
      <c r="AE24" s="39">
        <f ca="1">SUMPRODUCT(INDEX(bcEff,,27),INDEX(tlccFubcElec,,27))</f>
        <v>4337.6716670531059</v>
      </c>
      <c r="AF24" s="39">
        <f ca="1">SUMPRODUCT(INDEX(bcEff,,28),INDEX(tlccFubcElec,,28))</f>
        <v>4337.6716670531059</v>
      </c>
      <c r="AG24" s="39">
        <f ca="1">SUMPRODUCT(INDEX(bcEff,,29),INDEX(tlccFubcElec,,29))</f>
        <v>4337.6716670531059</v>
      </c>
      <c r="AH24" s="39">
        <f ca="1">SUMPRODUCT(INDEX(bcEff,,30),INDEX(tlccFubcElec,,30))</f>
        <v>4337.6716670531059</v>
      </c>
      <c r="AI24" s="39">
        <f ca="1">SUMPRODUCT(INDEX(bcEff,,31),INDEX(tlccFubcElec,,31))</f>
        <v>4337.6716670531059</v>
      </c>
      <c r="AJ24" s="39">
        <f ca="1">SUMPRODUCT(INDEX(bcEff,,32),INDEX(tlccFubcElec,,32))</f>
        <v>4337.6716670531059</v>
      </c>
      <c r="AK24" s="39">
        <f ca="1">SUMPRODUCT(INDEX(bcEff,,33),INDEX(tlccFubcElec,,33))</f>
        <v>4337.6716670531059</v>
      </c>
      <c r="AL24" s="40">
        <f ca="1">SUMPRODUCT(INDEX(bcEff,,34),INDEX(tlccFubcElec,,34))</f>
        <v>4337.6716670531059</v>
      </c>
      <c r="AM24" s="10"/>
    </row>
    <row r="25" spans="2:39" ht="15">
      <c r="B25" s="10"/>
      <c r="C25" s="41" t="str">
        <f ca="1">"Stds Case (CSL " &amp; stdCSL &amp; "): " &amp; INDEX(_doName,5,stdCSL+1)</f>
        <v>Stds Case (CSL 5): EL 5</v>
      </c>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3"/>
      <c r="AM25" s="10"/>
    </row>
    <row r="26" spans="2:39" ht="15">
      <c r="B26" s="10"/>
      <c r="C26" s="16" t="s">
        <v>69</v>
      </c>
      <c r="D26" s="12" t="str">
        <f>_yearDol &amp; "$"</f>
        <v>2015$</v>
      </c>
      <c r="E26" s="13">
        <f>SUMPRODUCT(INDEX(polEff,,1),INDEX(IF($E$19&lt;yearC,tlccQubc,tlccQupol),,1))</f>
        <v>3608.8670903738011</v>
      </c>
      <c r="F26" s="13">
        <f>SUMPRODUCT(INDEX(polEff,,2),INDEX(IF($F$19&lt;yearC,tlccQubc,tlccQupol),,2))</f>
        <v>3608.8670903738011</v>
      </c>
      <c r="G26" s="13">
        <f>SUMPRODUCT(INDEX(polEff,,3),INDEX(IF($G$19&lt;yearC,tlccQubc,tlccQupol),,3))</f>
        <v>3608.8670903738011</v>
      </c>
      <c r="H26" s="13">
        <f ca="1">SUMPRODUCT(INDEX(polEff,,4),INDEX(IF($H$19&lt;yearC,tlccQubc,tlccQupol),,4))</f>
        <v>4628.3738884086279</v>
      </c>
      <c r="I26" s="13">
        <f ca="1">SUMPRODUCT(INDEX(polEff,,5),INDEX(IF($I$19&lt;yearC,tlccQubc,tlccQupol),,5))</f>
        <v>4628.3738884086279</v>
      </c>
      <c r="J26" s="13">
        <f ca="1">SUMPRODUCT(INDEX(polEff,,6),INDEX(tlccQupol,,6))</f>
        <v>4628.3738884086279</v>
      </c>
      <c r="K26" s="13">
        <f ca="1">SUMPRODUCT(INDEX(polEff,,7),INDEX(tlccQupol,,7))</f>
        <v>4628.3738884086279</v>
      </c>
      <c r="L26" s="13">
        <f ca="1">SUMPRODUCT(INDEX(polEff,,8),INDEX(tlccQupol,,8))</f>
        <v>4628.3738884086279</v>
      </c>
      <c r="M26" s="13">
        <f ca="1">SUMPRODUCT(INDEX(polEff,,9),INDEX(tlccQupol,,9))</f>
        <v>4628.3738884086279</v>
      </c>
      <c r="N26" s="13">
        <f ca="1">SUMPRODUCT(INDEX(polEff,,10),INDEX(tlccQupol,,10))</f>
        <v>4628.3738884086279</v>
      </c>
      <c r="O26" s="13">
        <f ca="1">SUMPRODUCT(INDEX(polEff,,11),INDEX(tlccQupol,,11))</f>
        <v>4628.3738884086279</v>
      </c>
      <c r="P26" s="13">
        <f ca="1">SUMPRODUCT(INDEX(polEff,,12),INDEX(tlccQupol,,12))</f>
        <v>4628.3738884086279</v>
      </c>
      <c r="Q26" s="13">
        <f ca="1">SUMPRODUCT(INDEX(polEff,,13),INDEX(tlccQupol,,13))</f>
        <v>4628.3738884086279</v>
      </c>
      <c r="R26" s="13">
        <f ca="1">SUMPRODUCT(INDEX(polEff,,14),INDEX(tlccQupol,,14))</f>
        <v>4628.3738884086279</v>
      </c>
      <c r="S26" s="13">
        <f ca="1">SUMPRODUCT(INDEX(polEff,,15),INDEX(tlccQupol,,15))</f>
        <v>4628.3738884086279</v>
      </c>
      <c r="T26" s="13">
        <f ca="1">SUMPRODUCT(INDEX(polEff,,16),INDEX(tlccQupol,,16))</f>
        <v>4628.3738884086279</v>
      </c>
      <c r="U26" s="13">
        <f ca="1">SUMPRODUCT(INDEX(polEff,,17),INDEX(tlccQupol,,17))</f>
        <v>4628.3738884086279</v>
      </c>
      <c r="V26" s="13">
        <f ca="1">SUMPRODUCT(INDEX(polEff,,18),INDEX(tlccQupol,,18))</f>
        <v>4628.3738884086279</v>
      </c>
      <c r="W26" s="13">
        <f ca="1">SUMPRODUCT(INDEX(polEff,,19),INDEX(tlccQupol,,19))</f>
        <v>4628.3738884086279</v>
      </c>
      <c r="X26" s="13">
        <f ca="1">SUMPRODUCT(INDEX(polEff,,20),INDEX(tlccQupol,,20))</f>
        <v>4628.3738884086279</v>
      </c>
      <c r="Y26" s="13">
        <f ca="1">SUMPRODUCT(INDEX(polEff,,21),INDEX(tlccQupol,,21))</f>
        <v>4628.3738884086279</v>
      </c>
      <c r="Z26" s="13">
        <f ca="1">SUMPRODUCT(INDEX(polEff,,22),INDEX(tlccQupol,,22))</f>
        <v>4628.3738884086279</v>
      </c>
      <c r="AA26" s="13">
        <f ca="1">SUMPRODUCT(INDEX(polEff,,23),INDEX(tlccQupol,,23))</f>
        <v>4628.3738884086279</v>
      </c>
      <c r="AB26" s="13">
        <f ca="1">SUMPRODUCT(INDEX(polEff,,24),INDEX(tlccQupol,,24))</f>
        <v>4628.3738884086279</v>
      </c>
      <c r="AC26" s="13">
        <f ca="1">SUMPRODUCT(INDEX(polEff,,25),INDEX(tlccQupol,,25))</f>
        <v>4628.3738884086279</v>
      </c>
      <c r="AD26" s="13">
        <f ca="1">SUMPRODUCT(INDEX(polEff,,26),INDEX(tlccQupol,,26))</f>
        <v>4628.3738884086279</v>
      </c>
      <c r="AE26" s="13">
        <f ca="1">SUMPRODUCT(INDEX(polEff,,27),INDEX(tlccQupol,,27))</f>
        <v>4628.3738884086279</v>
      </c>
      <c r="AF26" s="13">
        <f ca="1">SUMPRODUCT(INDEX(polEff,,28),INDEX(tlccQupol,,28))</f>
        <v>4628.3738884086279</v>
      </c>
      <c r="AG26" s="13">
        <f ca="1">SUMPRODUCT(INDEX(polEff,,29),INDEX(tlccQupol,,29))</f>
        <v>4628.3738884086279</v>
      </c>
      <c r="AH26" s="13">
        <f ca="1">SUMPRODUCT(INDEX(polEff,,30),INDEX(tlccQupol,,30))</f>
        <v>4628.3738884086279</v>
      </c>
      <c r="AI26" s="13">
        <f ca="1">SUMPRODUCT(INDEX(polEff,,31),INDEX(tlccQupol,,31))</f>
        <v>4628.3738884086279</v>
      </c>
      <c r="AJ26" s="13">
        <f ca="1">SUMPRODUCT(INDEX(polEff,,32),INDEX(tlccQupol,,32))</f>
        <v>4628.3738884086279</v>
      </c>
      <c r="AK26" s="13">
        <f ca="1">SUMPRODUCT(INDEX(polEff,,33),INDEX(tlccQupol,,33))</f>
        <v>4628.3738884086279</v>
      </c>
      <c r="AL26" s="56">
        <f ca="1">SUMPRODUCT(INDEX(polEff,,34),INDEX(tlccQupol,,34))</f>
        <v>4628.3738884086279</v>
      </c>
      <c r="AM26" s="10"/>
    </row>
    <row r="27" spans="2:39" ht="15">
      <c r="B27" s="10"/>
      <c r="C27" s="16" t="str">
        <f>zEO&amp;" Costs"</f>
        <v>Operating Costs</v>
      </c>
      <c r="D27" s="12" t="str">
        <f>_yearDol &amp; "$"</f>
        <v>2015$</v>
      </c>
      <c r="E27" s="13">
        <f ca="1">SUMPRODUCT(INDEX(polEff,,1),INDEX(IF($E$19&lt;yearC,tlccEubc,tlccEupol),,1))</f>
        <v>22896.064077169405</v>
      </c>
      <c r="F27" s="13">
        <f ca="1">SUMPRODUCT(INDEX(polEff,,2),INDEX(IF($F$19&lt;yearC,tlccEubc,tlccEupol),,2))</f>
        <v>23082.979391797049</v>
      </c>
      <c r="G27" s="13">
        <f ca="1">SUMPRODUCT(INDEX(polEff,,3),INDEX(IF($G$19&lt;yearC,tlccEubc,tlccEupol),,3))</f>
        <v>23264.150915199789</v>
      </c>
      <c r="H27" s="13">
        <f ca="1">SUMPRODUCT(INDEX(polEff,,4),INDEX(IF($H$19&lt;yearC,tlccEubc,tlccEupol),,4))</f>
        <v>21102.780373964993</v>
      </c>
      <c r="I27" s="13">
        <f ca="1">SUMPRODUCT(INDEX(polEff,,5),INDEX(IF($I$19&lt;yearC,tlccEubc,tlccEupol),,5))</f>
        <v>21235.694648877296</v>
      </c>
      <c r="J27" s="13">
        <f ca="1">SUMPRODUCT(INDEX(polEff,,6),INDEX(tlccEupol,,6))</f>
        <v>21369.463913057196</v>
      </c>
      <c r="K27" s="13">
        <f ca="1">SUMPRODUCT(INDEX(polEff,,7),INDEX(tlccEupol,,7))</f>
        <v>21504.093796472393</v>
      </c>
      <c r="L27" s="13">
        <f ca="1">SUMPRODUCT(INDEX(polEff,,8),INDEX(tlccEupol,,8))</f>
        <v>21639.589967092503</v>
      </c>
      <c r="M27" s="13">
        <f ca="1">SUMPRODUCT(INDEX(polEff,,9),INDEX(tlccEupol,,9))</f>
        <v>21775.958131152114</v>
      </c>
      <c r="N27" s="13">
        <f ca="1">SUMPRODUCT(INDEX(polEff,,10),INDEX(tlccEupol,,10))</f>
        <v>21913.204033415564</v>
      </c>
      <c r="O27" s="13">
        <f ca="1">SUMPRODUCT(INDEX(polEff,,11),INDEX(tlccEupol,,11))</f>
        <v>22051.333457443736</v>
      </c>
      <c r="P27" s="13">
        <f ca="1">SUMPRODUCT(INDEX(polEff,,12),INDEX(tlccEupol,,12))</f>
        <v>22190.352225862731</v>
      </c>
      <c r="Q27" s="13">
        <f ca="1">SUMPRODUCT(INDEX(polEff,,13),INDEX(tlccEupol,,13))</f>
        <v>22330.266200634258</v>
      </c>
      <c r="R27" s="13">
        <f ca="1">SUMPRODUCT(INDEX(polEff,,14),INDEX(tlccEupol,,14))</f>
        <v>22471.081283328222</v>
      </c>
      <c r="S27" s="13">
        <f ca="1">SUMPRODUCT(INDEX(polEff,,15),INDEX(tlccEupol,,15))</f>
        <v>22612.803415397073</v>
      </c>
      <c r="T27" s="13">
        <f ca="1">SUMPRODUCT(INDEX(polEff,,16),INDEX(tlccEupol,,16))</f>
        <v>22755.438578452122</v>
      </c>
      <c r="U27" s="13">
        <f ca="1">SUMPRODUCT(INDEX(polEff,,17),INDEX(tlccEupol,,17))</f>
        <v>22898.992794541809</v>
      </c>
      <c r="V27" s="13">
        <f ca="1">SUMPRODUCT(INDEX(polEff,,18),INDEX(tlccEupol,,18))</f>
        <v>23043.472126432072</v>
      </c>
      <c r="W27" s="13">
        <f ca="1">SUMPRODUCT(INDEX(polEff,,19),INDEX(tlccEupol,,19))</f>
        <v>23188.882677888527</v>
      </c>
      <c r="X27" s="13">
        <f ca="1">SUMPRODUCT(INDEX(polEff,,20),INDEX(tlccEupol,,20))</f>
        <v>23335.230593960725</v>
      </c>
      <c r="Y27" s="13">
        <f ca="1">SUMPRODUCT(INDEX(polEff,,21),INDEX(tlccEupol,,21))</f>
        <v>23482.522061268439</v>
      </c>
      <c r="Z27" s="13">
        <f ca="1">SUMPRODUCT(INDEX(polEff,,22),INDEX(tlccEupol,,22))</f>
        <v>23630.763308290036</v>
      </c>
      <c r="AA27" s="13">
        <f ca="1">SUMPRODUCT(INDEX(polEff,,23),INDEX(tlccEupol,,23))</f>
        <v>23779.960605652777</v>
      </c>
      <c r="AB27" s="13">
        <f ca="1">SUMPRODUCT(INDEX(polEff,,24),INDEX(tlccEupol,,24))</f>
        <v>23930.120266425238</v>
      </c>
      <c r="AC27" s="13">
        <f ca="1">SUMPRODUCT(INDEX(polEff,,25),INDEX(tlccEupol,,25))</f>
        <v>24081.248646411903</v>
      </c>
      <c r="AD27" s="13">
        <f ca="1">SUMPRODUCT(INDEX(polEff,,26),INDEX(tlccEupol,,26))</f>
        <v>24233.352144449604</v>
      </c>
      <c r="AE27" s="13">
        <f ca="1">SUMPRODUCT(INDEX(polEff,,27),INDEX(tlccEupol,,27))</f>
        <v>24386.43720270638</v>
      </c>
      <c r="AF27" s="13">
        <f ca="1">SUMPRODUCT(INDEX(polEff,,28),INDEX(tlccEupol,,28))</f>
        <v>24540.510306982218</v>
      </c>
      <c r="AG27" s="13">
        <f ca="1">SUMPRODUCT(INDEX(polEff,,29),INDEX(tlccEupol,,29))</f>
        <v>24695.577987012046</v>
      </c>
      <c r="AH27" s="13">
        <f ca="1">SUMPRODUCT(INDEX(polEff,,30),INDEX(tlccEupol,,30))</f>
        <v>24851.646816770764</v>
      </c>
      <c r="AI27" s="13">
        <f ca="1">SUMPRODUCT(INDEX(polEff,,31),INDEX(tlccEupol,,31))</f>
        <v>25008.723414780754</v>
      </c>
      <c r="AJ27" s="13">
        <f ca="1">SUMPRODUCT(INDEX(polEff,,32),INDEX(tlccEupol,,32))</f>
        <v>25166.814444421092</v>
      </c>
      <c r="AK27" s="13">
        <f ca="1">SUMPRODUCT(INDEX(polEff,,33),INDEX(tlccEupol,,33))</f>
        <v>25325.926614239404</v>
      </c>
      <c r="AL27" s="56">
        <f ca="1">SUMPRODUCT(INDEX(polEff,,34),INDEX(tlccEupol,,34))</f>
        <v>25486.066678265688</v>
      </c>
      <c r="AM27" s="10"/>
    </row>
    <row r="28" spans="2:39" ht="15">
      <c r="B28" s="10"/>
      <c r="C28" s="16" t="s">
        <v>79</v>
      </c>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5"/>
      <c r="AM28" s="10"/>
    </row>
    <row r="29" spans="2:39" ht="15">
      <c r="B29" s="10"/>
      <c r="C29" s="45" t="str">
        <f>INDEX(_fuel,1)</f>
        <v>Electricity</v>
      </c>
      <c r="D29" s="18" t="s">
        <v>83</v>
      </c>
      <c r="E29" s="49">
        <f ca="1">SUMPRODUCT(INDEX(polEff,,1),INDEX(IF($E$19&lt;yearC,tlccFubcElec,tlccFupolElec),,1))</f>
        <v>4537.4789266779017</v>
      </c>
      <c r="F29" s="49">
        <f ca="1">SUMPRODUCT(INDEX(polEff,,2),INDEX(IF($F$19&lt;yearC,tlccFubcElec,tlccFupolElec),,2))</f>
        <v>4504.5271263575678</v>
      </c>
      <c r="G29" s="49">
        <f ca="1">SUMPRODUCT(INDEX(polEff,,3),INDEX(IF($G$19&lt;yearC,tlccFubcElec,tlccFupolElec),,3))</f>
        <v>4475.4375531774185</v>
      </c>
      <c r="H29" s="49">
        <f ca="1">SUMPRODUCT(INDEX(polEff,,4),INDEX(IF($H$19&lt;yearC,tlccFubcElec,tlccFupolElec),,4))</f>
        <v>4006.4815937735329</v>
      </c>
      <c r="I29" s="49">
        <f ca="1">SUMPRODUCT(INDEX(polEff,,5),INDEX(IF($I$19&lt;yearC,tlccFubcElec,tlccFupolElec),,5))</f>
        <v>3984.6588020480081</v>
      </c>
      <c r="J29" s="49">
        <f ca="1">SUMPRODUCT(INDEX(polEff,,6),INDEX(tlccFupolElec,,6))</f>
        <v>3967.6248829912192</v>
      </c>
      <c r="K29" s="49">
        <f ca="1">SUMPRODUCT(INDEX(polEff,,7),INDEX(tlccFupolElec,,7))</f>
        <v>3953.3883654155757</v>
      </c>
      <c r="L29" s="49">
        <f ca="1">SUMPRODUCT(INDEX(polEff,,8),INDEX(tlccFupolElec,,8))</f>
        <v>3939.0684445975126</v>
      </c>
      <c r="M29" s="49">
        <f ca="1">SUMPRODUCT(INDEX(polEff,,9),INDEX(tlccFupolElec,,9))</f>
        <v>3927.526027720879</v>
      </c>
      <c r="N29" s="49">
        <f ca="1">SUMPRODUCT(INDEX(polEff,,10),INDEX(tlccFupolElec,,10))</f>
        <v>3919.4426749499453</v>
      </c>
      <c r="O29" s="49">
        <f ca="1">SUMPRODUCT(INDEX(polEff,,11),INDEX(tlccFupolElec,,11))</f>
        <v>3913.4617641611094</v>
      </c>
      <c r="P29" s="49">
        <f ca="1">SUMPRODUCT(INDEX(polEff,,12),INDEX(tlccFupolElec,,12))</f>
        <v>3908.3731672052722</v>
      </c>
      <c r="Q29" s="49">
        <f ca="1">SUMPRODUCT(INDEX(polEff,,13),INDEX(tlccFupolElec,,13))</f>
        <v>3904.5627390593099</v>
      </c>
      <c r="R29" s="49">
        <f ca="1">SUMPRODUCT(INDEX(polEff,,14),INDEX(tlccFupolElec,,14))</f>
        <v>3901.6044527220233</v>
      </c>
      <c r="S29" s="49">
        <f ca="1">SUMPRODUCT(INDEX(polEff,,15),INDEX(tlccFupolElec,,15))</f>
        <v>3901.0342952763499</v>
      </c>
      <c r="T29" s="49">
        <f ca="1">SUMPRODUCT(INDEX(polEff,,16),INDEX(tlccFupolElec,,16))</f>
        <v>3901.5511664795968</v>
      </c>
      <c r="U29" s="49">
        <f ca="1">SUMPRODUCT(INDEX(polEff,,17),INDEX(tlccFupolElec,,17))</f>
        <v>3902.4262585605088</v>
      </c>
      <c r="V29" s="49">
        <f ca="1">SUMPRODUCT(INDEX(polEff,,18),INDEX(tlccFupolElec,,18))</f>
        <v>3903.7596786748086</v>
      </c>
      <c r="W29" s="49">
        <f ca="1">SUMPRODUCT(INDEX(polEff,,19),INDEX(tlccFupolElec,,19))</f>
        <v>3905.0362516288183</v>
      </c>
      <c r="X29" s="49">
        <f ca="1">SUMPRODUCT(INDEX(polEff,,20),INDEX(tlccFupolElec,,20))</f>
        <v>3906.094017566269</v>
      </c>
      <c r="Y29" s="49">
        <f ca="1">SUMPRODUCT(INDEX(polEff,,21),INDEX(tlccFupolElec,,21))</f>
        <v>3906.8033261039172</v>
      </c>
      <c r="Z29" s="49">
        <f ca="1">SUMPRODUCT(INDEX(polEff,,22),INDEX(tlccFupolElec,,22))</f>
        <v>3907.2923716084251</v>
      </c>
      <c r="AA29" s="49">
        <f ca="1">SUMPRODUCT(INDEX(polEff,,23),INDEX(tlccFupolElec,,23))</f>
        <v>3907.2923716084251</v>
      </c>
      <c r="AB29" s="49">
        <f ca="1">SUMPRODUCT(INDEX(polEff,,24),INDEX(tlccFupolElec,,24))</f>
        <v>3907.2923716084251</v>
      </c>
      <c r="AC29" s="49">
        <f ca="1">SUMPRODUCT(INDEX(polEff,,25),INDEX(tlccFupolElec,,25))</f>
        <v>3907.2923716084251</v>
      </c>
      <c r="AD29" s="49">
        <f ca="1">SUMPRODUCT(INDEX(polEff,,26),INDEX(tlccFupolElec,,26))</f>
        <v>3907.2923716084251</v>
      </c>
      <c r="AE29" s="49">
        <f ca="1">SUMPRODUCT(INDEX(polEff,,27),INDEX(tlccFupolElec,,27))</f>
        <v>3907.2923716084251</v>
      </c>
      <c r="AF29" s="49">
        <f ca="1">SUMPRODUCT(INDEX(polEff,,28),INDEX(tlccFupolElec,,28))</f>
        <v>3907.2923716084251</v>
      </c>
      <c r="AG29" s="49">
        <f ca="1">SUMPRODUCT(INDEX(polEff,,29),INDEX(tlccFupolElec,,29))</f>
        <v>3907.2923716084251</v>
      </c>
      <c r="AH29" s="49">
        <f ca="1">SUMPRODUCT(INDEX(polEff,,30),INDEX(tlccFupolElec,,30))</f>
        <v>3907.2923716084251</v>
      </c>
      <c r="AI29" s="49">
        <f ca="1">SUMPRODUCT(INDEX(polEff,,31),INDEX(tlccFupolElec,,31))</f>
        <v>3907.2923716084251</v>
      </c>
      <c r="AJ29" s="49">
        <f ca="1">SUMPRODUCT(INDEX(polEff,,32),INDEX(tlccFupolElec,,32))</f>
        <v>3907.2923716084251</v>
      </c>
      <c r="AK29" s="49">
        <f ca="1">SUMPRODUCT(INDEX(polEff,,33),INDEX(tlccFupolElec,,33))</f>
        <v>3907.2923716084251</v>
      </c>
      <c r="AL29" s="50">
        <f ca="1">SUMPRODUCT(INDEX(polEff,,34),INDEX(tlccFupolElec,,34))</f>
        <v>3907.2923716084251</v>
      </c>
      <c r="AM29" s="10"/>
    </row>
    <row r="30" spans="2:39" ht="15">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row>
    <row r="31" spans="2:39" ht="15">
      <c r="B31" s="10"/>
      <c r="C31" s="22" t="s">
        <v>91</v>
      </c>
      <c r="D31" s="23"/>
      <c r="E31" s="24">
        <f t="array" ref="E31:AL31">_yS</f>
        <v>2019</v>
      </c>
      <c r="F31" s="24">
        <v>2020</v>
      </c>
      <c r="G31" s="24">
        <v>2021</v>
      </c>
      <c r="H31" s="24">
        <v>2022</v>
      </c>
      <c r="I31" s="24">
        <v>2023</v>
      </c>
      <c r="J31" s="24">
        <v>2024</v>
      </c>
      <c r="K31" s="24">
        <v>2025</v>
      </c>
      <c r="L31" s="24">
        <v>2026</v>
      </c>
      <c r="M31" s="24">
        <v>2027</v>
      </c>
      <c r="N31" s="24">
        <v>2028</v>
      </c>
      <c r="O31" s="24">
        <v>2029</v>
      </c>
      <c r="P31" s="24">
        <v>2030</v>
      </c>
      <c r="Q31" s="24">
        <v>2031</v>
      </c>
      <c r="R31" s="24">
        <v>2032</v>
      </c>
      <c r="S31" s="24">
        <v>2033</v>
      </c>
      <c r="T31" s="24">
        <v>2034</v>
      </c>
      <c r="U31" s="24">
        <v>2035</v>
      </c>
      <c r="V31" s="24">
        <v>2036</v>
      </c>
      <c r="W31" s="24">
        <v>2037</v>
      </c>
      <c r="X31" s="24">
        <v>2038</v>
      </c>
      <c r="Y31" s="24">
        <v>2039</v>
      </c>
      <c r="Z31" s="24">
        <v>2040</v>
      </c>
      <c r="AA31" s="24">
        <v>2041</v>
      </c>
      <c r="AB31" s="24">
        <v>2042</v>
      </c>
      <c r="AC31" s="24">
        <v>2043</v>
      </c>
      <c r="AD31" s="24">
        <v>2044</v>
      </c>
      <c r="AE31" s="24">
        <v>2045</v>
      </c>
      <c r="AF31" s="24">
        <v>2046</v>
      </c>
      <c r="AG31" s="24">
        <v>2047</v>
      </c>
      <c r="AH31" s="24">
        <v>2048</v>
      </c>
      <c r="AI31" s="24">
        <v>2049</v>
      </c>
      <c r="AJ31" s="24">
        <v>2050</v>
      </c>
      <c r="AK31" s="24">
        <v>2051</v>
      </c>
      <c r="AL31" s="25">
        <v>2052</v>
      </c>
      <c r="AM31" s="10"/>
    </row>
    <row r="32" spans="2:39" ht="15">
      <c r="B32" s="10"/>
      <c r="C32" s="11" t="str">
        <f>"EL 0: " &amp; INDEX(_doName,5,1)</f>
        <v>EL 0: EL 4</v>
      </c>
      <c r="D32" s="12" t="s">
        <v>47</v>
      </c>
      <c r="E32" s="29">
        <f t="array" ref="E32:E38">IF($E$31&lt;yearC,INDEX(refEff,,1),MMULT(mRoll,INDEX(refEff,,1))+INDEX(elastAdjust,,1))</f>
        <v>0.22</v>
      </c>
      <c r="F32" s="29">
        <f t="array" ref="F32:F38">IF($F$31&lt;yearC,INDEX(refEff,,2),MMULT(mRoll,INDEX(refEff,,2))+INDEX(elastAdjust,,2))</f>
        <v>0.22</v>
      </c>
      <c r="G32" s="29">
        <f t="array" ref="G32:G38">IF($G$31&lt;yearC,INDEX(refEff,,3),MMULT(mRoll,INDEX(refEff,,3))+INDEX(elastAdjust,,3))</f>
        <v>0.22</v>
      </c>
      <c r="H32" s="29">
        <f t="array" aca="1" ref="H32:H38" ca="1">IF($H$31&lt;yearC,INDEX(refEff,,4),MMULT(mRoll,INDEX(refEff,,4))+INDEX(elastAdjust,,4))</f>
        <v>0</v>
      </c>
      <c r="I32" s="29">
        <f t="array" aca="1" ref="I32:I38" ca="1">IF($I$31&lt;yearC,INDEX(refEff,,5),MMULT(mRoll,INDEX(refEff,,5))+INDEX(elastAdjust,,5))</f>
        <v>0</v>
      </c>
      <c r="J32" s="29">
        <f t="array" aca="1" ref="J32:J38" ca="1">MMULT(mRoll,INDEX(refEff,,6))+INDEX(elastAdjust,,6)</f>
        <v>0</v>
      </c>
      <c r="K32" s="29">
        <f t="array" aca="1" ref="K32:K38" ca="1">MMULT(mRoll,INDEX(refEff,,7))+INDEX(elastAdjust,,7)</f>
        <v>0</v>
      </c>
      <c r="L32" s="29">
        <f t="array" aca="1" ref="L32:L38" ca="1">MMULT(mRoll,INDEX(refEff,,8))+INDEX(elastAdjust,,8)</f>
        <v>0</v>
      </c>
      <c r="M32" s="29">
        <f t="array" aca="1" ref="M32:M38" ca="1">MMULT(mRoll,INDEX(refEff,,9))+INDEX(elastAdjust,,9)</f>
        <v>0</v>
      </c>
      <c r="N32" s="29">
        <f t="array" aca="1" ref="N32:N38" ca="1">MMULT(mRoll,INDEX(refEff,,10))+INDEX(elastAdjust,,10)</f>
        <v>0</v>
      </c>
      <c r="O32" s="29">
        <f t="array" aca="1" ref="O32:O38" ca="1">MMULT(mRoll,INDEX(refEff,,11))+INDEX(elastAdjust,,11)</f>
        <v>0</v>
      </c>
      <c r="P32" s="29">
        <f t="array" aca="1" ref="P32:P38" ca="1">MMULT(mRoll,INDEX(refEff,,12))+INDEX(elastAdjust,,12)</f>
        <v>0</v>
      </c>
      <c r="Q32" s="29">
        <f t="array" aca="1" ref="Q32:Q38" ca="1">MMULT(mRoll,INDEX(refEff,,13))+INDEX(elastAdjust,,13)</f>
        <v>0</v>
      </c>
      <c r="R32" s="29">
        <f t="array" aca="1" ref="R32:R38" ca="1">MMULT(mRoll,INDEX(refEff,,14))+INDEX(elastAdjust,,14)</f>
        <v>0</v>
      </c>
      <c r="S32" s="29">
        <f t="array" aca="1" ref="S32:S38" ca="1">MMULT(mRoll,INDEX(refEff,,15))+INDEX(elastAdjust,,15)</f>
        <v>0</v>
      </c>
      <c r="T32" s="29">
        <f t="array" aca="1" ref="T32:T38" ca="1">MMULT(mRoll,INDEX(refEff,,16))+INDEX(elastAdjust,,16)</f>
        <v>0</v>
      </c>
      <c r="U32" s="29">
        <f t="array" aca="1" ref="U32:U38" ca="1">MMULT(mRoll,INDEX(refEff,,17))+INDEX(elastAdjust,,17)</f>
        <v>0</v>
      </c>
      <c r="V32" s="29">
        <f t="array" aca="1" ref="V32:V38" ca="1">MMULT(mRoll,INDEX(refEff,,18))+INDEX(elastAdjust,,18)</f>
        <v>0</v>
      </c>
      <c r="W32" s="29">
        <f t="array" aca="1" ref="W32:W38" ca="1">MMULT(mRoll,INDEX(refEff,,19))+INDEX(elastAdjust,,19)</f>
        <v>0</v>
      </c>
      <c r="X32" s="29">
        <f t="array" aca="1" ref="X32:X38" ca="1">MMULT(mRoll,INDEX(refEff,,20))+INDEX(elastAdjust,,20)</f>
        <v>0</v>
      </c>
      <c r="Y32" s="29">
        <f t="array" aca="1" ref="Y32:Y38" ca="1">MMULT(mRoll,INDEX(refEff,,21))+INDEX(elastAdjust,,21)</f>
        <v>0</v>
      </c>
      <c r="Z32" s="29">
        <f t="array" aca="1" ref="Z32:Z38" ca="1">MMULT(mRoll,INDEX(refEff,,22))+INDEX(elastAdjust,,22)</f>
        <v>0</v>
      </c>
      <c r="AA32" s="29">
        <f t="array" aca="1" ref="AA32:AA38" ca="1">MMULT(mRoll,INDEX(refEff,,23))+INDEX(elastAdjust,,23)</f>
        <v>0</v>
      </c>
      <c r="AB32" s="29">
        <f t="array" aca="1" ref="AB32:AB38" ca="1">MMULT(mRoll,INDEX(refEff,,24))+INDEX(elastAdjust,,24)</f>
        <v>0</v>
      </c>
      <c r="AC32" s="29">
        <f t="array" aca="1" ref="AC32:AC38" ca="1">MMULT(mRoll,INDEX(refEff,,25))+INDEX(elastAdjust,,25)</f>
        <v>0</v>
      </c>
      <c r="AD32" s="29">
        <f t="array" aca="1" ref="AD32:AD38" ca="1">MMULT(mRoll,INDEX(refEff,,26))+INDEX(elastAdjust,,26)</f>
        <v>0</v>
      </c>
      <c r="AE32" s="29">
        <f t="array" aca="1" ref="AE32:AE38" ca="1">MMULT(mRoll,INDEX(refEff,,27))+INDEX(elastAdjust,,27)</f>
        <v>0</v>
      </c>
      <c r="AF32" s="29">
        <f t="array" aca="1" ref="AF32:AF38" ca="1">MMULT(mRoll,INDEX(refEff,,28))+INDEX(elastAdjust,,28)</f>
        <v>0</v>
      </c>
      <c r="AG32" s="29">
        <f t="array" aca="1" ref="AG32:AG38" ca="1">MMULT(mRoll,INDEX(refEff,,29))+INDEX(elastAdjust,,29)</f>
        <v>0</v>
      </c>
      <c r="AH32" s="29">
        <f t="array" aca="1" ref="AH32:AH38" ca="1">MMULT(mRoll,INDEX(refEff,,30))+INDEX(elastAdjust,,30)</f>
        <v>0</v>
      </c>
      <c r="AI32" s="29">
        <f t="array" aca="1" ref="AI32:AI38" ca="1">MMULT(mRoll,INDEX(refEff,,31))+INDEX(elastAdjust,,31)</f>
        <v>0</v>
      </c>
      <c r="AJ32" s="29">
        <f t="array" aca="1" ref="AJ32:AJ38" ca="1">MMULT(mRoll,INDEX(refEff,,32))+INDEX(elastAdjust,,32)</f>
        <v>0</v>
      </c>
      <c r="AK32" s="29">
        <f t="array" aca="1" ref="AK32:AK38" ca="1">MMULT(mRoll,INDEX(refEff,,33))+INDEX(elastAdjust,,33)</f>
        <v>0</v>
      </c>
      <c r="AL32" s="44">
        <f t="array" aca="1" ref="AL32:AL38" ca="1">MMULT(mRoll,INDEX(refEff,,34))+INDEX(elastAdjust,,34)</f>
        <v>0</v>
      </c>
      <c r="AM32" s="10"/>
    </row>
    <row r="33" spans="2:39" ht="15">
      <c r="B33" s="10"/>
      <c r="C33" s="11" t="str">
        <f>"EL 1: " &amp; INDEX(_doName,5,2)</f>
        <v>EL 1: EL 1</v>
      </c>
      <c r="D33" s="12" t="s">
        <v>47</v>
      </c>
      <c r="E33" s="29">
        <v>0.08</v>
      </c>
      <c r="F33" s="29">
        <v>0.08</v>
      </c>
      <c r="G33" s="29">
        <v>0.08</v>
      </c>
      <c r="H33" s="29">
        <f ca="1"/>
        <v>0</v>
      </c>
      <c r="I33" s="29">
        <f ca="1"/>
        <v>0</v>
      </c>
      <c r="J33" s="29">
        <f ca="1"/>
        <v>0</v>
      </c>
      <c r="K33" s="29">
        <f ca="1"/>
        <v>0</v>
      </c>
      <c r="L33" s="29">
        <f ca="1"/>
        <v>0</v>
      </c>
      <c r="M33" s="29">
        <f ca="1"/>
        <v>0</v>
      </c>
      <c r="N33" s="29">
        <f ca="1"/>
        <v>0</v>
      </c>
      <c r="O33" s="29">
        <f ca="1"/>
        <v>0</v>
      </c>
      <c r="P33" s="29">
        <f ca="1"/>
        <v>0</v>
      </c>
      <c r="Q33" s="29">
        <f ca="1"/>
        <v>0</v>
      </c>
      <c r="R33" s="29">
        <f ca="1"/>
        <v>0</v>
      </c>
      <c r="S33" s="29">
        <f ca="1"/>
        <v>0</v>
      </c>
      <c r="T33" s="29">
        <f ca="1"/>
        <v>0</v>
      </c>
      <c r="U33" s="29">
        <f ca="1"/>
        <v>0</v>
      </c>
      <c r="V33" s="29">
        <f ca="1"/>
        <v>0</v>
      </c>
      <c r="W33" s="29">
        <f ca="1"/>
        <v>0</v>
      </c>
      <c r="X33" s="29">
        <f ca="1"/>
        <v>0</v>
      </c>
      <c r="Y33" s="29">
        <f ca="1"/>
        <v>0</v>
      </c>
      <c r="Z33" s="29">
        <f ca="1"/>
        <v>0</v>
      </c>
      <c r="AA33" s="29">
        <f ca="1"/>
        <v>0</v>
      </c>
      <c r="AB33" s="29">
        <f ca="1"/>
        <v>0</v>
      </c>
      <c r="AC33" s="29">
        <f ca="1"/>
        <v>0</v>
      </c>
      <c r="AD33" s="29">
        <f ca="1"/>
        <v>0</v>
      </c>
      <c r="AE33" s="29">
        <f ca="1"/>
        <v>0</v>
      </c>
      <c r="AF33" s="29">
        <f ca="1"/>
        <v>0</v>
      </c>
      <c r="AG33" s="29">
        <f ca="1"/>
        <v>0</v>
      </c>
      <c r="AH33" s="29">
        <f ca="1"/>
        <v>0</v>
      </c>
      <c r="AI33" s="29">
        <f ca="1"/>
        <v>0</v>
      </c>
      <c r="AJ33" s="29">
        <f ca="1"/>
        <v>0</v>
      </c>
      <c r="AK33" s="29">
        <f ca="1"/>
        <v>0</v>
      </c>
      <c r="AL33" s="44">
        <f ca="1"/>
        <v>0</v>
      </c>
      <c r="AM33" s="10"/>
    </row>
    <row r="34" spans="2:39" ht="15">
      <c r="B34" s="10"/>
      <c r="C34" s="11" t="str">
        <f>"EL 2: " &amp; INDEX(_doName,5,3)</f>
        <v>EL 2: EL 2</v>
      </c>
      <c r="D34" s="12" t="s">
        <v>47</v>
      </c>
      <c r="E34" s="29">
        <v>0.106</v>
      </c>
      <c r="F34" s="29">
        <v>0.106</v>
      </c>
      <c r="G34" s="29">
        <v>0.106</v>
      </c>
      <c r="H34" s="29">
        <f ca="1"/>
        <v>0</v>
      </c>
      <c r="I34" s="29">
        <f ca="1"/>
        <v>0</v>
      </c>
      <c r="J34" s="29">
        <f ca="1"/>
        <v>0</v>
      </c>
      <c r="K34" s="29">
        <f ca="1"/>
        <v>0</v>
      </c>
      <c r="L34" s="29">
        <f ca="1"/>
        <v>0</v>
      </c>
      <c r="M34" s="29">
        <f ca="1"/>
        <v>0</v>
      </c>
      <c r="N34" s="29">
        <f ca="1"/>
        <v>0</v>
      </c>
      <c r="O34" s="29">
        <f ca="1"/>
        <v>0</v>
      </c>
      <c r="P34" s="29">
        <f ca="1"/>
        <v>0</v>
      </c>
      <c r="Q34" s="29">
        <f ca="1"/>
        <v>0</v>
      </c>
      <c r="R34" s="29">
        <f ca="1"/>
        <v>0</v>
      </c>
      <c r="S34" s="29">
        <f ca="1"/>
        <v>0</v>
      </c>
      <c r="T34" s="29">
        <f ca="1"/>
        <v>0</v>
      </c>
      <c r="U34" s="29">
        <f ca="1"/>
        <v>0</v>
      </c>
      <c r="V34" s="29">
        <f ca="1"/>
        <v>0</v>
      </c>
      <c r="W34" s="29">
        <f ca="1"/>
        <v>0</v>
      </c>
      <c r="X34" s="29">
        <f ca="1"/>
        <v>0</v>
      </c>
      <c r="Y34" s="29">
        <f ca="1"/>
        <v>0</v>
      </c>
      <c r="Z34" s="29">
        <f ca="1"/>
        <v>0</v>
      </c>
      <c r="AA34" s="29">
        <f ca="1"/>
        <v>0</v>
      </c>
      <c r="AB34" s="29">
        <f ca="1"/>
        <v>0</v>
      </c>
      <c r="AC34" s="29">
        <f ca="1"/>
        <v>0</v>
      </c>
      <c r="AD34" s="29">
        <f ca="1"/>
        <v>0</v>
      </c>
      <c r="AE34" s="29">
        <f ca="1"/>
        <v>0</v>
      </c>
      <c r="AF34" s="29">
        <f ca="1"/>
        <v>0</v>
      </c>
      <c r="AG34" s="29">
        <f ca="1"/>
        <v>0</v>
      </c>
      <c r="AH34" s="29">
        <f ca="1"/>
        <v>0</v>
      </c>
      <c r="AI34" s="29">
        <f ca="1"/>
        <v>0</v>
      </c>
      <c r="AJ34" s="29">
        <f ca="1"/>
        <v>0</v>
      </c>
      <c r="AK34" s="29">
        <f ca="1"/>
        <v>0</v>
      </c>
      <c r="AL34" s="44">
        <f ca="1"/>
        <v>0</v>
      </c>
      <c r="AM34" s="10"/>
    </row>
    <row r="35" spans="2:39" ht="15">
      <c r="B35" s="10"/>
      <c r="C35" s="11" t="str">
        <f>"EL 3: " &amp; INDEX(_doName,5,4)</f>
        <v>EL 3: EL 3</v>
      </c>
      <c r="D35" s="12" t="s">
        <v>47</v>
      </c>
      <c r="E35" s="29">
        <v>0.11</v>
      </c>
      <c r="F35" s="29">
        <v>0.11</v>
      </c>
      <c r="G35" s="29">
        <v>0.11</v>
      </c>
      <c r="H35" s="29">
        <f ca="1"/>
        <v>0</v>
      </c>
      <c r="I35" s="29">
        <f ca="1"/>
        <v>0</v>
      </c>
      <c r="J35" s="29">
        <f ca="1"/>
        <v>0</v>
      </c>
      <c r="K35" s="29">
        <f ca="1"/>
        <v>0</v>
      </c>
      <c r="L35" s="29">
        <f ca="1"/>
        <v>0</v>
      </c>
      <c r="M35" s="29">
        <f ca="1"/>
        <v>0</v>
      </c>
      <c r="N35" s="29">
        <f ca="1"/>
        <v>0</v>
      </c>
      <c r="O35" s="29">
        <f ca="1"/>
        <v>0</v>
      </c>
      <c r="P35" s="29">
        <f ca="1"/>
        <v>0</v>
      </c>
      <c r="Q35" s="29">
        <f ca="1"/>
        <v>0</v>
      </c>
      <c r="R35" s="29">
        <f ca="1"/>
        <v>0</v>
      </c>
      <c r="S35" s="29">
        <f ca="1"/>
        <v>0</v>
      </c>
      <c r="T35" s="29">
        <f ca="1"/>
        <v>0</v>
      </c>
      <c r="U35" s="29">
        <f ca="1"/>
        <v>0</v>
      </c>
      <c r="V35" s="29">
        <f ca="1"/>
        <v>0</v>
      </c>
      <c r="W35" s="29">
        <f ca="1"/>
        <v>0</v>
      </c>
      <c r="X35" s="29">
        <f ca="1"/>
        <v>0</v>
      </c>
      <c r="Y35" s="29">
        <f ca="1"/>
        <v>0</v>
      </c>
      <c r="Z35" s="29">
        <f ca="1"/>
        <v>0</v>
      </c>
      <c r="AA35" s="29">
        <f ca="1"/>
        <v>0</v>
      </c>
      <c r="AB35" s="29">
        <f ca="1"/>
        <v>0</v>
      </c>
      <c r="AC35" s="29">
        <f ca="1"/>
        <v>0</v>
      </c>
      <c r="AD35" s="29">
        <f ca="1"/>
        <v>0</v>
      </c>
      <c r="AE35" s="29">
        <f ca="1"/>
        <v>0</v>
      </c>
      <c r="AF35" s="29">
        <f ca="1"/>
        <v>0</v>
      </c>
      <c r="AG35" s="29">
        <f ca="1"/>
        <v>0</v>
      </c>
      <c r="AH35" s="29">
        <f ca="1"/>
        <v>0</v>
      </c>
      <c r="AI35" s="29">
        <f ca="1"/>
        <v>0</v>
      </c>
      <c r="AJ35" s="29">
        <f ca="1"/>
        <v>0</v>
      </c>
      <c r="AK35" s="29">
        <f ca="1"/>
        <v>0</v>
      </c>
      <c r="AL35" s="44">
        <f ca="1"/>
        <v>0</v>
      </c>
      <c r="AM35" s="10"/>
    </row>
    <row r="36" spans="2:39" ht="15">
      <c r="B36" s="10"/>
      <c r="C36" s="11" t="str">
        <f>"EL 4: " &amp; INDEX(_doName,5,5)</f>
        <v>EL 4: EL 4</v>
      </c>
      <c r="D36" s="12" t="s">
        <v>47</v>
      </c>
      <c r="E36" s="29">
        <v>9.5000000000000001E-2</v>
      </c>
      <c r="F36" s="29">
        <v>9.5000000000000001E-2</v>
      </c>
      <c r="G36" s="29">
        <v>9.5000000000000001E-2</v>
      </c>
      <c r="H36" s="29">
        <f ca="1"/>
        <v>0</v>
      </c>
      <c r="I36" s="29">
        <f ca="1"/>
        <v>0</v>
      </c>
      <c r="J36" s="29">
        <f ca="1"/>
        <v>0</v>
      </c>
      <c r="K36" s="29">
        <f ca="1"/>
        <v>0</v>
      </c>
      <c r="L36" s="29">
        <f ca="1"/>
        <v>0</v>
      </c>
      <c r="M36" s="29">
        <f ca="1"/>
        <v>0</v>
      </c>
      <c r="N36" s="29">
        <f ca="1"/>
        <v>0</v>
      </c>
      <c r="O36" s="29">
        <f ca="1"/>
        <v>0</v>
      </c>
      <c r="P36" s="29">
        <f ca="1"/>
        <v>0</v>
      </c>
      <c r="Q36" s="29">
        <f ca="1"/>
        <v>0</v>
      </c>
      <c r="R36" s="29">
        <f ca="1"/>
        <v>0</v>
      </c>
      <c r="S36" s="29">
        <f ca="1"/>
        <v>0</v>
      </c>
      <c r="T36" s="29">
        <f ca="1"/>
        <v>0</v>
      </c>
      <c r="U36" s="29">
        <f ca="1"/>
        <v>0</v>
      </c>
      <c r="V36" s="29">
        <f ca="1"/>
        <v>0</v>
      </c>
      <c r="W36" s="29">
        <f ca="1"/>
        <v>0</v>
      </c>
      <c r="X36" s="29">
        <f ca="1"/>
        <v>0</v>
      </c>
      <c r="Y36" s="29">
        <f ca="1"/>
        <v>0</v>
      </c>
      <c r="Z36" s="29">
        <f ca="1"/>
        <v>0</v>
      </c>
      <c r="AA36" s="29">
        <f ca="1"/>
        <v>0</v>
      </c>
      <c r="AB36" s="29">
        <f ca="1"/>
        <v>0</v>
      </c>
      <c r="AC36" s="29">
        <f ca="1"/>
        <v>0</v>
      </c>
      <c r="AD36" s="29">
        <f ca="1"/>
        <v>0</v>
      </c>
      <c r="AE36" s="29">
        <f ca="1"/>
        <v>0</v>
      </c>
      <c r="AF36" s="29">
        <f ca="1"/>
        <v>0</v>
      </c>
      <c r="AG36" s="29">
        <f ca="1"/>
        <v>0</v>
      </c>
      <c r="AH36" s="29">
        <f ca="1"/>
        <v>0</v>
      </c>
      <c r="AI36" s="29">
        <f ca="1"/>
        <v>0</v>
      </c>
      <c r="AJ36" s="29">
        <f ca="1"/>
        <v>0</v>
      </c>
      <c r="AK36" s="29">
        <f ca="1"/>
        <v>0</v>
      </c>
      <c r="AL36" s="44">
        <f ca="1"/>
        <v>0</v>
      </c>
      <c r="AM36" s="10"/>
    </row>
    <row r="37" spans="2:39" ht="15">
      <c r="B37" s="10"/>
      <c r="C37" s="11" t="str">
        <f>"EL 5: " &amp; INDEX(_doName,5,6)</f>
        <v>EL 5: EL 5</v>
      </c>
      <c r="D37" s="12" t="s">
        <v>47</v>
      </c>
      <c r="E37" s="29">
        <v>0.23699999999999999</v>
      </c>
      <c r="F37" s="29">
        <v>0.23699999999999999</v>
      </c>
      <c r="G37" s="29">
        <v>0.23699999999999999</v>
      </c>
      <c r="H37" s="29">
        <f ca="1"/>
        <v>0.84799999999999998</v>
      </c>
      <c r="I37" s="29">
        <f ca="1"/>
        <v>0.84799999999999998</v>
      </c>
      <c r="J37" s="29">
        <f ca="1"/>
        <v>0.84799999999999998</v>
      </c>
      <c r="K37" s="29">
        <f ca="1"/>
        <v>0.84799999999999998</v>
      </c>
      <c r="L37" s="29">
        <f ca="1"/>
        <v>0.84799999999999998</v>
      </c>
      <c r="M37" s="29">
        <f ca="1"/>
        <v>0.84799999999999998</v>
      </c>
      <c r="N37" s="29">
        <f ca="1"/>
        <v>0.84799999999999998</v>
      </c>
      <c r="O37" s="29">
        <f ca="1"/>
        <v>0.84799999999999998</v>
      </c>
      <c r="P37" s="29">
        <f ca="1"/>
        <v>0.84799999999999998</v>
      </c>
      <c r="Q37" s="29">
        <f ca="1"/>
        <v>0.84799999999999998</v>
      </c>
      <c r="R37" s="29">
        <f ca="1"/>
        <v>0.84799999999999998</v>
      </c>
      <c r="S37" s="29">
        <f ca="1"/>
        <v>0.84799999999999998</v>
      </c>
      <c r="T37" s="29">
        <f ca="1"/>
        <v>0.84799999999999998</v>
      </c>
      <c r="U37" s="29">
        <f ca="1"/>
        <v>0.84799999999999998</v>
      </c>
      <c r="V37" s="29">
        <f ca="1"/>
        <v>0.84799999999999998</v>
      </c>
      <c r="W37" s="29">
        <f ca="1"/>
        <v>0.84799999999999998</v>
      </c>
      <c r="X37" s="29">
        <f ca="1"/>
        <v>0.84799999999999998</v>
      </c>
      <c r="Y37" s="29">
        <f ca="1"/>
        <v>0.84799999999999998</v>
      </c>
      <c r="Z37" s="29">
        <f ca="1"/>
        <v>0.84799999999999998</v>
      </c>
      <c r="AA37" s="29">
        <f ca="1"/>
        <v>0.84799999999999998</v>
      </c>
      <c r="AB37" s="29">
        <f ca="1"/>
        <v>0.84799999999999998</v>
      </c>
      <c r="AC37" s="29">
        <f ca="1"/>
        <v>0.84799999999999998</v>
      </c>
      <c r="AD37" s="29">
        <f ca="1"/>
        <v>0.84799999999999998</v>
      </c>
      <c r="AE37" s="29">
        <f ca="1"/>
        <v>0.84799999999999998</v>
      </c>
      <c r="AF37" s="29">
        <f ca="1"/>
        <v>0.84799999999999998</v>
      </c>
      <c r="AG37" s="29">
        <f ca="1"/>
        <v>0.84799999999999998</v>
      </c>
      <c r="AH37" s="29">
        <f ca="1"/>
        <v>0.84799999999999998</v>
      </c>
      <c r="AI37" s="29">
        <f ca="1"/>
        <v>0.84799999999999998</v>
      </c>
      <c r="AJ37" s="29">
        <f ca="1"/>
        <v>0.84799999999999998</v>
      </c>
      <c r="AK37" s="29">
        <f ca="1"/>
        <v>0.84799999999999998</v>
      </c>
      <c r="AL37" s="44">
        <f ca="1"/>
        <v>0.84799999999999998</v>
      </c>
      <c r="AM37" s="10"/>
    </row>
    <row r="38" spans="2:39" ht="15">
      <c r="B38" s="10"/>
      <c r="C38" s="21" t="str">
        <f>"EL 6: " &amp; INDEX(_doName,5,7)</f>
        <v>EL 6: EL 6</v>
      </c>
      <c r="D38" s="18" t="s">
        <v>47</v>
      </c>
      <c r="E38" s="46">
        <v>0.152</v>
      </c>
      <c r="F38" s="46">
        <v>0.152</v>
      </c>
      <c r="G38" s="46">
        <v>0.152</v>
      </c>
      <c r="H38" s="46">
        <f ca="1"/>
        <v>0.152</v>
      </c>
      <c r="I38" s="46">
        <f ca="1"/>
        <v>0.152</v>
      </c>
      <c r="J38" s="46">
        <f ca="1"/>
        <v>0.152</v>
      </c>
      <c r="K38" s="46">
        <f ca="1"/>
        <v>0.152</v>
      </c>
      <c r="L38" s="46">
        <f ca="1"/>
        <v>0.152</v>
      </c>
      <c r="M38" s="46">
        <f ca="1"/>
        <v>0.152</v>
      </c>
      <c r="N38" s="46">
        <f ca="1"/>
        <v>0.152</v>
      </c>
      <c r="O38" s="46">
        <f ca="1"/>
        <v>0.152</v>
      </c>
      <c r="P38" s="46">
        <f ca="1"/>
        <v>0.152</v>
      </c>
      <c r="Q38" s="46">
        <f ca="1"/>
        <v>0.152</v>
      </c>
      <c r="R38" s="46">
        <f ca="1"/>
        <v>0.152</v>
      </c>
      <c r="S38" s="46">
        <f ca="1"/>
        <v>0.152</v>
      </c>
      <c r="T38" s="46">
        <f ca="1"/>
        <v>0.152</v>
      </c>
      <c r="U38" s="46">
        <f ca="1"/>
        <v>0.152</v>
      </c>
      <c r="V38" s="46">
        <f ca="1"/>
        <v>0.152</v>
      </c>
      <c r="W38" s="46">
        <f ca="1"/>
        <v>0.152</v>
      </c>
      <c r="X38" s="46">
        <f ca="1"/>
        <v>0.152</v>
      </c>
      <c r="Y38" s="46">
        <f ca="1"/>
        <v>0.152</v>
      </c>
      <c r="Z38" s="46">
        <f ca="1"/>
        <v>0.152</v>
      </c>
      <c r="AA38" s="46">
        <f ca="1"/>
        <v>0.152</v>
      </c>
      <c r="AB38" s="46">
        <f ca="1"/>
        <v>0.152</v>
      </c>
      <c r="AC38" s="46">
        <f ca="1"/>
        <v>0.152</v>
      </c>
      <c r="AD38" s="46">
        <f ca="1"/>
        <v>0.152</v>
      </c>
      <c r="AE38" s="46">
        <f ca="1"/>
        <v>0.152</v>
      </c>
      <c r="AF38" s="46">
        <f ca="1"/>
        <v>0.152</v>
      </c>
      <c r="AG38" s="46">
        <f ca="1"/>
        <v>0.152</v>
      </c>
      <c r="AH38" s="46">
        <f ca="1"/>
        <v>0.152</v>
      </c>
      <c r="AI38" s="46">
        <f ca="1"/>
        <v>0.152</v>
      </c>
      <c r="AJ38" s="46">
        <f ca="1"/>
        <v>0.152</v>
      </c>
      <c r="AK38" s="46">
        <f ca="1"/>
        <v>0.152</v>
      </c>
      <c r="AL38" s="47">
        <f ca="1"/>
        <v>0.152</v>
      </c>
      <c r="AM38" s="10"/>
    </row>
    <row r="39" spans="2:39" ht="15">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2:39" ht="15">
      <c r="B40" s="10"/>
      <c r="C40" s="22" t="s">
        <v>90</v>
      </c>
      <c r="D40" s="23"/>
      <c r="E40" s="24">
        <f t="array" ref="E40:AL40">_yS</f>
        <v>2019</v>
      </c>
      <c r="F40" s="24">
        <v>2020</v>
      </c>
      <c r="G40" s="24">
        <v>2021</v>
      </c>
      <c r="H40" s="24">
        <v>2022</v>
      </c>
      <c r="I40" s="24">
        <v>2023</v>
      </c>
      <c r="J40" s="24">
        <v>2024</v>
      </c>
      <c r="K40" s="24">
        <v>2025</v>
      </c>
      <c r="L40" s="24">
        <v>2026</v>
      </c>
      <c r="M40" s="24">
        <v>2027</v>
      </c>
      <c r="N40" s="24">
        <v>2028</v>
      </c>
      <c r="O40" s="24">
        <v>2029</v>
      </c>
      <c r="P40" s="24">
        <v>2030</v>
      </c>
      <c r="Q40" s="24">
        <v>2031</v>
      </c>
      <c r="R40" s="24">
        <v>2032</v>
      </c>
      <c r="S40" s="24">
        <v>2033</v>
      </c>
      <c r="T40" s="24">
        <v>2034</v>
      </c>
      <c r="U40" s="24">
        <v>2035</v>
      </c>
      <c r="V40" s="24">
        <v>2036</v>
      </c>
      <c r="W40" s="24">
        <v>2037</v>
      </c>
      <c r="X40" s="24">
        <v>2038</v>
      </c>
      <c r="Y40" s="24">
        <v>2039</v>
      </c>
      <c r="Z40" s="24">
        <v>2040</v>
      </c>
      <c r="AA40" s="24">
        <v>2041</v>
      </c>
      <c r="AB40" s="24">
        <v>2042</v>
      </c>
      <c r="AC40" s="24">
        <v>2043</v>
      </c>
      <c r="AD40" s="24">
        <v>2044</v>
      </c>
      <c r="AE40" s="24">
        <v>2045</v>
      </c>
      <c r="AF40" s="24">
        <v>2046</v>
      </c>
      <c r="AG40" s="24">
        <v>2047</v>
      </c>
      <c r="AH40" s="24">
        <v>2048</v>
      </c>
      <c r="AI40" s="24">
        <v>2049</v>
      </c>
      <c r="AJ40" s="24">
        <v>2050</v>
      </c>
      <c r="AK40" s="24">
        <v>2051</v>
      </c>
      <c r="AL40" s="25">
        <v>2052</v>
      </c>
      <c r="AM40" s="10"/>
    </row>
    <row r="41" spans="2:39" ht="15">
      <c r="B41" s="10"/>
      <c r="C41" s="11" t="str">
        <f>"EL 0: " &amp; INDEX(_doName,5,1)</f>
        <v>EL 0: EL 4</v>
      </c>
      <c r="D41" s="12" t="s">
        <v>47</v>
      </c>
      <c r="E41" s="29">
        <f t="array" ref="E41:E47">TRANSPOSE(bcInMx)</f>
        <v>0.22</v>
      </c>
      <c r="F41" s="29">
        <f t="array" ref="F41:AL41">$E$41</f>
        <v>0.22</v>
      </c>
      <c r="G41" s="29">
        <v>0.22</v>
      </c>
      <c r="H41" s="29">
        <v>0.22</v>
      </c>
      <c r="I41" s="29">
        <v>0.22</v>
      </c>
      <c r="J41" s="29">
        <v>0.22</v>
      </c>
      <c r="K41" s="29">
        <v>0.22</v>
      </c>
      <c r="L41" s="29">
        <v>0.22</v>
      </c>
      <c r="M41" s="29">
        <v>0.22</v>
      </c>
      <c r="N41" s="29">
        <v>0.22</v>
      </c>
      <c r="O41" s="29">
        <v>0.22</v>
      </c>
      <c r="P41" s="29">
        <v>0.22</v>
      </c>
      <c r="Q41" s="29">
        <v>0.22</v>
      </c>
      <c r="R41" s="29">
        <v>0.22</v>
      </c>
      <c r="S41" s="29">
        <v>0.22</v>
      </c>
      <c r="T41" s="29">
        <v>0.22</v>
      </c>
      <c r="U41" s="29">
        <v>0.22</v>
      </c>
      <c r="V41" s="29">
        <v>0.22</v>
      </c>
      <c r="W41" s="29">
        <v>0.22</v>
      </c>
      <c r="X41" s="29">
        <v>0.22</v>
      </c>
      <c r="Y41" s="29">
        <v>0.22</v>
      </c>
      <c r="Z41" s="29">
        <v>0.22</v>
      </c>
      <c r="AA41" s="29">
        <v>0.22</v>
      </c>
      <c r="AB41" s="29">
        <v>0.22</v>
      </c>
      <c r="AC41" s="29">
        <v>0.22</v>
      </c>
      <c r="AD41" s="29">
        <v>0.22</v>
      </c>
      <c r="AE41" s="29">
        <v>0.22</v>
      </c>
      <c r="AF41" s="29">
        <v>0.22</v>
      </c>
      <c r="AG41" s="29">
        <v>0.22</v>
      </c>
      <c r="AH41" s="29">
        <v>0.22</v>
      </c>
      <c r="AI41" s="29">
        <v>0.22</v>
      </c>
      <c r="AJ41" s="29">
        <v>0.22</v>
      </c>
      <c r="AK41" s="29">
        <v>0.22</v>
      </c>
      <c r="AL41" s="44">
        <v>0.22</v>
      </c>
      <c r="AM41" s="10"/>
    </row>
    <row r="42" spans="2:39" ht="15">
      <c r="B42" s="10"/>
      <c r="C42" s="11" t="str">
        <f>"EL 1: " &amp; INDEX(_doName,5,2)</f>
        <v>EL 1: EL 1</v>
      </c>
      <c r="D42" s="12" t="s">
        <v>47</v>
      </c>
      <c r="E42" s="29">
        <v>0.08</v>
      </c>
      <c r="F42" s="29">
        <f t="array" ref="F42:AL42">$E$42</f>
        <v>0.08</v>
      </c>
      <c r="G42" s="29">
        <v>0.08</v>
      </c>
      <c r="H42" s="29">
        <v>0.08</v>
      </c>
      <c r="I42" s="29">
        <v>0.08</v>
      </c>
      <c r="J42" s="29">
        <v>0.08</v>
      </c>
      <c r="K42" s="29">
        <v>0.08</v>
      </c>
      <c r="L42" s="29">
        <v>0.08</v>
      </c>
      <c r="M42" s="29">
        <v>0.08</v>
      </c>
      <c r="N42" s="29">
        <v>0.08</v>
      </c>
      <c r="O42" s="29">
        <v>0.08</v>
      </c>
      <c r="P42" s="29">
        <v>0.08</v>
      </c>
      <c r="Q42" s="29">
        <v>0.08</v>
      </c>
      <c r="R42" s="29">
        <v>0.08</v>
      </c>
      <c r="S42" s="29">
        <v>0.08</v>
      </c>
      <c r="T42" s="29">
        <v>0.08</v>
      </c>
      <c r="U42" s="29">
        <v>0.08</v>
      </c>
      <c r="V42" s="29">
        <v>0.08</v>
      </c>
      <c r="W42" s="29">
        <v>0.08</v>
      </c>
      <c r="X42" s="29">
        <v>0.08</v>
      </c>
      <c r="Y42" s="29">
        <v>0.08</v>
      </c>
      <c r="Z42" s="29">
        <v>0.08</v>
      </c>
      <c r="AA42" s="29">
        <v>0.08</v>
      </c>
      <c r="AB42" s="29">
        <v>0.08</v>
      </c>
      <c r="AC42" s="29">
        <v>0.08</v>
      </c>
      <c r="AD42" s="29">
        <v>0.08</v>
      </c>
      <c r="AE42" s="29">
        <v>0.08</v>
      </c>
      <c r="AF42" s="29">
        <v>0.08</v>
      </c>
      <c r="AG42" s="29">
        <v>0.08</v>
      </c>
      <c r="AH42" s="29">
        <v>0.08</v>
      </c>
      <c r="AI42" s="29">
        <v>0.08</v>
      </c>
      <c r="AJ42" s="29">
        <v>0.08</v>
      </c>
      <c r="AK42" s="29">
        <v>0.08</v>
      </c>
      <c r="AL42" s="44">
        <v>0.08</v>
      </c>
      <c r="AM42" s="10"/>
    </row>
    <row r="43" spans="2:39" ht="15">
      <c r="B43" s="10"/>
      <c r="C43" s="11" t="str">
        <f>"EL 2: " &amp; INDEX(_doName,5,3)</f>
        <v>EL 2: EL 2</v>
      </c>
      <c r="D43" s="12" t="s">
        <v>47</v>
      </c>
      <c r="E43" s="29">
        <v>0.106</v>
      </c>
      <c r="F43" s="29">
        <f t="array" ref="F43:AL43">$E$43</f>
        <v>0.106</v>
      </c>
      <c r="G43" s="29">
        <v>0.106</v>
      </c>
      <c r="H43" s="29">
        <v>0.106</v>
      </c>
      <c r="I43" s="29">
        <v>0.106</v>
      </c>
      <c r="J43" s="29">
        <v>0.106</v>
      </c>
      <c r="K43" s="29">
        <v>0.106</v>
      </c>
      <c r="L43" s="29">
        <v>0.106</v>
      </c>
      <c r="M43" s="29">
        <v>0.106</v>
      </c>
      <c r="N43" s="29">
        <v>0.106</v>
      </c>
      <c r="O43" s="29">
        <v>0.106</v>
      </c>
      <c r="P43" s="29">
        <v>0.106</v>
      </c>
      <c r="Q43" s="29">
        <v>0.106</v>
      </c>
      <c r="R43" s="29">
        <v>0.106</v>
      </c>
      <c r="S43" s="29">
        <v>0.106</v>
      </c>
      <c r="T43" s="29">
        <v>0.106</v>
      </c>
      <c r="U43" s="29">
        <v>0.106</v>
      </c>
      <c r="V43" s="29">
        <v>0.106</v>
      </c>
      <c r="W43" s="29">
        <v>0.106</v>
      </c>
      <c r="X43" s="29">
        <v>0.106</v>
      </c>
      <c r="Y43" s="29">
        <v>0.106</v>
      </c>
      <c r="Z43" s="29">
        <v>0.106</v>
      </c>
      <c r="AA43" s="29">
        <v>0.106</v>
      </c>
      <c r="AB43" s="29">
        <v>0.106</v>
      </c>
      <c r="AC43" s="29">
        <v>0.106</v>
      </c>
      <c r="AD43" s="29">
        <v>0.106</v>
      </c>
      <c r="AE43" s="29">
        <v>0.106</v>
      </c>
      <c r="AF43" s="29">
        <v>0.106</v>
      </c>
      <c r="AG43" s="29">
        <v>0.106</v>
      </c>
      <c r="AH43" s="29">
        <v>0.106</v>
      </c>
      <c r="AI43" s="29">
        <v>0.106</v>
      </c>
      <c r="AJ43" s="29">
        <v>0.106</v>
      </c>
      <c r="AK43" s="29">
        <v>0.106</v>
      </c>
      <c r="AL43" s="44">
        <v>0.106</v>
      </c>
      <c r="AM43" s="10"/>
    </row>
    <row r="44" spans="2:39" ht="15">
      <c r="B44" s="10"/>
      <c r="C44" s="11" t="str">
        <f>"EL 3: " &amp; INDEX(_doName,5,4)</f>
        <v>EL 3: EL 3</v>
      </c>
      <c r="D44" s="12" t="s">
        <v>47</v>
      </c>
      <c r="E44" s="29">
        <v>0.11</v>
      </c>
      <c r="F44" s="29">
        <f t="array" ref="F44:AL44">$E$44</f>
        <v>0.11</v>
      </c>
      <c r="G44" s="29">
        <v>0.11</v>
      </c>
      <c r="H44" s="29">
        <v>0.11</v>
      </c>
      <c r="I44" s="29">
        <v>0.11</v>
      </c>
      <c r="J44" s="29">
        <v>0.11</v>
      </c>
      <c r="K44" s="29">
        <v>0.11</v>
      </c>
      <c r="L44" s="29">
        <v>0.11</v>
      </c>
      <c r="M44" s="29">
        <v>0.11</v>
      </c>
      <c r="N44" s="29">
        <v>0.11</v>
      </c>
      <c r="O44" s="29">
        <v>0.11</v>
      </c>
      <c r="P44" s="29">
        <v>0.11</v>
      </c>
      <c r="Q44" s="29">
        <v>0.11</v>
      </c>
      <c r="R44" s="29">
        <v>0.11</v>
      </c>
      <c r="S44" s="29">
        <v>0.11</v>
      </c>
      <c r="T44" s="29">
        <v>0.11</v>
      </c>
      <c r="U44" s="29">
        <v>0.11</v>
      </c>
      <c r="V44" s="29">
        <v>0.11</v>
      </c>
      <c r="W44" s="29">
        <v>0.11</v>
      </c>
      <c r="X44" s="29">
        <v>0.11</v>
      </c>
      <c r="Y44" s="29">
        <v>0.11</v>
      </c>
      <c r="Z44" s="29">
        <v>0.11</v>
      </c>
      <c r="AA44" s="29">
        <v>0.11</v>
      </c>
      <c r="AB44" s="29">
        <v>0.11</v>
      </c>
      <c r="AC44" s="29">
        <v>0.11</v>
      </c>
      <c r="AD44" s="29">
        <v>0.11</v>
      </c>
      <c r="AE44" s="29">
        <v>0.11</v>
      </c>
      <c r="AF44" s="29">
        <v>0.11</v>
      </c>
      <c r="AG44" s="29">
        <v>0.11</v>
      </c>
      <c r="AH44" s="29">
        <v>0.11</v>
      </c>
      <c r="AI44" s="29">
        <v>0.11</v>
      </c>
      <c r="AJ44" s="29">
        <v>0.11</v>
      </c>
      <c r="AK44" s="29">
        <v>0.11</v>
      </c>
      <c r="AL44" s="44">
        <v>0.11</v>
      </c>
      <c r="AM44" s="10"/>
    </row>
    <row r="45" spans="2:39" ht="15">
      <c r="B45" s="10"/>
      <c r="C45" s="11" t="str">
        <f>"EL 4: " &amp; INDEX(_doName,5,5)</f>
        <v>EL 4: EL 4</v>
      </c>
      <c r="D45" s="12" t="s">
        <v>47</v>
      </c>
      <c r="E45" s="29">
        <v>9.5000000000000001E-2</v>
      </c>
      <c r="F45" s="29">
        <f t="array" ref="F45:AL45">$E$45</f>
        <v>9.5000000000000001E-2</v>
      </c>
      <c r="G45" s="29">
        <v>9.5000000000000001E-2</v>
      </c>
      <c r="H45" s="29">
        <v>9.5000000000000001E-2</v>
      </c>
      <c r="I45" s="29">
        <v>9.5000000000000001E-2</v>
      </c>
      <c r="J45" s="29">
        <v>9.5000000000000001E-2</v>
      </c>
      <c r="K45" s="29">
        <v>9.5000000000000001E-2</v>
      </c>
      <c r="L45" s="29">
        <v>9.5000000000000001E-2</v>
      </c>
      <c r="M45" s="29">
        <v>9.5000000000000001E-2</v>
      </c>
      <c r="N45" s="29">
        <v>9.5000000000000001E-2</v>
      </c>
      <c r="O45" s="29">
        <v>9.5000000000000001E-2</v>
      </c>
      <c r="P45" s="29">
        <v>9.5000000000000001E-2</v>
      </c>
      <c r="Q45" s="29">
        <v>9.5000000000000001E-2</v>
      </c>
      <c r="R45" s="29">
        <v>9.5000000000000001E-2</v>
      </c>
      <c r="S45" s="29">
        <v>9.5000000000000001E-2</v>
      </c>
      <c r="T45" s="29">
        <v>9.5000000000000001E-2</v>
      </c>
      <c r="U45" s="29">
        <v>9.5000000000000001E-2</v>
      </c>
      <c r="V45" s="29">
        <v>9.5000000000000001E-2</v>
      </c>
      <c r="W45" s="29">
        <v>9.5000000000000001E-2</v>
      </c>
      <c r="X45" s="29">
        <v>9.5000000000000001E-2</v>
      </c>
      <c r="Y45" s="29">
        <v>9.5000000000000001E-2</v>
      </c>
      <c r="Z45" s="29">
        <v>9.5000000000000001E-2</v>
      </c>
      <c r="AA45" s="29">
        <v>9.5000000000000001E-2</v>
      </c>
      <c r="AB45" s="29">
        <v>9.5000000000000001E-2</v>
      </c>
      <c r="AC45" s="29">
        <v>9.5000000000000001E-2</v>
      </c>
      <c r="AD45" s="29">
        <v>9.5000000000000001E-2</v>
      </c>
      <c r="AE45" s="29">
        <v>9.5000000000000001E-2</v>
      </c>
      <c r="AF45" s="29">
        <v>9.5000000000000001E-2</v>
      </c>
      <c r="AG45" s="29">
        <v>9.5000000000000001E-2</v>
      </c>
      <c r="AH45" s="29">
        <v>9.5000000000000001E-2</v>
      </c>
      <c r="AI45" s="29">
        <v>9.5000000000000001E-2</v>
      </c>
      <c r="AJ45" s="29">
        <v>9.5000000000000001E-2</v>
      </c>
      <c r="AK45" s="29">
        <v>9.5000000000000001E-2</v>
      </c>
      <c r="AL45" s="44">
        <v>9.5000000000000001E-2</v>
      </c>
      <c r="AM45" s="10"/>
    </row>
    <row r="46" spans="2:39" ht="15">
      <c r="B46" s="10"/>
      <c r="C46" s="11" t="str">
        <f>"EL 5: " &amp; INDEX(_doName,5,6)</f>
        <v>EL 5: EL 5</v>
      </c>
      <c r="D46" s="12" t="s">
        <v>47</v>
      </c>
      <c r="E46" s="29">
        <v>0.23699999999999999</v>
      </c>
      <c r="F46" s="29">
        <f t="array" ref="F46:AL46">$E$46</f>
        <v>0.23699999999999999</v>
      </c>
      <c r="G46" s="29">
        <v>0.23699999999999999</v>
      </c>
      <c r="H46" s="29">
        <v>0.23699999999999999</v>
      </c>
      <c r="I46" s="29">
        <v>0.23699999999999999</v>
      </c>
      <c r="J46" s="29">
        <v>0.23699999999999999</v>
      </c>
      <c r="K46" s="29">
        <v>0.23699999999999999</v>
      </c>
      <c r="L46" s="29">
        <v>0.23699999999999999</v>
      </c>
      <c r="M46" s="29">
        <v>0.23699999999999999</v>
      </c>
      <c r="N46" s="29">
        <v>0.23699999999999999</v>
      </c>
      <c r="O46" s="29">
        <v>0.23699999999999999</v>
      </c>
      <c r="P46" s="29">
        <v>0.23699999999999999</v>
      </c>
      <c r="Q46" s="29">
        <v>0.23699999999999999</v>
      </c>
      <c r="R46" s="29">
        <v>0.23699999999999999</v>
      </c>
      <c r="S46" s="29">
        <v>0.23699999999999999</v>
      </c>
      <c r="T46" s="29">
        <v>0.23699999999999999</v>
      </c>
      <c r="U46" s="29">
        <v>0.23699999999999999</v>
      </c>
      <c r="V46" s="29">
        <v>0.23699999999999999</v>
      </c>
      <c r="W46" s="29">
        <v>0.23699999999999999</v>
      </c>
      <c r="X46" s="29">
        <v>0.23699999999999999</v>
      </c>
      <c r="Y46" s="29">
        <v>0.23699999999999999</v>
      </c>
      <c r="Z46" s="29">
        <v>0.23699999999999999</v>
      </c>
      <c r="AA46" s="29">
        <v>0.23699999999999999</v>
      </c>
      <c r="AB46" s="29">
        <v>0.23699999999999999</v>
      </c>
      <c r="AC46" s="29">
        <v>0.23699999999999999</v>
      </c>
      <c r="AD46" s="29">
        <v>0.23699999999999999</v>
      </c>
      <c r="AE46" s="29">
        <v>0.23699999999999999</v>
      </c>
      <c r="AF46" s="29">
        <v>0.23699999999999999</v>
      </c>
      <c r="AG46" s="29">
        <v>0.23699999999999999</v>
      </c>
      <c r="AH46" s="29">
        <v>0.23699999999999999</v>
      </c>
      <c r="AI46" s="29">
        <v>0.23699999999999999</v>
      </c>
      <c r="AJ46" s="29">
        <v>0.23699999999999999</v>
      </c>
      <c r="AK46" s="29">
        <v>0.23699999999999999</v>
      </c>
      <c r="AL46" s="44">
        <v>0.23699999999999999</v>
      </c>
      <c r="AM46" s="10"/>
    </row>
    <row r="47" spans="2:39">
      <c r="B47" s="10"/>
      <c r="C47" s="21" t="str">
        <f>"EL 6: " &amp; INDEX(_doName,5,7)</f>
        <v>EL 6: EL 6</v>
      </c>
      <c r="D47" s="18" t="s">
        <v>47</v>
      </c>
      <c r="E47" s="46">
        <v>0.152</v>
      </c>
      <c r="F47" s="46">
        <f t="array" ref="F47:AL47">$E$47</f>
        <v>0.152</v>
      </c>
      <c r="G47" s="46">
        <v>0.152</v>
      </c>
      <c r="H47" s="46">
        <v>0.152</v>
      </c>
      <c r="I47" s="46">
        <v>0.152</v>
      </c>
      <c r="J47" s="46">
        <v>0.152</v>
      </c>
      <c r="K47" s="46">
        <v>0.152</v>
      </c>
      <c r="L47" s="46">
        <v>0.152</v>
      </c>
      <c r="M47" s="46">
        <v>0.152</v>
      </c>
      <c r="N47" s="46">
        <v>0.152</v>
      </c>
      <c r="O47" s="46">
        <v>0.152</v>
      </c>
      <c r="P47" s="46">
        <v>0.152</v>
      </c>
      <c r="Q47" s="46">
        <v>0.152</v>
      </c>
      <c r="R47" s="46">
        <v>0.152</v>
      </c>
      <c r="S47" s="46">
        <v>0.152</v>
      </c>
      <c r="T47" s="46">
        <v>0.152</v>
      </c>
      <c r="U47" s="46">
        <v>0.152</v>
      </c>
      <c r="V47" s="46">
        <v>0.152</v>
      </c>
      <c r="W47" s="46">
        <v>0.152</v>
      </c>
      <c r="X47" s="46">
        <v>0.152</v>
      </c>
      <c r="Y47" s="46">
        <v>0.152</v>
      </c>
      <c r="Z47" s="46">
        <v>0.152</v>
      </c>
      <c r="AA47" s="46">
        <v>0.152</v>
      </c>
      <c r="AB47" s="46">
        <v>0.152</v>
      </c>
      <c r="AC47" s="46">
        <v>0.152</v>
      </c>
      <c r="AD47" s="46">
        <v>0.152</v>
      </c>
      <c r="AE47" s="46">
        <v>0.152</v>
      </c>
      <c r="AF47" s="46">
        <v>0.152</v>
      </c>
      <c r="AG47" s="46">
        <v>0.152</v>
      </c>
      <c r="AH47" s="46">
        <v>0.152</v>
      </c>
      <c r="AI47" s="46">
        <v>0.152</v>
      </c>
      <c r="AJ47" s="46">
        <v>0.152</v>
      </c>
      <c r="AK47" s="46">
        <v>0.152</v>
      </c>
      <c r="AL47" s="47">
        <v>0.152</v>
      </c>
      <c r="AM47" s="10"/>
    </row>
    <row r="48" spans="2:39">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2:39" ht="15" hidden="1">
      <c r="B49" s="10"/>
      <c r="C49" s="22" t="s">
        <v>89</v>
      </c>
      <c r="D49" s="23"/>
      <c r="E49" s="24">
        <f t="array" ref="E49:AL49">_yS</f>
        <v>2019</v>
      </c>
      <c r="F49" s="24">
        <v>2020</v>
      </c>
      <c r="G49" s="24">
        <v>2021</v>
      </c>
      <c r="H49" s="24">
        <v>2022</v>
      </c>
      <c r="I49" s="24">
        <v>2023</v>
      </c>
      <c r="J49" s="24">
        <v>2024</v>
      </c>
      <c r="K49" s="24">
        <v>2025</v>
      </c>
      <c r="L49" s="24">
        <v>2026</v>
      </c>
      <c r="M49" s="24">
        <v>2027</v>
      </c>
      <c r="N49" s="24">
        <v>2028</v>
      </c>
      <c r="O49" s="24">
        <v>2029</v>
      </c>
      <c r="P49" s="24">
        <v>2030</v>
      </c>
      <c r="Q49" s="24">
        <v>2031</v>
      </c>
      <c r="R49" s="24">
        <v>2032</v>
      </c>
      <c r="S49" s="24">
        <v>2033</v>
      </c>
      <c r="T49" s="24">
        <v>2034</v>
      </c>
      <c r="U49" s="24">
        <v>2035</v>
      </c>
      <c r="V49" s="24">
        <v>2036</v>
      </c>
      <c r="W49" s="24">
        <v>2037</v>
      </c>
      <c r="X49" s="24">
        <v>2038</v>
      </c>
      <c r="Y49" s="24">
        <v>2039</v>
      </c>
      <c r="Z49" s="24">
        <v>2040</v>
      </c>
      <c r="AA49" s="24">
        <v>2041</v>
      </c>
      <c r="AB49" s="24">
        <v>2042</v>
      </c>
      <c r="AC49" s="24">
        <v>2043</v>
      </c>
      <c r="AD49" s="24">
        <v>2044</v>
      </c>
      <c r="AE49" s="24">
        <v>2045</v>
      </c>
      <c r="AF49" s="24">
        <v>2046</v>
      </c>
      <c r="AG49" s="24">
        <v>2047</v>
      </c>
      <c r="AH49" s="24">
        <v>2048</v>
      </c>
      <c r="AI49" s="24">
        <v>2049</v>
      </c>
      <c r="AJ49" s="24">
        <v>2050</v>
      </c>
      <c r="AK49" s="24">
        <v>2051</v>
      </c>
      <c r="AL49" s="25">
        <v>2052</v>
      </c>
      <c r="AM49" s="10"/>
    </row>
    <row r="50" spans="2:39" ht="15" hidden="1">
      <c r="B50" s="10"/>
      <c r="C50" s="11" t="str">
        <f>"EL 0: " &amp; INDEX(_doName,5,1)</f>
        <v>EL 0: EL 4</v>
      </c>
      <c r="D50" s="12"/>
      <c r="E50" s="13">
        <f t="array" ref="E50:AL50">tlccQubc0</f>
        <v>2462.8465126276201</v>
      </c>
      <c r="F50" s="13">
        <v>2462.8465126276201</v>
      </c>
      <c r="G50" s="13">
        <v>2462.8465126276201</v>
      </c>
      <c r="H50" s="13">
        <v>2462.8465126276201</v>
      </c>
      <c r="I50" s="13">
        <v>2462.8465126276201</v>
      </c>
      <c r="J50" s="13">
        <v>2462.8465126276201</v>
      </c>
      <c r="K50" s="13">
        <v>2462.8465126276201</v>
      </c>
      <c r="L50" s="13">
        <v>2462.8465126276201</v>
      </c>
      <c r="M50" s="13">
        <v>2462.8465126276201</v>
      </c>
      <c r="N50" s="13">
        <v>2462.8465126276201</v>
      </c>
      <c r="O50" s="13">
        <v>2462.8465126276201</v>
      </c>
      <c r="P50" s="13">
        <v>2462.8465126276201</v>
      </c>
      <c r="Q50" s="13">
        <v>2462.8465126276201</v>
      </c>
      <c r="R50" s="13">
        <v>2462.8465126276201</v>
      </c>
      <c r="S50" s="13">
        <v>2462.8465126276201</v>
      </c>
      <c r="T50" s="13">
        <v>2462.8465126276201</v>
      </c>
      <c r="U50" s="13">
        <v>2462.8465126276201</v>
      </c>
      <c r="V50" s="13">
        <v>2462.8465126276201</v>
      </c>
      <c r="W50" s="13">
        <v>2462.8465126276201</v>
      </c>
      <c r="X50" s="13">
        <v>2462.8465126276201</v>
      </c>
      <c r="Y50" s="13">
        <v>2462.8465126276201</v>
      </c>
      <c r="Z50" s="13">
        <v>2462.8465126276201</v>
      </c>
      <c r="AA50" s="13">
        <v>2462.8465126276201</v>
      </c>
      <c r="AB50" s="13">
        <v>2462.8465126276201</v>
      </c>
      <c r="AC50" s="13">
        <v>2462.8465126276201</v>
      </c>
      <c r="AD50" s="13">
        <v>2462.8465126276201</v>
      </c>
      <c r="AE50" s="13">
        <v>2462.8465126276201</v>
      </c>
      <c r="AF50" s="13">
        <v>2462.8465126276201</v>
      </c>
      <c r="AG50" s="13">
        <v>2462.8465126276201</v>
      </c>
      <c r="AH50" s="13">
        <v>2462.8465126276201</v>
      </c>
      <c r="AI50" s="13">
        <v>2462.8465126276201</v>
      </c>
      <c r="AJ50" s="13">
        <v>2462.8465126276201</v>
      </c>
      <c r="AK50" s="13">
        <v>2462.8465126276201</v>
      </c>
      <c r="AL50" s="56">
        <v>2462.8465126276201</v>
      </c>
      <c r="AM50" s="10"/>
    </row>
    <row r="51" spans="2:39" ht="15" hidden="1">
      <c r="B51" s="10"/>
      <c r="C51" s="11" t="str">
        <f>"EL 1: " &amp; INDEX(_doName,5,2)</f>
        <v>EL 1: EL 1</v>
      </c>
      <c r="D51" s="12"/>
      <c r="E51" s="13">
        <f t="array" ref="E51:AL51">tlccQubc1</f>
        <v>2928.95234948603</v>
      </c>
      <c r="F51" s="13">
        <v>2928.95234948603</v>
      </c>
      <c r="G51" s="13">
        <v>2928.95234948603</v>
      </c>
      <c r="H51" s="13">
        <v>2928.95234948603</v>
      </c>
      <c r="I51" s="13">
        <v>2928.95234948603</v>
      </c>
      <c r="J51" s="13">
        <v>2928.95234948603</v>
      </c>
      <c r="K51" s="13">
        <v>2928.95234948603</v>
      </c>
      <c r="L51" s="13">
        <v>2928.95234948603</v>
      </c>
      <c r="M51" s="13">
        <v>2928.95234948603</v>
      </c>
      <c r="N51" s="13">
        <v>2928.95234948603</v>
      </c>
      <c r="O51" s="13">
        <v>2928.95234948603</v>
      </c>
      <c r="P51" s="13">
        <v>2928.95234948603</v>
      </c>
      <c r="Q51" s="13">
        <v>2928.95234948603</v>
      </c>
      <c r="R51" s="13">
        <v>2928.95234948603</v>
      </c>
      <c r="S51" s="13">
        <v>2928.95234948603</v>
      </c>
      <c r="T51" s="13">
        <v>2928.95234948603</v>
      </c>
      <c r="U51" s="13">
        <v>2928.95234948603</v>
      </c>
      <c r="V51" s="13">
        <v>2928.95234948603</v>
      </c>
      <c r="W51" s="13">
        <v>2928.95234948603</v>
      </c>
      <c r="X51" s="13">
        <v>2928.95234948603</v>
      </c>
      <c r="Y51" s="13">
        <v>2928.95234948603</v>
      </c>
      <c r="Z51" s="13">
        <v>2928.95234948603</v>
      </c>
      <c r="AA51" s="13">
        <v>2928.95234948603</v>
      </c>
      <c r="AB51" s="13">
        <v>2928.95234948603</v>
      </c>
      <c r="AC51" s="13">
        <v>2928.95234948603</v>
      </c>
      <c r="AD51" s="13">
        <v>2928.95234948603</v>
      </c>
      <c r="AE51" s="13">
        <v>2928.95234948603</v>
      </c>
      <c r="AF51" s="13">
        <v>2928.95234948603</v>
      </c>
      <c r="AG51" s="13">
        <v>2928.95234948603</v>
      </c>
      <c r="AH51" s="13">
        <v>2928.95234948603</v>
      </c>
      <c r="AI51" s="13">
        <v>2928.95234948603</v>
      </c>
      <c r="AJ51" s="13">
        <v>2928.95234948603</v>
      </c>
      <c r="AK51" s="13">
        <v>2928.95234948603</v>
      </c>
      <c r="AL51" s="56">
        <v>2928.95234948603</v>
      </c>
      <c r="AM51" s="10"/>
    </row>
    <row r="52" spans="2:39" ht="15" hidden="1">
      <c r="B52" s="10"/>
      <c r="C52" s="11" t="str">
        <f>"EL 2: " &amp; INDEX(_doName,5,3)</f>
        <v>EL 2: EL 2</v>
      </c>
      <c r="D52" s="12"/>
      <c r="E52" s="13">
        <f t="array" ref="E52:AL52">tlccQubc2</f>
        <v>2991.4848152295599</v>
      </c>
      <c r="F52" s="13">
        <v>2991.4848152295599</v>
      </c>
      <c r="G52" s="13">
        <v>2991.4848152295599</v>
      </c>
      <c r="H52" s="13">
        <v>2991.4848152295599</v>
      </c>
      <c r="I52" s="13">
        <v>2991.4848152295599</v>
      </c>
      <c r="J52" s="13">
        <v>2991.4848152295599</v>
      </c>
      <c r="K52" s="13">
        <v>2991.4848152295599</v>
      </c>
      <c r="L52" s="13">
        <v>2991.4848152295599</v>
      </c>
      <c r="M52" s="13">
        <v>2991.4848152295599</v>
      </c>
      <c r="N52" s="13">
        <v>2991.4848152295599</v>
      </c>
      <c r="O52" s="13">
        <v>2991.4848152295599</v>
      </c>
      <c r="P52" s="13">
        <v>2991.4848152295599</v>
      </c>
      <c r="Q52" s="13">
        <v>2991.4848152295599</v>
      </c>
      <c r="R52" s="13">
        <v>2991.4848152295599</v>
      </c>
      <c r="S52" s="13">
        <v>2991.4848152295599</v>
      </c>
      <c r="T52" s="13">
        <v>2991.4848152295599</v>
      </c>
      <c r="U52" s="13">
        <v>2991.4848152295599</v>
      </c>
      <c r="V52" s="13">
        <v>2991.4848152295599</v>
      </c>
      <c r="W52" s="13">
        <v>2991.4848152295599</v>
      </c>
      <c r="X52" s="13">
        <v>2991.4848152295599</v>
      </c>
      <c r="Y52" s="13">
        <v>2991.4848152295599</v>
      </c>
      <c r="Z52" s="13">
        <v>2991.4848152295599</v>
      </c>
      <c r="AA52" s="13">
        <v>2991.4848152295599</v>
      </c>
      <c r="AB52" s="13">
        <v>2991.4848152295599</v>
      </c>
      <c r="AC52" s="13">
        <v>2991.4848152295599</v>
      </c>
      <c r="AD52" s="13">
        <v>2991.4848152295599</v>
      </c>
      <c r="AE52" s="13">
        <v>2991.4848152295599</v>
      </c>
      <c r="AF52" s="13">
        <v>2991.4848152295599</v>
      </c>
      <c r="AG52" s="13">
        <v>2991.4848152295599</v>
      </c>
      <c r="AH52" s="13">
        <v>2991.4848152295599</v>
      </c>
      <c r="AI52" s="13">
        <v>2991.4848152295599</v>
      </c>
      <c r="AJ52" s="13">
        <v>2991.4848152295599</v>
      </c>
      <c r="AK52" s="13">
        <v>2991.4848152295599</v>
      </c>
      <c r="AL52" s="56">
        <v>2991.4848152295599</v>
      </c>
      <c r="AM52" s="10"/>
    </row>
    <row r="53" spans="2:39" ht="15" hidden="1">
      <c r="B53" s="10"/>
      <c r="C53" s="11" t="str">
        <f>"EL 3: " &amp; INDEX(_doName,5,4)</f>
        <v>EL 3: EL 3</v>
      </c>
      <c r="D53" s="12"/>
      <c r="E53" s="13">
        <f t="array" ref="E53:AL53">tlccQubc3</f>
        <v>2795.4998600645899</v>
      </c>
      <c r="F53" s="13">
        <v>2795.4998600645899</v>
      </c>
      <c r="G53" s="13">
        <v>2795.4998600645899</v>
      </c>
      <c r="H53" s="13">
        <v>2795.4998600645899</v>
      </c>
      <c r="I53" s="13">
        <v>2795.4998600645899</v>
      </c>
      <c r="J53" s="13">
        <v>2795.4998600645899</v>
      </c>
      <c r="K53" s="13">
        <v>2795.4998600645899</v>
      </c>
      <c r="L53" s="13">
        <v>2795.4998600645899</v>
      </c>
      <c r="M53" s="13">
        <v>2795.4998600645899</v>
      </c>
      <c r="N53" s="13">
        <v>2795.4998600645899</v>
      </c>
      <c r="O53" s="13">
        <v>2795.4998600645899</v>
      </c>
      <c r="P53" s="13">
        <v>2795.4998600645899</v>
      </c>
      <c r="Q53" s="13">
        <v>2795.4998600645899</v>
      </c>
      <c r="R53" s="13">
        <v>2795.4998600645899</v>
      </c>
      <c r="S53" s="13">
        <v>2795.4998600645899</v>
      </c>
      <c r="T53" s="13">
        <v>2795.4998600645899</v>
      </c>
      <c r="U53" s="13">
        <v>2795.4998600645899</v>
      </c>
      <c r="V53" s="13">
        <v>2795.4998600645899</v>
      </c>
      <c r="W53" s="13">
        <v>2795.4998600645899</v>
      </c>
      <c r="X53" s="13">
        <v>2795.4998600645899</v>
      </c>
      <c r="Y53" s="13">
        <v>2795.4998600645899</v>
      </c>
      <c r="Z53" s="13">
        <v>2795.4998600645899</v>
      </c>
      <c r="AA53" s="13">
        <v>2795.4998600645899</v>
      </c>
      <c r="AB53" s="13">
        <v>2795.4998600645899</v>
      </c>
      <c r="AC53" s="13">
        <v>2795.4998600645899</v>
      </c>
      <c r="AD53" s="13">
        <v>2795.4998600645899</v>
      </c>
      <c r="AE53" s="13">
        <v>2795.4998600645899</v>
      </c>
      <c r="AF53" s="13">
        <v>2795.4998600645899</v>
      </c>
      <c r="AG53" s="13">
        <v>2795.4998600645899</v>
      </c>
      <c r="AH53" s="13">
        <v>2795.4998600645899</v>
      </c>
      <c r="AI53" s="13">
        <v>2795.4998600645899</v>
      </c>
      <c r="AJ53" s="13">
        <v>2795.4998600645899</v>
      </c>
      <c r="AK53" s="13">
        <v>2795.4998600645899</v>
      </c>
      <c r="AL53" s="56">
        <v>2795.4998600645899</v>
      </c>
      <c r="AM53" s="10"/>
    </row>
    <row r="54" spans="2:39" ht="15" hidden="1">
      <c r="B54" s="10"/>
      <c r="C54" s="11" t="str">
        <f>"EL 4: " &amp; INDEX(_doName,5,5)</f>
        <v>EL 4: EL 4</v>
      </c>
      <c r="D54" s="12"/>
      <c r="E54" s="13">
        <f t="array" ref="E54:AL54">tlccQubc4</f>
        <v>3017.4992759051102</v>
      </c>
      <c r="F54" s="13">
        <v>3017.4992759051102</v>
      </c>
      <c r="G54" s="13">
        <v>3017.4992759051102</v>
      </c>
      <c r="H54" s="13">
        <v>3017.4992759051102</v>
      </c>
      <c r="I54" s="13">
        <v>3017.4992759051102</v>
      </c>
      <c r="J54" s="13">
        <v>3017.4992759051102</v>
      </c>
      <c r="K54" s="13">
        <v>3017.4992759051102</v>
      </c>
      <c r="L54" s="13">
        <v>3017.4992759051102</v>
      </c>
      <c r="M54" s="13">
        <v>3017.4992759051102</v>
      </c>
      <c r="N54" s="13">
        <v>3017.4992759051102</v>
      </c>
      <c r="O54" s="13">
        <v>3017.4992759051102</v>
      </c>
      <c r="P54" s="13">
        <v>3017.4992759051102</v>
      </c>
      <c r="Q54" s="13">
        <v>3017.4992759051102</v>
      </c>
      <c r="R54" s="13">
        <v>3017.4992759051102</v>
      </c>
      <c r="S54" s="13">
        <v>3017.4992759051102</v>
      </c>
      <c r="T54" s="13">
        <v>3017.4992759051102</v>
      </c>
      <c r="U54" s="13">
        <v>3017.4992759051102</v>
      </c>
      <c r="V54" s="13">
        <v>3017.4992759051102</v>
      </c>
      <c r="W54" s="13">
        <v>3017.4992759051102</v>
      </c>
      <c r="X54" s="13">
        <v>3017.4992759051102</v>
      </c>
      <c r="Y54" s="13">
        <v>3017.4992759051102</v>
      </c>
      <c r="Z54" s="13">
        <v>3017.4992759051102</v>
      </c>
      <c r="AA54" s="13">
        <v>3017.4992759051102</v>
      </c>
      <c r="AB54" s="13">
        <v>3017.4992759051102</v>
      </c>
      <c r="AC54" s="13">
        <v>3017.4992759051102</v>
      </c>
      <c r="AD54" s="13">
        <v>3017.4992759051102</v>
      </c>
      <c r="AE54" s="13">
        <v>3017.4992759051102</v>
      </c>
      <c r="AF54" s="13">
        <v>3017.4992759051102</v>
      </c>
      <c r="AG54" s="13">
        <v>3017.4992759051102</v>
      </c>
      <c r="AH54" s="13">
        <v>3017.4992759051102</v>
      </c>
      <c r="AI54" s="13">
        <v>3017.4992759051102</v>
      </c>
      <c r="AJ54" s="13">
        <v>3017.4992759051102</v>
      </c>
      <c r="AK54" s="13">
        <v>3017.4992759051102</v>
      </c>
      <c r="AL54" s="56">
        <v>3017.4992759051102</v>
      </c>
      <c r="AM54" s="10"/>
    </row>
    <row r="55" spans="2:39" ht="15" hidden="1">
      <c r="B55" s="10"/>
      <c r="C55" s="11" t="str">
        <f>"EL 5: " &amp; INDEX(_doName,5,6)</f>
        <v>EL 5: EL 5</v>
      </c>
      <c r="D55" s="12"/>
      <c r="E55" s="13">
        <f t="array" ref="E55:AL55">tlccQubc5</f>
        <v>4732.2143233830202</v>
      </c>
      <c r="F55" s="13">
        <v>4732.2143233830202</v>
      </c>
      <c r="G55" s="13">
        <v>4732.2143233830202</v>
      </c>
      <c r="H55" s="13">
        <v>4732.2143233830202</v>
      </c>
      <c r="I55" s="13">
        <v>4732.2143233830202</v>
      </c>
      <c r="J55" s="13">
        <v>4732.2143233830202</v>
      </c>
      <c r="K55" s="13">
        <v>4732.2143233830202</v>
      </c>
      <c r="L55" s="13">
        <v>4732.2143233830202</v>
      </c>
      <c r="M55" s="13">
        <v>4732.2143233830202</v>
      </c>
      <c r="N55" s="13">
        <v>4732.2143233830202</v>
      </c>
      <c r="O55" s="13">
        <v>4732.2143233830202</v>
      </c>
      <c r="P55" s="13">
        <v>4732.2143233830202</v>
      </c>
      <c r="Q55" s="13">
        <v>4732.2143233830202</v>
      </c>
      <c r="R55" s="13">
        <v>4732.2143233830202</v>
      </c>
      <c r="S55" s="13">
        <v>4732.2143233830202</v>
      </c>
      <c r="T55" s="13">
        <v>4732.2143233830202</v>
      </c>
      <c r="U55" s="13">
        <v>4732.2143233830202</v>
      </c>
      <c r="V55" s="13">
        <v>4732.2143233830202</v>
      </c>
      <c r="W55" s="13">
        <v>4732.2143233830202</v>
      </c>
      <c r="X55" s="13">
        <v>4732.2143233830202</v>
      </c>
      <c r="Y55" s="13">
        <v>4732.2143233830202</v>
      </c>
      <c r="Z55" s="13">
        <v>4732.2143233830202</v>
      </c>
      <c r="AA55" s="13">
        <v>4732.2143233830202</v>
      </c>
      <c r="AB55" s="13">
        <v>4732.2143233830202</v>
      </c>
      <c r="AC55" s="13">
        <v>4732.2143233830202</v>
      </c>
      <c r="AD55" s="13">
        <v>4732.2143233830202</v>
      </c>
      <c r="AE55" s="13">
        <v>4732.2143233830202</v>
      </c>
      <c r="AF55" s="13">
        <v>4732.2143233830202</v>
      </c>
      <c r="AG55" s="13">
        <v>4732.2143233830202</v>
      </c>
      <c r="AH55" s="13">
        <v>4732.2143233830202</v>
      </c>
      <c r="AI55" s="13">
        <v>4732.2143233830202</v>
      </c>
      <c r="AJ55" s="13">
        <v>4732.2143233830202</v>
      </c>
      <c r="AK55" s="13">
        <v>4732.2143233830202</v>
      </c>
      <c r="AL55" s="56">
        <v>4732.2143233830202</v>
      </c>
      <c r="AM55" s="10"/>
    </row>
    <row r="56" spans="2:39" ht="15" hidden="1">
      <c r="B56" s="10"/>
      <c r="C56" s="21" t="str">
        <f>"EL 6: " &amp; INDEX(_doName,5,7)</f>
        <v>EL 6: EL 6</v>
      </c>
      <c r="D56" s="18"/>
      <c r="E56" s="58">
        <f t="array" ref="E56:AL56">tlccQubc6</f>
        <v>5262.6649260700196</v>
      </c>
      <c r="F56" s="58">
        <v>5262.6649260700196</v>
      </c>
      <c r="G56" s="58">
        <v>5262.6649260700196</v>
      </c>
      <c r="H56" s="58">
        <v>5262.6649260700196</v>
      </c>
      <c r="I56" s="58">
        <v>5262.6649260700196</v>
      </c>
      <c r="J56" s="58">
        <v>5262.6649260700196</v>
      </c>
      <c r="K56" s="58">
        <v>5262.6649260700196</v>
      </c>
      <c r="L56" s="58">
        <v>5262.6649260700196</v>
      </c>
      <c r="M56" s="58">
        <v>5262.6649260700196</v>
      </c>
      <c r="N56" s="58">
        <v>5262.6649260700196</v>
      </c>
      <c r="O56" s="58">
        <v>5262.6649260700196</v>
      </c>
      <c r="P56" s="58">
        <v>5262.6649260700196</v>
      </c>
      <c r="Q56" s="58">
        <v>5262.6649260700196</v>
      </c>
      <c r="R56" s="58">
        <v>5262.6649260700196</v>
      </c>
      <c r="S56" s="58">
        <v>5262.6649260700196</v>
      </c>
      <c r="T56" s="58">
        <v>5262.6649260700196</v>
      </c>
      <c r="U56" s="58">
        <v>5262.6649260700196</v>
      </c>
      <c r="V56" s="58">
        <v>5262.6649260700196</v>
      </c>
      <c r="W56" s="58">
        <v>5262.6649260700196</v>
      </c>
      <c r="X56" s="58">
        <v>5262.6649260700196</v>
      </c>
      <c r="Y56" s="58">
        <v>5262.6649260700196</v>
      </c>
      <c r="Z56" s="58">
        <v>5262.6649260700196</v>
      </c>
      <c r="AA56" s="58">
        <v>5262.6649260700196</v>
      </c>
      <c r="AB56" s="58">
        <v>5262.6649260700196</v>
      </c>
      <c r="AC56" s="58">
        <v>5262.6649260700196</v>
      </c>
      <c r="AD56" s="58">
        <v>5262.6649260700196</v>
      </c>
      <c r="AE56" s="58">
        <v>5262.6649260700196</v>
      </c>
      <c r="AF56" s="58">
        <v>5262.6649260700196</v>
      </c>
      <c r="AG56" s="58">
        <v>5262.6649260700196</v>
      </c>
      <c r="AH56" s="58">
        <v>5262.6649260700196</v>
      </c>
      <c r="AI56" s="58">
        <v>5262.6649260700196</v>
      </c>
      <c r="AJ56" s="58">
        <v>5262.6649260700196</v>
      </c>
      <c r="AK56" s="58">
        <v>5262.6649260700196</v>
      </c>
      <c r="AL56" s="59">
        <v>5262.6649260700196</v>
      </c>
      <c r="AM56" s="10"/>
    </row>
    <row r="57" spans="2:39" ht="15" hidden="1">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2:39" ht="15" hidden="1">
      <c r="B58" s="10"/>
      <c r="C58" s="22" t="s">
        <v>88</v>
      </c>
      <c r="D58" s="23"/>
      <c r="E58" s="24">
        <f t="array" ref="E58:AL58">_yS</f>
        <v>2019</v>
      </c>
      <c r="F58" s="24">
        <v>2020</v>
      </c>
      <c r="G58" s="24">
        <v>2021</v>
      </c>
      <c r="H58" s="24">
        <v>2022</v>
      </c>
      <c r="I58" s="24">
        <v>2023</v>
      </c>
      <c r="J58" s="24">
        <v>2024</v>
      </c>
      <c r="K58" s="24">
        <v>2025</v>
      </c>
      <c r="L58" s="24">
        <v>2026</v>
      </c>
      <c r="M58" s="24">
        <v>2027</v>
      </c>
      <c r="N58" s="24">
        <v>2028</v>
      </c>
      <c r="O58" s="24">
        <v>2029</v>
      </c>
      <c r="P58" s="24">
        <v>2030</v>
      </c>
      <c r="Q58" s="24">
        <v>2031</v>
      </c>
      <c r="R58" s="24">
        <v>2032</v>
      </c>
      <c r="S58" s="24">
        <v>2033</v>
      </c>
      <c r="T58" s="24">
        <v>2034</v>
      </c>
      <c r="U58" s="24">
        <v>2035</v>
      </c>
      <c r="V58" s="24">
        <v>2036</v>
      </c>
      <c r="W58" s="24">
        <v>2037</v>
      </c>
      <c r="X58" s="24">
        <v>2038</v>
      </c>
      <c r="Y58" s="24">
        <v>2039</v>
      </c>
      <c r="Z58" s="24">
        <v>2040</v>
      </c>
      <c r="AA58" s="24">
        <v>2041</v>
      </c>
      <c r="AB58" s="24">
        <v>2042</v>
      </c>
      <c r="AC58" s="24">
        <v>2043</v>
      </c>
      <c r="AD58" s="24">
        <v>2044</v>
      </c>
      <c r="AE58" s="24">
        <v>2045</v>
      </c>
      <c r="AF58" s="24">
        <v>2046</v>
      </c>
      <c r="AG58" s="24">
        <v>2047</v>
      </c>
      <c r="AH58" s="24">
        <v>2048</v>
      </c>
      <c r="AI58" s="24">
        <v>2049</v>
      </c>
      <c r="AJ58" s="24">
        <v>2050</v>
      </c>
      <c r="AK58" s="24">
        <v>2051</v>
      </c>
      <c r="AL58" s="25">
        <v>2052</v>
      </c>
      <c r="AM58" s="10"/>
    </row>
    <row r="59" spans="2:39" ht="15" hidden="1">
      <c r="B59" s="10"/>
      <c r="C59" s="11" t="str">
        <f>"EL 0: " &amp; INDEX(_doName,5,1)</f>
        <v>EL 0: EL 4</v>
      </c>
      <c r="D59" s="12"/>
      <c r="E59" s="13">
        <f t="array" aca="1" ref="E59:AL59" ca="1">tlccEubc0</f>
        <v>14350.938809217852</v>
      </c>
      <c r="F59" s="13">
        <f ca="1"/>
        <v>14468.09476378219</v>
      </c>
      <c r="G59" s="13">
        <f ca="1"/>
        <v>14581.650588816694</v>
      </c>
      <c r="H59" s="13">
        <f ca="1"/>
        <v>14683.849551412626</v>
      </c>
      <c r="I59" s="13">
        <f ca="1"/>
        <v>14776.334673347328</v>
      </c>
      <c r="J59" s="13">
        <f ca="1"/>
        <v>14869.414718488882</v>
      </c>
      <c r="K59" s="13">
        <f ca="1"/>
        <v>14963.093604311527</v>
      </c>
      <c r="L59" s="13">
        <f ca="1"/>
        <v>15057.375274732214</v>
      </c>
      <c r="M59" s="13">
        <f ca="1"/>
        <v>15152.263700293608</v>
      </c>
      <c r="N59" s="13">
        <f ca="1"/>
        <v>15247.762878348405</v>
      </c>
      <c r="O59" s="13">
        <f ca="1"/>
        <v>15343.876833244869</v>
      </c>
      <c r="P59" s="13">
        <f ca="1"/>
        <v>15440.609616513813</v>
      </c>
      <c r="Q59" s="13">
        <f ca="1"/>
        <v>15537.965307056846</v>
      </c>
      <c r="R59" s="13">
        <f ca="1"/>
        <v>15635.94801133589</v>
      </c>
      <c r="S59" s="13">
        <f ca="1"/>
        <v>15734.561863564191</v>
      </c>
      <c r="T59" s="13">
        <f ca="1"/>
        <v>15833.811025898513</v>
      </c>
      <c r="U59" s="13">
        <f ca="1"/>
        <v>15933.699688632869</v>
      </c>
      <c r="V59" s="13">
        <f ca="1"/>
        <v>16034.232070393467</v>
      </c>
      <c r="W59" s="13">
        <f ca="1"/>
        <v>16135.41241833514</v>
      </c>
      <c r="X59" s="13">
        <f ca="1"/>
        <v>16237.245008339156</v>
      </c>
      <c r="Y59" s="13">
        <f ca="1"/>
        <v>16339.734145212393</v>
      </c>
      <c r="Z59" s="13">
        <f ca="1"/>
        <v>16442.884162887996</v>
      </c>
      <c r="AA59" s="13">
        <f ca="1"/>
        <v>16546.699424627383</v>
      </c>
      <c r="AB59" s="13">
        <f ca="1"/>
        <v>16651.184323223704</v>
      </c>
      <c r="AC59" s="13">
        <f ca="1"/>
        <v>16756.343281206828</v>
      </c>
      <c r="AD59" s="13">
        <f ca="1"/>
        <v>16862.18075104964</v>
      </c>
      <c r="AE59" s="13">
        <f ca="1"/>
        <v>16968.701215376004</v>
      </c>
      <c r="AF59" s="13">
        <f ca="1"/>
        <v>17075.909187169938</v>
      </c>
      <c r="AG59" s="13">
        <f ca="1"/>
        <v>17183.809209986517</v>
      </c>
      <c r="AH59" s="13">
        <f ca="1"/>
        <v>17292.405858164209</v>
      </c>
      <c r="AI59" s="13">
        <f ca="1"/>
        <v>17401.703737038584</v>
      </c>
      <c r="AJ59" s="13">
        <f ca="1"/>
        <v>17511.707483157767</v>
      </c>
      <c r="AK59" s="13">
        <f ca="1"/>
        <v>17622.421764499275</v>
      </c>
      <c r="AL59" s="56">
        <f ca="1"/>
        <v>17733.851280688366</v>
      </c>
      <c r="AM59" s="10"/>
    </row>
    <row r="60" spans="2:39" ht="15" hidden="1">
      <c r="B60" s="10"/>
      <c r="C60" s="11" t="str">
        <f>"EL 1: " &amp; INDEX(_doName,5,2)</f>
        <v>EL 1: EL 1</v>
      </c>
      <c r="D60" s="12"/>
      <c r="E60" s="13">
        <f t="array" aca="1" ref="E60:AL60" ca="1">tlccEubc1</f>
        <v>16563.052794164836</v>
      </c>
      <c r="F60" s="13">
        <f ca="1"/>
        <v>16698.267659644844</v>
      </c>
      <c r="G60" s="13">
        <f ca="1"/>
        <v>16829.327456507956</v>
      </c>
      <c r="H60" s="13">
        <f ca="1"/>
        <v>16947.279796455103</v>
      </c>
      <c r="I60" s="13">
        <f ca="1"/>
        <v>17054.020963541341</v>
      </c>
      <c r="J60" s="13">
        <f ca="1"/>
        <v>17161.448757796348</v>
      </c>
      <c r="K60" s="13">
        <f ca="1"/>
        <v>17269.567700550273</v>
      </c>
      <c r="L60" s="13">
        <f ca="1"/>
        <v>17378.382343652007</v>
      </c>
      <c r="M60" s="13">
        <f ca="1"/>
        <v>17487.897269680339</v>
      </c>
      <c r="N60" s="13">
        <f ca="1"/>
        <v>17598.117092156695</v>
      </c>
      <c r="O60" s="13">
        <f ca="1"/>
        <v>17709.046455759271</v>
      </c>
      <c r="P60" s="13">
        <f ca="1"/>
        <v>17820.690036538876</v>
      </c>
      <c r="Q60" s="13">
        <f ca="1"/>
        <v>17933.052542136124</v>
      </c>
      <c r="R60" s="13">
        <f ca="1"/>
        <v>18046.138712000262</v>
      </c>
      <c r="S60" s="13">
        <f ca="1"/>
        <v>18159.953317609485</v>
      </c>
      <c r="T60" s="13">
        <f ca="1"/>
        <v>18274.501162692912</v>
      </c>
      <c r="U60" s="13">
        <f ca="1"/>
        <v>18389.787083454059</v>
      </c>
      <c r="V60" s="13">
        <f ca="1"/>
        <v>18505.815948795906</v>
      </c>
      <c r="W60" s="13">
        <f ca="1"/>
        <v>18622.592660547587</v>
      </c>
      <c r="X60" s="13">
        <f ca="1"/>
        <v>18740.122153692639</v>
      </c>
      <c r="Y60" s="13">
        <f ca="1"/>
        <v>18858.409396598963</v>
      </c>
      <c r="Z60" s="13">
        <f ca="1"/>
        <v>18977.459391250384</v>
      </c>
      <c r="AA60" s="13">
        <f ca="1"/>
        <v>19097.27717347971</v>
      </c>
      <c r="AB60" s="13">
        <f ca="1"/>
        <v>19217.867813203731</v>
      </c>
      <c r="AC60" s="13">
        <f ca="1"/>
        <v>19339.236414659612</v>
      </c>
      <c r="AD60" s="13">
        <f ca="1"/>
        <v>19461.388116643157</v>
      </c>
      <c r="AE60" s="13">
        <f ca="1"/>
        <v>19584.328092748638</v>
      </c>
      <c r="AF60" s="13">
        <f ca="1"/>
        <v>19708.061551610412</v>
      </c>
      <c r="AG60" s="13">
        <f ca="1"/>
        <v>19832.593737146231</v>
      </c>
      <c r="AH60" s="13">
        <f ca="1"/>
        <v>19957.929928802281</v>
      </c>
      <c r="AI60" s="13">
        <f ca="1"/>
        <v>20084.075441799916</v>
      </c>
      <c r="AJ60" s="13">
        <f ca="1"/>
        <v>20211.035627384274</v>
      </c>
      <c r="AK60" s="13">
        <f ca="1"/>
        <v>20338.815873074491</v>
      </c>
      <c r="AL60" s="56">
        <f ca="1"/>
        <v>20467.421602915867</v>
      </c>
      <c r="AM60" s="10"/>
    </row>
    <row r="61" spans="2:39" ht="15" hidden="1">
      <c r="B61" s="10"/>
      <c r="C61" s="11" t="str">
        <f>"EL 2: " &amp; INDEX(_doName,5,3)</f>
        <v>EL 2: EL 2</v>
      </c>
      <c r="D61" s="12"/>
      <c r="E61" s="13">
        <f t="array" aca="1" ref="E61:AL61" ca="1">tlccEubc2</f>
        <v>17901.926374849387</v>
      </c>
      <c r="F61" s="13">
        <f ca="1"/>
        <v>18048.071327515408</v>
      </c>
      <c r="G61" s="13">
        <f ca="1"/>
        <v>18189.725336791573</v>
      </c>
      <c r="H61" s="13">
        <f ca="1"/>
        <v>18317.212348498691</v>
      </c>
      <c r="I61" s="13">
        <f ca="1"/>
        <v>18432.581932722707</v>
      </c>
      <c r="J61" s="13">
        <f ca="1"/>
        <v>18548.693647589844</v>
      </c>
      <c r="K61" s="13">
        <f ca="1"/>
        <v>18665.552379911784</v>
      </c>
      <c r="L61" s="13">
        <f ca="1"/>
        <v>18783.16304948588</v>
      </c>
      <c r="M61" s="13">
        <f ca="1"/>
        <v>18901.530609323469</v>
      </c>
      <c r="N61" s="13">
        <f ca="1"/>
        <v>19020.660045879733</v>
      </c>
      <c r="O61" s="13">
        <f ca="1"/>
        <v>19140.556379285241</v>
      </c>
      <c r="P61" s="13">
        <f ca="1"/>
        <v>19261.224663579131</v>
      </c>
      <c r="Q61" s="13">
        <f ca="1"/>
        <v>19382.669986943944</v>
      </c>
      <c r="R61" s="13">
        <f ca="1"/>
        <v>19504.897471942029</v>
      </c>
      <c r="S61" s="13">
        <f ca="1"/>
        <v>19627.912275753835</v>
      </c>
      <c r="T61" s="13">
        <f ca="1"/>
        <v>19751.719590417692</v>
      </c>
      <c r="U61" s="13">
        <f ca="1"/>
        <v>19876.324643071377</v>
      </c>
      <c r="V61" s="13">
        <f ca="1"/>
        <v>20001.732696195442</v>
      </c>
      <c r="W61" s="13">
        <f ca="1"/>
        <v>20127.949047858088</v>
      </c>
      <c r="X61" s="13">
        <f ca="1"/>
        <v>20254.979031962066</v>
      </c>
      <c r="Y61" s="13">
        <f ca="1"/>
        <v>20382.828018493055</v>
      </c>
      <c r="Z61" s="13">
        <f ca="1"/>
        <v>20511.501413769955</v>
      </c>
      <c r="AA61" s="13">
        <f ca="1"/>
        <v>20641.004660696944</v>
      </c>
      <c r="AB61" s="13">
        <f ca="1"/>
        <v>20771.343239017224</v>
      </c>
      <c r="AC61" s="13">
        <f ca="1"/>
        <v>20902.52266556878</v>
      </c>
      <c r="AD61" s="13">
        <f ca="1"/>
        <v>21034.54849454169</v>
      </c>
      <c r="AE61" s="13">
        <f ca="1"/>
        <v>21167.426317737518</v>
      </c>
      <c r="AF61" s="13">
        <f ca="1"/>
        <v>21301.161764830267</v>
      </c>
      <c r="AG61" s="13">
        <f ca="1"/>
        <v>21435.760503629615</v>
      </c>
      <c r="AH61" s="13">
        <f ca="1"/>
        <v>21571.228240345456</v>
      </c>
      <c r="AI61" s="13">
        <f ca="1"/>
        <v>21707.570719854863</v>
      </c>
      <c r="AJ61" s="13">
        <f ca="1"/>
        <v>21844.793725970569</v>
      </c>
      <c r="AK61" s="13">
        <f ca="1"/>
        <v>21982.903081711571</v>
      </c>
      <c r="AL61" s="56">
        <f ca="1"/>
        <v>22121.904649575608</v>
      </c>
      <c r="AM61" s="10"/>
    </row>
    <row r="62" spans="2:39" ht="15" hidden="1">
      <c r="B62" s="10"/>
      <c r="C62" s="11" t="str">
        <f>"EL 3: " &amp; INDEX(_doName,5,4)</f>
        <v>EL 3: EL 3</v>
      </c>
      <c r="D62" s="12"/>
      <c r="E62" s="13">
        <f t="array" aca="1" ref="E62:AL62" ca="1">tlccEubc3</f>
        <v>16435.916950997518</v>
      </c>
      <c r="F62" s="13">
        <f ca="1"/>
        <v>16570.09392472258</v>
      </c>
      <c r="G62" s="13">
        <f ca="1"/>
        <v>16700.147723598086</v>
      </c>
      <c r="H62" s="13">
        <f ca="1"/>
        <v>16817.194676695406</v>
      </c>
      <c r="I62" s="13">
        <f ca="1"/>
        <v>16923.116512439381</v>
      </c>
      <c r="J62" s="13">
        <f ca="1"/>
        <v>17029.719704891075</v>
      </c>
      <c r="K62" s="13">
        <f ca="1"/>
        <v>17137.008740675545</v>
      </c>
      <c r="L62" s="13">
        <f ca="1"/>
        <v>17244.988136702254</v>
      </c>
      <c r="M62" s="13">
        <f ca="1"/>
        <v>17353.662440374745</v>
      </c>
      <c r="N62" s="13">
        <f ca="1"/>
        <v>17463.036229801593</v>
      </c>
      <c r="O62" s="13">
        <f ca="1"/>
        <v>17573.114114009117</v>
      </c>
      <c r="P62" s="13">
        <f ca="1"/>
        <v>17683.900733155322</v>
      </c>
      <c r="Q62" s="13">
        <f ca="1"/>
        <v>17795.400758745596</v>
      </c>
      <c r="R62" s="13">
        <f ca="1"/>
        <v>17907.618893849773</v>
      </c>
      <c r="S62" s="13">
        <f ca="1"/>
        <v>18020.559873320817</v>
      </c>
      <c r="T62" s="13">
        <f ca="1"/>
        <v>18134.228464015061</v>
      </c>
      <c r="U62" s="13">
        <f ca="1"/>
        <v>18248.629465013928</v>
      </c>
      <c r="V62" s="13">
        <f ca="1"/>
        <v>18363.76770784735</v>
      </c>
      <c r="W62" s="13">
        <f ca="1"/>
        <v>18479.648056718594</v>
      </c>
      <c r="X62" s="13">
        <f ca="1"/>
        <v>18596.275408730999</v>
      </c>
      <c r="Y62" s="13">
        <f ca="1"/>
        <v>18713.65469411587</v>
      </c>
      <c r="Z62" s="13">
        <f ca="1"/>
        <v>18831.790876462437</v>
      </c>
      <c r="AA62" s="13">
        <f ca="1"/>
        <v>18950.688952949149</v>
      </c>
      <c r="AB62" s="13">
        <f ca="1"/>
        <v>19070.353954576742</v>
      </c>
      <c r="AC62" s="13">
        <f ca="1"/>
        <v>19190.790946402947</v>
      </c>
      <c r="AD62" s="13">
        <f ca="1"/>
        <v>19312.00502777877</v>
      </c>
      <c r="AE62" s="13">
        <f ca="1"/>
        <v>19434.001332586729</v>
      </c>
      <c r="AF62" s="13">
        <f ca="1"/>
        <v>19556.785029480368</v>
      </c>
      <c r="AG62" s="13">
        <f ca="1"/>
        <v>19680.361322125773</v>
      </c>
      <c r="AH62" s="13">
        <f ca="1"/>
        <v>19804.735449444794</v>
      </c>
      <c r="AI62" s="13">
        <f ca="1"/>
        <v>19929.912685859843</v>
      </c>
      <c r="AJ62" s="13">
        <f ca="1"/>
        <v>20055.898341540593</v>
      </c>
      <c r="AK62" s="13">
        <f ca="1"/>
        <v>20182.697762652278</v>
      </c>
      <c r="AL62" s="56">
        <f ca="1"/>
        <v>20310.316331605925</v>
      </c>
      <c r="AM62" s="10"/>
    </row>
    <row r="63" spans="2:39" ht="15" hidden="1">
      <c r="B63" s="10"/>
      <c r="C63" s="11" t="str">
        <f>"EL 4: " &amp; INDEX(_doName,5,5)</f>
        <v>EL 4: EL 4</v>
      </c>
      <c r="D63" s="12"/>
      <c r="E63" s="13">
        <f t="array" aca="1" ref="E63:AL63" ca="1">tlccEubc4</f>
        <v>17234.759803625486</v>
      </c>
      <c r="F63" s="13">
        <f ca="1"/>
        <v>17375.458245959038</v>
      </c>
      <c r="G63" s="13">
        <f ca="1"/>
        <v>17511.833112773656</v>
      </c>
      <c r="H63" s="13">
        <f ca="1"/>
        <v>17634.568955768798</v>
      </c>
      <c r="I63" s="13">
        <f ca="1"/>
        <v>17745.638961929613</v>
      </c>
      <c r="J63" s="13">
        <f ca="1"/>
        <v>17857.423441109113</v>
      </c>
      <c r="K63" s="13">
        <f ca="1"/>
        <v>17969.927097997923</v>
      </c>
      <c r="L63" s="13">
        <f ca="1"/>
        <v>18083.15466904307</v>
      </c>
      <c r="M63" s="13">
        <f ca="1"/>
        <v>18197.110922667696</v>
      </c>
      <c r="N63" s="13">
        <f ca="1"/>
        <v>18311.800659492503</v>
      </c>
      <c r="O63" s="13">
        <f ca="1"/>
        <v>18427.228712558484</v>
      </c>
      <c r="P63" s="13">
        <f ca="1"/>
        <v>18543.39994755153</v>
      </c>
      <c r="Q63" s="13">
        <f ca="1"/>
        <v>18660.319263028457</v>
      </c>
      <c r="R63" s="13">
        <f ca="1"/>
        <v>18777.99159064472</v>
      </c>
      <c r="S63" s="13">
        <f ca="1"/>
        <v>18896.421895383613</v>
      </c>
      <c r="T63" s="13">
        <f ca="1"/>
        <v>19015.615175787294</v>
      </c>
      <c r="U63" s="13">
        <f ca="1"/>
        <v>19135.576464189275</v>
      </c>
      <c r="V63" s="13">
        <f ca="1"/>
        <v>19256.310826948709</v>
      </c>
      <c r="W63" s="13">
        <f ca="1"/>
        <v>19377.82336468609</v>
      </c>
      <c r="X63" s="13">
        <f ca="1"/>
        <v>19500.119212521007</v>
      </c>
      <c r="Y63" s="13">
        <f ca="1"/>
        <v>19623.203540311231</v>
      </c>
      <c r="Z63" s="13">
        <f ca="1"/>
        <v>19747.081552893716</v>
      </c>
      <c r="AA63" s="13">
        <f ca="1"/>
        <v>19871.758490327204</v>
      </c>
      <c r="AB63" s="13">
        <f ca="1"/>
        <v>19997.239628136613</v>
      </c>
      <c r="AC63" s="13">
        <f ca="1"/>
        <v>20123.530277559104</v>
      </c>
      <c r="AD63" s="13">
        <f ca="1"/>
        <v>20250.635785791983</v>
      </c>
      <c r="AE63" s="13">
        <f ca="1"/>
        <v>20378.561536242272</v>
      </c>
      <c r="AF63" s="13">
        <f ca="1"/>
        <v>20507.312948778115</v>
      </c>
      <c r="AG63" s="13">
        <f ca="1"/>
        <v>20636.895479981926</v>
      </c>
      <c r="AH63" s="13">
        <f ca="1"/>
        <v>20767.314623405433</v>
      </c>
      <c r="AI63" s="13">
        <f ca="1"/>
        <v>20898.575909826333</v>
      </c>
      <c r="AJ63" s="13">
        <f ca="1"/>
        <v>21030.68490750706</v>
      </c>
      <c r="AK63" s="13">
        <f ca="1"/>
        <v>21163.647222455122</v>
      </c>
      <c r="AL63" s="56">
        <f ca="1"/>
        <v>21297.468498685485</v>
      </c>
      <c r="AM63" s="10"/>
    </row>
    <row r="64" spans="2:39" ht="15" hidden="1">
      <c r="B64" s="10"/>
      <c r="C64" s="11" t="str">
        <f>"EL 5: " &amp; INDEX(_doName,5,6)</f>
        <v>EL 5: EL 5</v>
      </c>
      <c r="D64" s="12"/>
      <c r="E64" s="13">
        <f t="array" aca="1" ref="E64:AL64" ca="1">tlccEubc5</f>
        <v>41167.697255738807</v>
      </c>
      <c r="F64" s="13">
        <f ca="1"/>
        <v>41503.775677738202</v>
      </c>
      <c r="G64" s="13">
        <f ca="1"/>
        <v>41829.526619108146</v>
      </c>
      <c r="H64" s="13">
        <f ca="1"/>
        <v>42122.69879466635</v>
      </c>
      <c r="I64" s="13">
        <f ca="1"/>
        <v>42388.0054447109</v>
      </c>
      <c r="J64" s="13">
        <f ca="1"/>
        <v>42655.018716098835</v>
      </c>
      <c r="K64" s="13">
        <f ca="1"/>
        <v>42923.749846659033</v>
      </c>
      <c r="L64" s="13">
        <f ca="1"/>
        <v>43194.21015007497</v>
      </c>
      <c r="M64" s="13">
        <f ca="1"/>
        <v>43466.411016409671</v>
      </c>
      <c r="N64" s="13">
        <f ca="1"/>
        <v>43740.363912634581</v>
      </c>
      <c r="O64" s="13">
        <f ca="1"/>
        <v>44016.08038316176</v>
      </c>
      <c r="P64" s="13">
        <f ca="1"/>
        <v>44293.572050380302</v>
      </c>
      <c r="Q64" s="13">
        <f ca="1"/>
        <v>44572.85061519617</v>
      </c>
      <c r="R64" s="13">
        <f ca="1"/>
        <v>44853.92785757612</v>
      </c>
      <c r="S64" s="13">
        <f ca="1"/>
        <v>45136.815637095438</v>
      </c>
      <c r="T64" s="13">
        <f ca="1"/>
        <v>45421.525893489321</v>
      </c>
      <c r="U64" s="13">
        <f ca="1"/>
        <v>45708.070647208631</v>
      </c>
      <c r="V64" s="13">
        <f ca="1"/>
        <v>45996.461999979249</v>
      </c>
      <c r="W64" s="13">
        <f ca="1"/>
        <v>46286.712135365313</v>
      </c>
      <c r="X64" s="13">
        <f ca="1"/>
        <v>46578.833319336969</v>
      </c>
      <c r="Y64" s="13">
        <f ca="1"/>
        <v>46872.837900841376</v>
      </c>
      <c r="Z64" s="13">
        <f ca="1"/>
        <v>47168.738312378649</v>
      </c>
      <c r="AA64" s="13">
        <f ca="1"/>
        <v>47466.547070581059</v>
      </c>
      <c r="AB64" s="13">
        <f ca="1"/>
        <v>47766.276776797</v>
      </c>
      <c r="AC64" s="13">
        <f ca="1"/>
        <v>48067.940117678707</v>
      </c>
      <c r="AD64" s="13">
        <f ca="1"/>
        <v>48371.549865774388</v>
      </c>
      <c r="AE64" s="13">
        <f ca="1"/>
        <v>48677.118880124253</v>
      </c>
      <c r="AF64" s="13">
        <f ca="1"/>
        <v>48984.660106861251</v>
      </c>
      <c r="AG64" s="13">
        <f ca="1"/>
        <v>49294.186579815585</v>
      </c>
      <c r="AH64" s="13">
        <f ca="1"/>
        <v>49605.711421123873</v>
      </c>
      <c r="AI64" s="13">
        <f ca="1"/>
        <v>49919.24784184256</v>
      </c>
      <c r="AJ64" s="13">
        <f ca="1"/>
        <v>50234.8091425655</v>
      </c>
      <c r="AK64" s="13">
        <f ca="1"/>
        <v>50552.408714046171</v>
      </c>
      <c r="AL64" s="56">
        <f ca="1"/>
        <v>50872.060037824354</v>
      </c>
      <c r="AM64" s="10"/>
    </row>
    <row r="65" spans="2:39" ht="15" hidden="1">
      <c r="B65" s="10"/>
      <c r="C65" s="21" t="str">
        <f>"EL 6: " &amp; INDEX(_doName,5,7)</f>
        <v>EL 6: EL 6</v>
      </c>
      <c r="D65" s="18"/>
      <c r="E65" s="58">
        <f t="array" aca="1" ref="E65:AL65" ca="1">tlccEubc6</f>
        <v>21804.025159934259</v>
      </c>
      <c r="F65" s="58">
        <f ca="1"/>
        <v>21982.025457678981</v>
      </c>
      <c r="G65" s="58">
        <f ca="1"/>
        <v>22154.555917116144</v>
      </c>
      <c r="H65" s="58">
        <f ca="1"/>
        <v>22309.831385946785</v>
      </c>
      <c r="I65" s="58">
        <f ca="1"/>
        <v>22450.348180868139</v>
      </c>
      <c r="J65" s="58">
        <f ca="1"/>
        <v>22591.768869307751</v>
      </c>
      <c r="K65" s="58">
        <f ca="1"/>
        <v>22734.099403259952</v>
      </c>
      <c r="L65" s="58">
        <f ca="1"/>
        <v>22877.345774894748</v>
      </c>
      <c r="M65" s="58">
        <f ca="1"/>
        <v>23021.514016835703</v>
      </c>
      <c r="N65" s="58">
        <f ca="1"/>
        <v>23166.610202440115</v>
      </c>
      <c r="O65" s="58">
        <f ca="1"/>
        <v>23312.640446080837</v>
      </c>
      <c r="P65" s="58">
        <f ca="1"/>
        <v>23459.610903430435</v>
      </c>
      <c r="Q65" s="58">
        <f ca="1"/>
        <v>23607.527771747053</v>
      </c>
      <c r="R65" s="58">
        <f ca="1"/>
        <v>23756.397290162553</v>
      </c>
      <c r="S65" s="58">
        <f ca="1"/>
        <v>23906.225739972586</v>
      </c>
      <c r="T65" s="58">
        <f ca="1"/>
        <v>24057.019444928697</v>
      </c>
      <c r="U65" s="58">
        <f ca="1"/>
        <v>24208.784771532486</v>
      </c>
      <c r="V65" s="58">
        <f ca="1"/>
        <v>24361.528129332048</v>
      </c>
      <c r="W65" s="58">
        <f ca="1"/>
        <v>24515.255971220278</v>
      </c>
      <c r="X65" s="58">
        <f ca="1"/>
        <v>24669.974793735419</v>
      </c>
      <c r="Y65" s="58">
        <f ca="1"/>
        <v>24825.691137363669</v>
      </c>
      <c r="Z65" s="58">
        <f ca="1"/>
        <v>24982.411586844071</v>
      </c>
      <c r="AA65" s="58">
        <f ca="1"/>
        <v>25140.142771475475</v>
      </c>
      <c r="AB65" s="58">
        <f ca="1"/>
        <v>25298.89136542557</v>
      </c>
      <c r="AC65" s="58">
        <f ca="1"/>
        <v>25458.66408804242</v>
      </c>
      <c r="AD65" s="58">
        <f ca="1"/>
        <v>25619.46770416783</v>
      </c>
      <c r="AE65" s="58">
        <f ca="1"/>
        <v>25781.309024453287</v>
      </c>
      <c r="AF65" s="58">
        <f ca="1"/>
        <v>25944.19490567793</v>
      </c>
      <c r="AG65" s="58">
        <f ca="1"/>
        <v>26108.132251068833</v>
      </c>
      <c r="AH65" s="58">
        <f ca="1"/>
        <v>26273.128010623586</v>
      </c>
      <c r="AI65" s="58">
        <f ca="1"/>
        <v>26439.189181435195</v>
      </c>
      <c r="AJ65" s="58">
        <f ca="1"/>
        <v>26606.322808019198</v>
      </c>
      <c r="AK65" s="58">
        <f ca="1"/>
        <v>26774.535982643254</v>
      </c>
      <c r="AL65" s="59">
        <f ca="1"/>
        <v>26943.835845658879</v>
      </c>
      <c r="AM65" s="10"/>
    </row>
    <row r="66" spans="2:39" ht="15" hidden="1">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2:39" ht="15" hidden="1">
      <c r="B67" s="10"/>
      <c r="C67" s="22" t="s">
        <v>87</v>
      </c>
      <c r="D67" s="23"/>
      <c r="E67" s="24">
        <f t="array" ref="E67:AL67">_yS</f>
        <v>2019</v>
      </c>
      <c r="F67" s="24">
        <v>2020</v>
      </c>
      <c r="G67" s="24">
        <v>2021</v>
      </c>
      <c r="H67" s="24">
        <v>2022</v>
      </c>
      <c r="I67" s="24">
        <v>2023</v>
      </c>
      <c r="J67" s="24">
        <v>2024</v>
      </c>
      <c r="K67" s="24">
        <v>2025</v>
      </c>
      <c r="L67" s="24">
        <v>2026</v>
      </c>
      <c r="M67" s="24">
        <v>2027</v>
      </c>
      <c r="N67" s="24">
        <v>2028</v>
      </c>
      <c r="O67" s="24">
        <v>2029</v>
      </c>
      <c r="P67" s="24">
        <v>2030</v>
      </c>
      <c r="Q67" s="24">
        <v>2031</v>
      </c>
      <c r="R67" s="24">
        <v>2032</v>
      </c>
      <c r="S67" s="24">
        <v>2033</v>
      </c>
      <c r="T67" s="24">
        <v>2034</v>
      </c>
      <c r="U67" s="24">
        <v>2035</v>
      </c>
      <c r="V67" s="24">
        <v>2036</v>
      </c>
      <c r="W67" s="24">
        <v>2037</v>
      </c>
      <c r="X67" s="24">
        <v>2038</v>
      </c>
      <c r="Y67" s="24">
        <v>2039</v>
      </c>
      <c r="Z67" s="24">
        <v>2040</v>
      </c>
      <c r="AA67" s="24">
        <v>2041</v>
      </c>
      <c r="AB67" s="24">
        <v>2042</v>
      </c>
      <c r="AC67" s="24">
        <v>2043</v>
      </c>
      <c r="AD67" s="24">
        <v>2044</v>
      </c>
      <c r="AE67" s="24">
        <v>2045</v>
      </c>
      <c r="AF67" s="24">
        <v>2046</v>
      </c>
      <c r="AG67" s="24">
        <v>2047</v>
      </c>
      <c r="AH67" s="24">
        <v>2048</v>
      </c>
      <c r="AI67" s="24">
        <v>2049</v>
      </c>
      <c r="AJ67" s="24">
        <v>2050</v>
      </c>
      <c r="AK67" s="24">
        <v>2051</v>
      </c>
      <c r="AL67" s="25">
        <v>2052</v>
      </c>
      <c r="AM67" s="10"/>
    </row>
    <row r="68" spans="2:39" ht="15" hidden="1">
      <c r="B68" s="10"/>
      <c r="C68" s="11" t="str">
        <f>"EL 0: " &amp; INDEX(_doName,5,1)</f>
        <v>EL 0: EL 4</v>
      </c>
      <c r="D68" s="12"/>
      <c r="E68" s="13">
        <f t="array" aca="1" ref="E68:AL68" ca="1">tlccFubcElec0</f>
        <v>2844.0295329973746</v>
      </c>
      <c r="F68" s="13">
        <f ca="1"/>
        <v>2823.3757966845815</v>
      </c>
      <c r="G68" s="13">
        <f ca="1"/>
        <v>2805.1428513500659</v>
      </c>
      <c r="H68" s="13">
        <f ca="1"/>
        <v>2787.8114594821441</v>
      </c>
      <c r="I68" s="13">
        <f ca="1"/>
        <v>2772.6266077796276</v>
      </c>
      <c r="J68" s="13">
        <f ca="1"/>
        <v>2760.7739750806008</v>
      </c>
      <c r="K68" s="13">
        <f ca="1"/>
        <v>2750.8678452478384</v>
      </c>
      <c r="L68" s="13">
        <f ca="1"/>
        <v>2740.9036813246803</v>
      </c>
      <c r="M68" s="13">
        <f ca="1"/>
        <v>2732.8721750552372</v>
      </c>
      <c r="N68" s="13">
        <f ca="1"/>
        <v>2727.2475732797384</v>
      </c>
      <c r="O68" s="13">
        <f ca="1"/>
        <v>2723.0859039334541</v>
      </c>
      <c r="P68" s="13">
        <f ca="1"/>
        <v>2719.5451291728232</v>
      </c>
      <c r="Q68" s="13">
        <f ca="1"/>
        <v>2716.8937366723922</v>
      </c>
      <c r="R68" s="13">
        <f ca="1"/>
        <v>2714.8352860447048</v>
      </c>
      <c r="S68" s="13">
        <f ca="1"/>
        <v>2714.4385560401975</v>
      </c>
      <c r="T68" s="13">
        <f ca="1"/>
        <v>2714.798208126389</v>
      </c>
      <c r="U68" s="13">
        <f ca="1"/>
        <v>2715.4071193803579</v>
      </c>
      <c r="V68" s="13">
        <f ca="1"/>
        <v>2716.3349468988285</v>
      </c>
      <c r="W68" s="13">
        <f ca="1"/>
        <v>2717.2232187220625</v>
      </c>
      <c r="X68" s="13">
        <f ca="1"/>
        <v>2717.9592390762946</v>
      </c>
      <c r="Y68" s="13">
        <f ca="1"/>
        <v>2718.452793938156</v>
      </c>
      <c r="Z68" s="13">
        <f ca="1"/>
        <v>2718.7930841977677</v>
      </c>
      <c r="AA68" s="13">
        <f ca="1"/>
        <v>2718.7930841977677</v>
      </c>
      <c r="AB68" s="13">
        <f ca="1"/>
        <v>2718.7930841977677</v>
      </c>
      <c r="AC68" s="13">
        <f ca="1"/>
        <v>2718.7930841977677</v>
      </c>
      <c r="AD68" s="13">
        <f ca="1"/>
        <v>2718.7930841977677</v>
      </c>
      <c r="AE68" s="13">
        <f ca="1"/>
        <v>2718.7930841977677</v>
      </c>
      <c r="AF68" s="13">
        <f ca="1"/>
        <v>2718.7930841977677</v>
      </c>
      <c r="AG68" s="13">
        <f ca="1"/>
        <v>2718.7930841977677</v>
      </c>
      <c r="AH68" s="13">
        <f ca="1"/>
        <v>2718.7930841977677</v>
      </c>
      <c r="AI68" s="13">
        <f ca="1"/>
        <v>2718.7930841977677</v>
      </c>
      <c r="AJ68" s="13">
        <f ca="1"/>
        <v>2718.7930841977677</v>
      </c>
      <c r="AK68" s="13">
        <f ca="1"/>
        <v>2718.7930841977677</v>
      </c>
      <c r="AL68" s="56">
        <f ca="1"/>
        <v>2718.7930841977677</v>
      </c>
      <c r="AM68" s="10"/>
    </row>
    <row r="69" spans="2:39" ht="15" hidden="1">
      <c r="B69" s="10"/>
      <c r="C69" s="11" t="str">
        <f>"EL 1: " &amp; INDEX(_doName,5,2)</f>
        <v>EL 1: EL 1</v>
      </c>
      <c r="D69" s="12"/>
      <c r="E69" s="13">
        <f t="array" aca="1" ref="E69:AL69" ca="1">tlccFubcElec1</f>
        <v>3282.4201907224797</v>
      </c>
      <c r="F69" s="13">
        <f ca="1"/>
        <v>3258.5828007444925</v>
      </c>
      <c r="G69" s="13">
        <f ca="1"/>
        <v>3237.539352633994</v>
      </c>
      <c r="H69" s="13">
        <f ca="1"/>
        <v>3217.5364272281417</v>
      </c>
      <c r="I69" s="13">
        <f ca="1"/>
        <v>3200.0109187046992</v>
      </c>
      <c r="J69" s="13">
        <f ca="1"/>
        <v>3186.3312714179497</v>
      </c>
      <c r="K69" s="13">
        <f ca="1"/>
        <v>3174.8981691249833</v>
      </c>
      <c r="L69" s="13">
        <f ca="1"/>
        <v>3163.398087123172</v>
      </c>
      <c r="M69" s="13">
        <f ca="1"/>
        <v>3154.128570743379</v>
      </c>
      <c r="N69" s="13">
        <f ca="1"/>
        <v>3147.6369692257208</v>
      </c>
      <c r="O69" s="13">
        <f ca="1"/>
        <v>3142.8338026865326</v>
      </c>
      <c r="P69" s="13">
        <f ca="1"/>
        <v>3138.7472380323161</v>
      </c>
      <c r="Q69" s="13">
        <f ca="1"/>
        <v>3135.6871487554745</v>
      </c>
      <c r="R69" s="13">
        <f ca="1"/>
        <v>3133.3113999021202</v>
      </c>
      <c r="S69" s="13">
        <f ca="1"/>
        <v>3132.8535162683706</v>
      </c>
      <c r="T69" s="13">
        <f ca="1"/>
        <v>3133.26860663774</v>
      </c>
      <c r="U69" s="13">
        <f ca="1"/>
        <v>3133.9713780299485</v>
      </c>
      <c r="V69" s="13">
        <f ca="1"/>
        <v>3135.0422247791826</v>
      </c>
      <c r="W69" s="13">
        <f ca="1"/>
        <v>3136.0674185521739</v>
      </c>
      <c r="X69" s="13">
        <f ca="1"/>
        <v>3136.9168921752439</v>
      </c>
      <c r="Y69" s="13">
        <f ca="1"/>
        <v>3137.4865256565445</v>
      </c>
      <c r="Z69" s="13">
        <f ca="1"/>
        <v>3137.8792696860619</v>
      </c>
      <c r="AA69" s="13">
        <f ca="1"/>
        <v>3137.8792696860619</v>
      </c>
      <c r="AB69" s="13">
        <f ca="1"/>
        <v>3137.8792696860619</v>
      </c>
      <c r="AC69" s="13">
        <f ca="1"/>
        <v>3137.8792696860619</v>
      </c>
      <c r="AD69" s="13">
        <f ca="1"/>
        <v>3137.8792696860619</v>
      </c>
      <c r="AE69" s="13">
        <f ca="1"/>
        <v>3137.8792696860619</v>
      </c>
      <c r="AF69" s="13">
        <f ca="1"/>
        <v>3137.8792696860619</v>
      </c>
      <c r="AG69" s="13">
        <f ca="1"/>
        <v>3137.8792696860619</v>
      </c>
      <c r="AH69" s="13">
        <f ca="1"/>
        <v>3137.8792696860619</v>
      </c>
      <c r="AI69" s="13">
        <f ca="1"/>
        <v>3137.8792696860619</v>
      </c>
      <c r="AJ69" s="13">
        <f ca="1"/>
        <v>3137.8792696860619</v>
      </c>
      <c r="AK69" s="13">
        <f ca="1"/>
        <v>3137.8792696860619</v>
      </c>
      <c r="AL69" s="56">
        <f ca="1"/>
        <v>3137.8792696860619</v>
      </c>
      <c r="AM69" s="10"/>
    </row>
    <row r="70" spans="2:39" ht="15" hidden="1">
      <c r="B70" s="10"/>
      <c r="C70" s="11" t="str">
        <f>"EL 2: " &amp; INDEX(_doName,5,3)</f>
        <v>EL 2: EL 2</v>
      </c>
      <c r="D70" s="12"/>
      <c r="E70" s="13">
        <f t="array" aca="1" ref="E70:AL70" ca="1">tlccFubcElec2</f>
        <v>3547.7544698966749</v>
      </c>
      <c r="F70" s="13">
        <f ca="1"/>
        <v>3521.9901856395572</v>
      </c>
      <c r="G70" s="13">
        <f ca="1"/>
        <v>3499.2456914072018</v>
      </c>
      <c r="H70" s="13">
        <f ca="1"/>
        <v>3477.6258304825687</v>
      </c>
      <c r="I70" s="13">
        <f ca="1"/>
        <v>3458.6836483155839</v>
      </c>
      <c r="J70" s="13">
        <f ca="1"/>
        <v>3443.898207394478</v>
      </c>
      <c r="K70" s="13">
        <f ca="1"/>
        <v>3431.540910824312</v>
      </c>
      <c r="L70" s="13">
        <f ca="1"/>
        <v>3419.1112202437398</v>
      </c>
      <c r="M70" s="13">
        <f ca="1"/>
        <v>3409.0924029505904</v>
      </c>
      <c r="N70" s="13">
        <f ca="1"/>
        <v>3402.0760531346359</v>
      </c>
      <c r="O70" s="13">
        <f ca="1"/>
        <v>3396.8846228579077</v>
      </c>
      <c r="P70" s="13">
        <f ca="1"/>
        <v>3392.4677209452584</v>
      </c>
      <c r="Q70" s="13">
        <f ca="1"/>
        <v>3389.1602694980356</v>
      </c>
      <c r="R70" s="13">
        <f ca="1"/>
        <v>3386.5924770997126</v>
      </c>
      <c r="S70" s="13">
        <f ca="1"/>
        <v>3386.0975804643213</v>
      </c>
      <c r="T70" s="13">
        <f ca="1"/>
        <v>3386.5462246438519</v>
      </c>
      <c r="U70" s="13">
        <f ca="1"/>
        <v>3387.3058045279486</v>
      </c>
      <c r="V70" s="13">
        <f ca="1"/>
        <v>3388.4632131229555</v>
      </c>
      <c r="W70" s="13">
        <f ca="1"/>
        <v>3389.5712783855688</v>
      </c>
      <c r="X70" s="13">
        <f ca="1"/>
        <v>3390.4894191683443</v>
      </c>
      <c r="Y70" s="13">
        <f ca="1"/>
        <v>3391.1050989448695</v>
      </c>
      <c r="Z70" s="13">
        <f ca="1"/>
        <v>3391.5295904192344</v>
      </c>
      <c r="AA70" s="13">
        <f ca="1"/>
        <v>3391.5295904192344</v>
      </c>
      <c r="AB70" s="13">
        <f ca="1"/>
        <v>3391.5295904192344</v>
      </c>
      <c r="AC70" s="13">
        <f ca="1"/>
        <v>3391.5295904192344</v>
      </c>
      <c r="AD70" s="13">
        <f ca="1"/>
        <v>3391.5295904192344</v>
      </c>
      <c r="AE70" s="13">
        <f ca="1"/>
        <v>3391.5295904192344</v>
      </c>
      <c r="AF70" s="13">
        <f ca="1"/>
        <v>3391.5295904192344</v>
      </c>
      <c r="AG70" s="13">
        <f ca="1"/>
        <v>3391.5295904192344</v>
      </c>
      <c r="AH70" s="13">
        <f ca="1"/>
        <v>3391.5295904192344</v>
      </c>
      <c r="AI70" s="13">
        <f ca="1"/>
        <v>3391.5295904192344</v>
      </c>
      <c r="AJ70" s="13">
        <f ca="1"/>
        <v>3391.5295904192344</v>
      </c>
      <c r="AK70" s="13">
        <f ca="1"/>
        <v>3391.5295904192344</v>
      </c>
      <c r="AL70" s="56">
        <f ca="1"/>
        <v>3391.5295904192344</v>
      </c>
      <c r="AM70" s="10"/>
    </row>
    <row r="71" spans="2:39" ht="15" hidden="1">
      <c r="B71" s="10"/>
      <c r="C71" s="11" t="str">
        <f>"EL 3: " &amp; INDEX(_doName,5,4)</f>
        <v>EL 3: EL 3</v>
      </c>
      <c r="D71" s="12"/>
      <c r="E71" s="13">
        <f t="array" aca="1" ref="E71:AL71" ca="1">tlccFubcElec3</f>
        <v>3257.2247594355645</v>
      </c>
      <c r="F71" s="13">
        <f ca="1"/>
        <v>3233.5703421686717</v>
      </c>
      <c r="G71" s="13">
        <f ca="1"/>
        <v>3212.6884208341812</v>
      </c>
      <c r="H71" s="13">
        <f ca="1"/>
        <v>3192.8390352871261</v>
      </c>
      <c r="I71" s="13">
        <f ca="1"/>
        <v>3175.448050292091</v>
      </c>
      <c r="J71" s="13">
        <f ca="1"/>
        <v>3161.8734062021354</v>
      </c>
      <c r="K71" s="13">
        <f ca="1"/>
        <v>3150.5280629182166</v>
      </c>
      <c r="L71" s="13">
        <f ca="1"/>
        <v>3139.1162540530045</v>
      </c>
      <c r="M71" s="13">
        <f ca="1"/>
        <v>3129.9178892776495</v>
      </c>
      <c r="N71" s="13">
        <f ca="1"/>
        <v>3123.4761164505539</v>
      </c>
      <c r="O71" s="13">
        <f ca="1"/>
        <v>3118.709818394213</v>
      </c>
      <c r="P71" s="13">
        <f ca="1"/>
        <v>3114.6546216797965</v>
      </c>
      <c r="Q71" s="13">
        <f ca="1"/>
        <v>3111.6180212510085</v>
      </c>
      <c r="R71" s="13">
        <f ca="1"/>
        <v>3109.2605083374524</v>
      </c>
      <c r="S71" s="13">
        <f ca="1"/>
        <v>3108.8061393590365</v>
      </c>
      <c r="T71" s="13">
        <f ca="1"/>
        <v>3109.2180435486139</v>
      </c>
      <c r="U71" s="13">
        <f ca="1"/>
        <v>3109.9154205588443</v>
      </c>
      <c r="V71" s="13">
        <f ca="1"/>
        <v>3110.9780476274395</v>
      </c>
      <c r="W71" s="13">
        <f ca="1"/>
        <v>3111.995372146112</v>
      </c>
      <c r="X71" s="13">
        <f ca="1"/>
        <v>3112.8383253199231</v>
      </c>
      <c r="Y71" s="13">
        <f ca="1"/>
        <v>3113.4035863685663</v>
      </c>
      <c r="Z71" s="13">
        <f ca="1"/>
        <v>3113.7933157458961</v>
      </c>
      <c r="AA71" s="13">
        <f ca="1"/>
        <v>3113.7933157458961</v>
      </c>
      <c r="AB71" s="13">
        <f ca="1"/>
        <v>3113.7933157458961</v>
      </c>
      <c r="AC71" s="13">
        <f ca="1"/>
        <v>3113.7933157458961</v>
      </c>
      <c r="AD71" s="13">
        <f ca="1"/>
        <v>3113.7933157458961</v>
      </c>
      <c r="AE71" s="13">
        <f ca="1"/>
        <v>3113.7933157458961</v>
      </c>
      <c r="AF71" s="13">
        <f ca="1"/>
        <v>3113.7933157458961</v>
      </c>
      <c r="AG71" s="13">
        <f ca="1"/>
        <v>3113.7933157458961</v>
      </c>
      <c r="AH71" s="13">
        <f ca="1"/>
        <v>3113.7933157458961</v>
      </c>
      <c r="AI71" s="13">
        <f ca="1"/>
        <v>3113.7933157458961</v>
      </c>
      <c r="AJ71" s="13">
        <f ca="1"/>
        <v>3113.7933157458961</v>
      </c>
      <c r="AK71" s="13">
        <f ca="1"/>
        <v>3113.7933157458961</v>
      </c>
      <c r="AL71" s="56">
        <f ca="1"/>
        <v>3113.7933157458961</v>
      </c>
      <c r="AM71" s="10"/>
    </row>
    <row r="72" spans="2:39" ht="15" hidden="1">
      <c r="B72" s="10"/>
      <c r="C72" s="11" t="str">
        <f>"EL 4: " &amp; INDEX(_doName,5,5)</f>
        <v>EL 4: EL 4</v>
      </c>
      <c r="D72" s="12"/>
      <c r="E72" s="13">
        <f t="array" aca="1" ref="E72:AL72" ca="1">tlccFubcElec4</f>
        <v>3415.5372360826341</v>
      </c>
      <c r="F72" s="13">
        <f ca="1"/>
        <v>3390.7331316870541</v>
      </c>
      <c r="G72" s="13">
        <f ca="1"/>
        <v>3368.8362761899662</v>
      </c>
      <c r="H72" s="13">
        <f ca="1"/>
        <v>3348.0221413185741</v>
      </c>
      <c r="I72" s="13">
        <f ca="1"/>
        <v>3329.7858938349991</v>
      </c>
      <c r="J72" s="13">
        <f ca="1"/>
        <v>3315.5514747266757</v>
      </c>
      <c r="K72" s="13">
        <f ca="1"/>
        <v>3303.6547082139837</v>
      </c>
      <c r="L72" s="13">
        <f ca="1"/>
        <v>3291.6882456610761</v>
      </c>
      <c r="M72" s="13">
        <f ca="1"/>
        <v>3282.0428082959434</v>
      </c>
      <c r="N72" s="13">
        <f ca="1"/>
        <v>3275.2879428560941</v>
      </c>
      <c r="O72" s="13">
        <f ca="1"/>
        <v>3270.2899861008714</v>
      </c>
      <c r="P72" s="13">
        <f ca="1"/>
        <v>3266.0376926913959</v>
      </c>
      <c r="Q72" s="13">
        <f ca="1"/>
        <v>3262.8535028974352</v>
      </c>
      <c r="R72" s="13">
        <f ca="1"/>
        <v>3260.381406638965</v>
      </c>
      <c r="S72" s="13">
        <f ca="1"/>
        <v>3259.9049537444557</v>
      </c>
      <c r="T72" s="13">
        <f ca="1"/>
        <v>3260.3368779133752</v>
      </c>
      <c r="U72" s="13">
        <f ca="1"/>
        <v>3261.06814987707</v>
      </c>
      <c r="V72" s="13">
        <f ca="1"/>
        <v>3262.1824243250776</v>
      </c>
      <c r="W72" s="13">
        <f ca="1"/>
        <v>3263.24919436133</v>
      </c>
      <c r="X72" s="13">
        <f ca="1"/>
        <v>3264.1331179975746</v>
      </c>
      <c r="Y72" s="13">
        <f ca="1"/>
        <v>3264.7258527034483</v>
      </c>
      <c r="Z72" s="13">
        <f ca="1"/>
        <v>3265.1345242869515</v>
      </c>
      <c r="AA72" s="13">
        <f ca="1"/>
        <v>3265.1345242869515</v>
      </c>
      <c r="AB72" s="13">
        <f ca="1"/>
        <v>3265.1345242869515</v>
      </c>
      <c r="AC72" s="13">
        <f ca="1"/>
        <v>3265.1345242869515</v>
      </c>
      <c r="AD72" s="13">
        <f ca="1"/>
        <v>3265.1345242869515</v>
      </c>
      <c r="AE72" s="13">
        <f ca="1"/>
        <v>3265.1345242869515</v>
      </c>
      <c r="AF72" s="13">
        <f ca="1"/>
        <v>3265.1345242869515</v>
      </c>
      <c r="AG72" s="13">
        <f ca="1"/>
        <v>3265.1345242869515</v>
      </c>
      <c r="AH72" s="13">
        <f ca="1"/>
        <v>3265.1345242869515</v>
      </c>
      <c r="AI72" s="13">
        <f ca="1"/>
        <v>3265.1345242869515</v>
      </c>
      <c r="AJ72" s="13">
        <f ca="1"/>
        <v>3265.1345242869515</v>
      </c>
      <c r="AK72" s="13">
        <f ca="1"/>
        <v>3265.1345242869515</v>
      </c>
      <c r="AL72" s="56">
        <f ca="1"/>
        <v>3265.1345242869515</v>
      </c>
      <c r="AM72" s="10"/>
    </row>
    <row r="73" spans="2:39" ht="15" hidden="1">
      <c r="B73" s="10"/>
      <c r="C73" s="11" t="str">
        <f>"EL 5: " &amp; INDEX(_doName,5,6)</f>
        <v>EL 5: EL 5</v>
      </c>
      <c r="D73" s="12"/>
      <c r="E73" s="13">
        <f t="array" aca="1" ref="E73:AL73" ca="1">tlccFubcElec5</f>
        <v>8158.5008728218045</v>
      </c>
      <c r="F73" s="13">
        <f ca="1"/>
        <v>8099.2527096856911</v>
      </c>
      <c r="G73" s="13">
        <f ca="1"/>
        <v>8046.9489277805214</v>
      </c>
      <c r="H73" s="13">
        <f ca="1"/>
        <v>7997.2313794776255</v>
      </c>
      <c r="I73" s="13">
        <f ca="1"/>
        <v>7953.6714851687639</v>
      </c>
      <c r="J73" s="13">
        <f ca="1"/>
        <v>7919.6705322608195</v>
      </c>
      <c r="K73" s="13">
        <f ca="1"/>
        <v>7891.2533980682274</v>
      </c>
      <c r="L73" s="13">
        <f ca="1"/>
        <v>7862.6697848810791</v>
      </c>
      <c r="M73" s="13">
        <f ca="1"/>
        <v>7839.6302734593164</v>
      </c>
      <c r="N73" s="13">
        <f ca="1"/>
        <v>7823.4953079245797</v>
      </c>
      <c r="O73" s="13">
        <f ca="1"/>
        <v>7811.5569709276806</v>
      </c>
      <c r="P73" s="13">
        <f ca="1"/>
        <v>7801.3997578467643</v>
      </c>
      <c r="Q73" s="13">
        <f ca="1"/>
        <v>7793.7938635415239</v>
      </c>
      <c r="R73" s="13">
        <f ca="1"/>
        <v>7787.8889068426579</v>
      </c>
      <c r="S73" s="13">
        <f ca="1"/>
        <v>7786.7508307254811</v>
      </c>
      <c r="T73" s="13">
        <f ca="1"/>
        <v>7787.782543590999</v>
      </c>
      <c r="U73" s="13">
        <f ca="1"/>
        <v>7789.529291625553</v>
      </c>
      <c r="V73" s="13">
        <f ca="1"/>
        <v>7792.1908960608962</v>
      </c>
      <c r="W73" s="13">
        <f ca="1"/>
        <v>7794.7390293911139</v>
      </c>
      <c r="X73" s="13">
        <f ca="1"/>
        <v>7796.8504078535207</v>
      </c>
      <c r="Y73" s="13">
        <f ca="1"/>
        <v>7798.2662397654476</v>
      </c>
      <c r="Z73" s="13">
        <f ca="1"/>
        <v>7799.242410493579</v>
      </c>
      <c r="AA73" s="13">
        <f ca="1"/>
        <v>7799.242410493579</v>
      </c>
      <c r="AB73" s="13">
        <f ca="1"/>
        <v>7799.242410493579</v>
      </c>
      <c r="AC73" s="13">
        <f ca="1"/>
        <v>7799.242410493579</v>
      </c>
      <c r="AD73" s="13">
        <f ca="1"/>
        <v>7799.242410493579</v>
      </c>
      <c r="AE73" s="13">
        <f ca="1"/>
        <v>7799.242410493579</v>
      </c>
      <c r="AF73" s="13">
        <f ca="1"/>
        <v>7799.242410493579</v>
      </c>
      <c r="AG73" s="13">
        <f ca="1"/>
        <v>7799.242410493579</v>
      </c>
      <c r="AH73" s="13">
        <f ca="1"/>
        <v>7799.242410493579</v>
      </c>
      <c r="AI73" s="13">
        <f ca="1"/>
        <v>7799.242410493579</v>
      </c>
      <c r="AJ73" s="13">
        <f ca="1"/>
        <v>7799.242410493579</v>
      </c>
      <c r="AK73" s="13">
        <f ca="1"/>
        <v>7799.242410493579</v>
      </c>
      <c r="AL73" s="56">
        <f ca="1"/>
        <v>7799.242410493579</v>
      </c>
      <c r="AM73" s="10"/>
    </row>
    <row r="74" spans="2:39" ht="15" hidden="1">
      <c r="B74" s="10"/>
      <c r="C74" s="21" t="str">
        <f>"EL 6: " &amp; INDEX(_doName,5,7)</f>
        <v>EL 6: EL 6</v>
      </c>
      <c r="D74" s="18"/>
      <c r="E74" s="58">
        <f t="array" aca="1" ref="E74:AL74" ca="1">tlccFubcElec6</f>
        <v>4321.0616613625216</v>
      </c>
      <c r="F74" s="58">
        <f ca="1"/>
        <v>4289.6815131925978</v>
      </c>
      <c r="G74" s="58">
        <f ca="1"/>
        <v>4261.97938136007</v>
      </c>
      <c r="H74" s="58">
        <f ca="1"/>
        <v>4235.6470201557895</v>
      </c>
      <c r="I74" s="58">
        <f ca="1"/>
        <v>4212.5759937251805</v>
      </c>
      <c r="J74" s="58">
        <f ca="1"/>
        <v>4194.5677571201277</v>
      </c>
      <c r="K74" s="58">
        <f ca="1"/>
        <v>4179.5169296458735</v>
      </c>
      <c r="L74" s="58">
        <f ca="1"/>
        <v>4164.3779283744934</v>
      </c>
      <c r="M74" s="58">
        <f ca="1"/>
        <v>4152.175300581348</v>
      </c>
      <c r="N74" s="58">
        <f ca="1"/>
        <v>4143.629590766961</v>
      </c>
      <c r="O74" s="58">
        <f ca="1"/>
        <v>4137.3065798239122</v>
      </c>
      <c r="P74" s="58">
        <f ca="1"/>
        <v>4131.9269218800791</v>
      </c>
      <c r="Q74" s="58">
        <f ca="1"/>
        <v>4127.8985423045824</v>
      </c>
      <c r="R74" s="58">
        <f ca="1"/>
        <v>4124.771045917535</v>
      </c>
      <c r="S74" s="58">
        <f ca="1"/>
        <v>4124.168276223163</v>
      </c>
      <c r="T74" s="58">
        <f ca="1"/>
        <v>4124.7147117728091</v>
      </c>
      <c r="U74" s="58">
        <f ca="1"/>
        <v>4125.6398579585884</v>
      </c>
      <c r="V74" s="58">
        <f ca="1"/>
        <v>4127.0495479325864</v>
      </c>
      <c r="W74" s="58">
        <f ca="1"/>
        <v>4128.3991391642212</v>
      </c>
      <c r="X74" s="58">
        <f ca="1"/>
        <v>4129.5174079085346</v>
      </c>
      <c r="Y74" s="58">
        <f ca="1"/>
        <v>4130.2672879525435</v>
      </c>
      <c r="Z74" s="58">
        <f ca="1"/>
        <v>4130.7843062104348</v>
      </c>
      <c r="AA74" s="58">
        <f ca="1"/>
        <v>4130.7843062104348</v>
      </c>
      <c r="AB74" s="58">
        <f ca="1"/>
        <v>4130.7843062104348</v>
      </c>
      <c r="AC74" s="58">
        <f ca="1"/>
        <v>4130.7843062104348</v>
      </c>
      <c r="AD74" s="58">
        <f ca="1"/>
        <v>4130.7843062104348</v>
      </c>
      <c r="AE74" s="58">
        <f ca="1"/>
        <v>4130.7843062104348</v>
      </c>
      <c r="AF74" s="58">
        <f ca="1"/>
        <v>4130.7843062104348</v>
      </c>
      <c r="AG74" s="58">
        <f ca="1"/>
        <v>4130.7843062104348</v>
      </c>
      <c r="AH74" s="58">
        <f ca="1"/>
        <v>4130.7843062104348</v>
      </c>
      <c r="AI74" s="58">
        <f ca="1"/>
        <v>4130.7843062104348</v>
      </c>
      <c r="AJ74" s="58">
        <f ca="1"/>
        <v>4130.7843062104348</v>
      </c>
      <c r="AK74" s="58">
        <f ca="1"/>
        <v>4130.7843062104348</v>
      </c>
      <c r="AL74" s="59">
        <f ca="1"/>
        <v>4130.7843062104348</v>
      </c>
      <c r="AM74" s="10"/>
    </row>
    <row r="75" spans="2:39" ht="15" hidden="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2:39" ht="15" hidden="1">
      <c r="B76" s="10"/>
      <c r="C76" s="22" t="s">
        <v>86</v>
      </c>
      <c r="D76" s="23"/>
      <c r="E76" s="24">
        <f t="array" ref="E76:AL76">_yS</f>
        <v>2019</v>
      </c>
      <c r="F76" s="24">
        <v>2020</v>
      </c>
      <c r="G76" s="24">
        <v>2021</v>
      </c>
      <c r="H76" s="24">
        <v>2022</v>
      </c>
      <c r="I76" s="24">
        <v>2023</v>
      </c>
      <c r="J76" s="24">
        <v>2024</v>
      </c>
      <c r="K76" s="24">
        <v>2025</v>
      </c>
      <c r="L76" s="24">
        <v>2026</v>
      </c>
      <c r="M76" s="24">
        <v>2027</v>
      </c>
      <c r="N76" s="24">
        <v>2028</v>
      </c>
      <c r="O76" s="24">
        <v>2029</v>
      </c>
      <c r="P76" s="24">
        <v>2030</v>
      </c>
      <c r="Q76" s="24">
        <v>2031</v>
      </c>
      <c r="R76" s="24">
        <v>2032</v>
      </c>
      <c r="S76" s="24">
        <v>2033</v>
      </c>
      <c r="T76" s="24">
        <v>2034</v>
      </c>
      <c r="U76" s="24">
        <v>2035</v>
      </c>
      <c r="V76" s="24">
        <v>2036</v>
      </c>
      <c r="W76" s="24">
        <v>2037</v>
      </c>
      <c r="X76" s="24">
        <v>2038</v>
      </c>
      <c r="Y76" s="24">
        <v>2039</v>
      </c>
      <c r="Z76" s="24">
        <v>2040</v>
      </c>
      <c r="AA76" s="24">
        <v>2041</v>
      </c>
      <c r="AB76" s="24">
        <v>2042</v>
      </c>
      <c r="AC76" s="24">
        <v>2043</v>
      </c>
      <c r="AD76" s="24">
        <v>2044</v>
      </c>
      <c r="AE76" s="24">
        <v>2045</v>
      </c>
      <c r="AF76" s="24">
        <v>2046</v>
      </c>
      <c r="AG76" s="24">
        <v>2047</v>
      </c>
      <c r="AH76" s="24">
        <v>2048</v>
      </c>
      <c r="AI76" s="24">
        <v>2049</v>
      </c>
      <c r="AJ76" s="24">
        <v>2050</v>
      </c>
      <c r="AK76" s="24">
        <v>2051</v>
      </c>
      <c r="AL76" s="25">
        <v>2052</v>
      </c>
      <c r="AM76" s="10"/>
    </row>
    <row r="77" spans="2:39" ht="15" hidden="1">
      <c r="B77" s="10"/>
      <c r="C77" s="11" t="str">
        <f>"EL 0: " &amp; INDEX(_doName,5,1)</f>
        <v>EL 0: EL 4</v>
      </c>
      <c r="D77" s="12"/>
      <c r="E77" s="13">
        <f t="array" aca="1" ref="E77:AL77" ca="1">tlccQupol0</f>
        <v>0</v>
      </c>
      <c r="F77" s="13">
        <f ca="1"/>
        <v>0</v>
      </c>
      <c r="G77" s="13">
        <f ca="1"/>
        <v>0</v>
      </c>
      <c r="H77" s="13">
        <f ca="1"/>
        <v>0</v>
      </c>
      <c r="I77" s="13">
        <f ca="1"/>
        <v>0</v>
      </c>
      <c r="J77" s="13">
        <f ca="1"/>
        <v>0</v>
      </c>
      <c r="K77" s="13">
        <f ca="1"/>
        <v>0</v>
      </c>
      <c r="L77" s="13">
        <f ca="1"/>
        <v>0</v>
      </c>
      <c r="M77" s="13">
        <f ca="1"/>
        <v>0</v>
      </c>
      <c r="N77" s="13">
        <f ca="1"/>
        <v>0</v>
      </c>
      <c r="O77" s="13">
        <f ca="1"/>
        <v>0</v>
      </c>
      <c r="P77" s="13">
        <f ca="1"/>
        <v>0</v>
      </c>
      <c r="Q77" s="13">
        <f ca="1"/>
        <v>0</v>
      </c>
      <c r="R77" s="13">
        <f ca="1"/>
        <v>0</v>
      </c>
      <c r="S77" s="13">
        <f ca="1"/>
        <v>0</v>
      </c>
      <c r="T77" s="13">
        <f ca="1"/>
        <v>0</v>
      </c>
      <c r="U77" s="13">
        <f ca="1"/>
        <v>0</v>
      </c>
      <c r="V77" s="13">
        <f ca="1"/>
        <v>0</v>
      </c>
      <c r="W77" s="13">
        <f ca="1"/>
        <v>0</v>
      </c>
      <c r="X77" s="13">
        <f ca="1"/>
        <v>0</v>
      </c>
      <c r="Y77" s="13">
        <f ca="1"/>
        <v>0</v>
      </c>
      <c r="Z77" s="13">
        <f ca="1"/>
        <v>0</v>
      </c>
      <c r="AA77" s="13">
        <f ca="1"/>
        <v>0</v>
      </c>
      <c r="AB77" s="13">
        <f ca="1"/>
        <v>0</v>
      </c>
      <c r="AC77" s="13">
        <f ca="1"/>
        <v>0</v>
      </c>
      <c r="AD77" s="13">
        <f ca="1"/>
        <v>0</v>
      </c>
      <c r="AE77" s="13">
        <f ca="1"/>
        <v>0</v>
      </c>
      <c r="AF77" s="13">
        <f ca="1"/>
        <v>0</v>
      </c>
      <c r="AG77" s="13">
        <f ca="1"/>
        <v>0</v>
      </c>
      <c r="AH77" s="13">
        <f ca="1"/>
        <v>0</v>
      </c>
      <c r="AI77" s="13">
        <f ca="1"/>
        <v>0</v>
      </c>
      <c r="AJ77" s="13">
        <f ca="1"/>
        <v>0</v>
      </c>
      <c r="AK77" s="13">
        <f ca="1"/>
        <v>0</v>
      </c>
      <c r="AL77" s="56">
        <f ca="1"/>
        <v>0</v>
      </c>
      <c r="AM77" s="10"/>
    </row>
    <row r="78" spans="2:39" ht="15" hidden="1">
      <c r="B78" s="10"/>
      <c r="C78" s="11" t="str">
        <f>"EL 1: " &amp; INDEX(_doName,5,2)</f>
        <v>EL 1: EL 1</v>
      </c>
      <c r="D78" s="12"/>
      <c r="E78" s="13">
        <f t="array" aca="1" ref="E78:AL78" ca="1">tlccQupol1</f>
        <v>0</v>
      </c>
      <c r="F78" s="13">
        <f ca="1"/>
        <v>0</v>
      </c>
      <c r="G78" s="13">
        <f ca="1"/>
        <v>0</v>
      </c>
      <c r="H78" s="13">
        <f ca="1"/>
        <v>0</v>
      </c>
      <c r="I78" s="13">
        <f ca="1"/>
        <v>0</v>
      </c>
      <c r="J78" s="13">
        <f ca="1"/>
        <v>0</v>
      </c>
      <c r="K78" s="13">
        <f ca="1"/>
        <v>0</v>
      </c>
      <c r="L78" s="13">
        <f ca="1"/>
        <v>0</v>
      </c>
      <c r="M78" s="13">
        <f ca="1"/>
        <v>0</v>
      </c>
      <c r="N78" s="13">
        <f ca="1"/>
        <v>0</v>
      </c>
      <c r="O78" s="13">
        <f ca="1"/>
        <v>0</v>
      </c>
      <c r="P78" s="13">
        <f ca="1"/>
        <v>0</v>
      </c>
      <c r="Q78" s="13">
        <f ca="1"/>
        <v>0</v>
      </c>
      <c r="R78" s="13">
        <f ca="1"/>
        <v>0</v>
      </c>
      <c r="S78" s="13">
        <f ca="1"/>
        <v>0</v>
      </c>
      <c r="T78" s="13">
        <f ca="1"/>
        <v>0</v>
      </c>
      <c r="U78" s="13">
        <f ca="1"/>
        <v>0</v>
      </c>
      <c r="V78" s="13">
        <f ca="1"/>
        <v>0</v>
      </c>
      <c r="W78" s="13">
        <f ca="1"/>
        <v>0</v>
      </c>
      <c r="X78" s="13">
        <f ca="1"/>
        <v>0</v>
      </c>
      <c r="Y78" s="13">
        <f ca="1"/>
        <v>0</v>
      </c>
      <c r="Z78" s="13">
        <f ca="1"/>
        <v>0</v>
      </c>
      <c r="AA78" s="13">
        <f ca="1"/>
        <v>0</v>
      </c>
      <c r="AB78" s="13">
        <f ca="1"/>
        <v>0</v>
      </c>
      <c r="AC78" s="13">
        <f ca="1"/>
        <v>0</v>
      </c>
      <c r="AD78" s="13">
        <f ca="1"/>
        <v>0</v>
      </c>
      <c r="AE78" s="13">
        <f ca="1"/>
        <v>0</v>
      </c>
      <c r="AF78" s="13">
        <f ca="1"/>
        <v>0</v>
      </c>
      <c r="AG78" s="13">
        <f ca="1"/>
        <v>0</v>
      </c>
      <c r="AH78" s="13">
        <f ca="1"/>
        <v>0</v>
      </c>
      <c r="AI78" s="13">
        <f ca="1"/>
        <v>0</v>
      </c>
      <c r="AJ78" s="13">
        <f ca="1"/>
        <v>0</v>
      </c>
      <c r="AK78" s="13">
        <f ca="1"/>
        <v>0</v>
      </c>
      <c r="AL78" s="56">
        <f ca="1"/>
        <v>0</v>
      </c>
      <c r="AM78" s="10"/>
    </row>
    <row r="79" spans="2:39" ht="15" hidden="1">
      <c r="B79" s="10"/>
      <c r="C79" s="11" t="str">
        <f>"EL 2: " &amp; INDEX(_doName,5,3)</f>
        <v>EL 2: EL 2</v>
      </c>
      <c r="D79" s="12"/>
      <c r="E79" s="13">
        <f t="array" aca="1" ref="E79:AL79" ca="1">tlccQupol2</f>
        <v>0</v>
      </c>
      <c r="F79" s="13">
        <f ca="1"/>
        <v>0</v>
      </c>
      <c r="G79" s="13">
        <f ca="1"/>
        <v>0</v>
      </c>
      <c r="H79" s="13">
        <f ca="1"/>
        <v>0</v>
      </c>
      <c r="I79" s="13">
        <f ca="1"/>
        <v>0</v>
      </c>
      <c r="J79" s="13">
        <f ca="1"/>
        <v>0</v>
      </c>
      <c r="K79" s="13">
        <f ca="1"/>
        <v>0</v>
      </c>
      <c r="L79" s="13">
        <f ca="1"/>
        <v>0</v>
      </c>
      <c r="M79" s="13">
        <f ca="1"/>
        <v>0</v>
      </c>
      <c r="N79" s="13">
        <f ca="1"/>
        <v>0</v>
      </c>
      <c r="O79" s="13">
        <f ca="1"/>
        <v>0</v>
      </c>
      <c r="P79" s="13">
        <f ca="1"/>
        <v>0</v>
      </c>
      <c r="Q79" s="13">
        <f ca="1"/>
        <v>0</v>
      </c>
      <c r="R79" s="13">
        <f ca="1"/>
        <v>0</v>
      </c>
      <c r="S79" s="13">
        <f ca="1"/>
        <v>0</v>
      </c>
      <c r="T79" s="13">
        <f ca="1"/>
        <v>0</v>
      </c>
      <c r="U79" s="13">
        <f ca="1"/>
        <v>0</v>
      </c>
      <c r="V79" s="13">
        <f ca="1"/>
        <v>0</v>
      </c>
      <c r="W79" s="13">
        <f ca="1"/>
        <v>0</v>
      </c>
      <c r="X79" s="13">
        <f ca="1"/>
        <v>0</v>
      </c>
      <c r="Y79" s="13">
        <f ca="1"/>
        <v>0</v>
      </c>
      <c r="Z79" s="13">
        <f ca="1"/>
        <v>0</v>
      </c>
      <c r="AA79" s="13">
        <f ca="1"/>
        <v>0</v>
      </c>
      <c r="AB79" s="13">
        <f ca="1"/>
        <v>0</v>
      </c>
      <c r="AC79" s="13">
        <f ca="1"/>
        <v>0</v>
      </c>
      <c r="AD79" s="13">
        <f ca="1"/>
        <v>0</v>
      </c>
      <c r="AE79" s="13">
        <f ca="1"/>
        <v>0</v>
      </c>
      <c r="AF79" s="13">
        <f ca="1"/>
        <v>0</v>
      </c>
      <c r="AG79" s="13">
        <f ca="1"/>
        <v>0</v>
      </c>
      <c r="AH79" s="13">
        <f ca="1"/>
        <v>0</v>
      </c>
      <c r="AI79" s="13">
        <f ca="1"/>
        <v>0</v>
      </c>
      <c r="AJ79" s="13">
        <f ca="1"/>
        <v>0</v>
      </c>
      <c r="AK79" s="13">
        <f ca="1"/>
        <v>0</v>
      </c>
      <c r="AL79" s="56">
        <f ca="1"/>
        <v>0</v>
      </c>
      <c r="AM79" s="10"/>
    </row>
    <row r="80" spans="2:39" ht="15" hidden="1">
      <c r="B80" s="10"/>
      <c r="C80" s="11" t="str">
        <f>"EL 3: " &amp; INDEX(_doName,5,4)</f>
        <v>EL 3: EL 3</v>
      </c>
      <c r="D80" s="12"/>
      <c r="E80" s="13">
        <f t="array" aca="1" ref="E80:AL80" ca="1">tlccQupol3</f>
        <v>0</v>
      </c>
      <c r="F80" s="13">
        <f ca="1"/>
        <v>0</v>
      </c>
      <c r="G80" s="13">
        <f ca="1"/>
        <v>0</v>
      </c>
      <c r="H80" s="13">
        <f ca="1"/>
        <v>0</v>
      </c>
      <c r="I80" s="13">
        <f ca="1"/>
        <v>0</v>
      </c>
      <c r="J80" s="13">
        <f ca="1"/>
        <v>0</v>
      </c>
      <c r="K80" s="13">
        <f ca="1"/>
        <v>0</v>
      </c>
      <c r="L80" s="13">
        <f ca="1"/>
        <v>0</v>
      </c>
      <c r="M80" s="13">
        <f ca="1"/>
        <v>0</v>
      </c>
      <c r="N80" s="13">
        <f ca="1"/>
        <v>0</v>
      </c>
      <c r="O80" s="13">
        <f ca="1"/>
        <v>0</v>
      </c>
      <c r="P80" s="13">
        <f ca="1"/>
        <v>0</v>
      </c>
      <c r="Q80" s="13">
        <f ca="1"/>
        <v>0</v>
      </c>
      <c r="R80" s="13">
        <f ca="1"/>
        <v>0</v>
      </c>
      <c r="S80" s="13">
        <f ca="1"/>
        <v>0</v>
      </c>
      <c r="T80" s="13">
        <f ca="1"/>
        <v>0</v>
      </c>
      <c r="U80" s="13">
        <f ca="1"/>
        <v>0</v>
      </c>
      <c r="V80" s="13">
        <f ca="1"/>
        <v>0</v>
      </c>
      <c r="W80" s="13">
        <f ca="1"/>
        <v>0</v>
      </c>
      <c r="X80" s="13">
        <f ca="1"/>
        <v>0</v>
      </c>
      <c r="Y80" s="13">
        <f ca="1"/>
        <v>0</v>
      </c>
      <c r="Z80" s="13">
        <f ca="1"/>
        <v>0</v>
      </c>
      <c r="AA80" s="13">
        <f ca="1"/>
        <v>0</v>
      </c>
      <c r="AB80" s="13">
        <f ca="1"/>
        <v>0</v>
      </c>
      <c r="AC80" s="13">
        <f ca="1"/>
        <v>0</v>
      </c>
      <c r="AD80" s="13">
        <f ca="1"/>
        <v>0</v>
      </c>
      <c r="AE80" s="13">
        <f ca="1"/>
        <v>0</v>
      </c>
      <c r="AF80" s="13">
        <f ca="1"/>
        <v>0</v>
      </c>
      <c r="AG80" s="13">
        <f ca="1"/>
        <v>0</v>
      </c>
      <c r="AH80" s="13">
        <f ca="1"/>
        <v>0</v>
      </c>
      <c r="AI80" s="13">
        <f ca="1"/>
        <v>0</v>
      </c>
      <c r="AJ80" s="13">
        <f ca="1"/>
        <v>0</v>
      </c>
      <c r="AK80" s="13">
        <f ca="1"/>
        <v>0</v>
      </c>
      <c r="AL80" s="56">
        <f ca="1"/>
        <v>0</v>
      </c>
      <c r="AM80" s="10"/>
    </row>
    <row r="81" spans="2:39" ht="15" hidden="1">
      <c r="B81" s="10"/>
      <c r="C81" s="11" t="str">
        <f>"EL 4: " &amp; INDEX(_doName,5,5)</f>
        <v>EL 4: EL 4</v>
      </c>
      <c r="D81" s="12"/>
      <c r="E81" s="13">
        <f t="array" aca="1" ref="E81:AL81" ca="1">tlccQupol4</f>
        <v>0</v>
      </c>
      <c r="F81" s="13">
        <f ca="1"/>
        <v>0</v>
      </c>
      <c r="G81" s="13">
        <f ca="1"/>
        <v>0</v>
      </c>
      <c r="H81" s="13">
        <f ca="1"/>
        <v>0</v>
      </c>
      <c r="I81" s="13">
        <f ca="1"/>
        <v>0</v>
      </c>
      <c r="J81" s="13">
        <f ca="1"/>
        <v>0</v>
      </c>
      <c r="K81" s="13">
        <f ca="1"/>
        <v>0</v>
      </c>
      <c r="L81" s="13">
        <f ca="1"/>
        <v>0</v>
      </c>
      <c r="M81" s="13">
        <f ca="1"/>
        <v>0</v>
      </c>
      <c r="N81" s="13">
        <f ca="1"/>
        <v>0</v>
      </c>
      <c r="O81" s="13">
        <f ca="1"/>
        <v>0</v>
      </c>
      <c r="P81" s="13">
        <f ca="1"/>
        <v>0</v>
      </c>
      <c r="Q81" s="13">
        <f ca="1"/>
        <v>0</v>
      </c>
      <c r="R81" s="13">
        <f ca="1"/>
        <v>0</v>
      </c>
      <c r="S81" s="13">
        <f ca="1"/>
        <v>0</v>
      </c>
      <c r="T81" s="13">
        <f ca="1"/>
        <v>0</v>
      </c>
      <c r="U81" s="13">
        <f ca="1"/>
        <v>0</v>
      </c>
      <c r="V81" s="13">
        <f ca="1"/>
        <v>0</v>
      </c>
      <c r="W81" s="13">
        <f ca="1"/>
        <v>0</v>
      </c>
      <c r="X81" s="13">
        <f ca="1"/>
        <v>0</v>
      </c>
      <c r="Y81" s="13">
        <f ca="1"/>
        <v>0</v>
      </c>
      <c r="Z81" s="13">
        <f ca="1"/>
        <v>0</v>
      </c>
      <c r="AA81" s="13">
        <f ca="1"/>
        <v>0</v>
      </c>
      <c r="AB81" s="13">
        <f ca="1"/>
        <v>0</v>
      </c>
      <c r="AC81" s="13">
        <f ca="1"/>
        <v>0</v>
      </c>
      <c r="AD81" s="13">
        <f ca="1"/>
        <v>0</v>
      </c>
      <c r="AE81" s="13">
        <f ca="1"/>
        <v>0</v>
      </c>
      <c r="AF81" s="13">
        <f ca="1"/>
        <v>0</v>
      </c>
      <c r="AG81" s="13">
        <f ca="1"/>
        <v>0</v>
      </c>
      <c r="AH81" s="13">
        <f ca="1"/>
        <v>0</v>
      </c>
      <c r="AI81" s="13">
        <f ca="1"/>
        <v>0</v>
      </c>
      <c r="AJ81" s="13">
        <f ca="1"/>
        <v>0</v>
      </c>
      <c r="AK81" s="13">
        <f ca="1"/>
        <v>0</v>
      </c>
      <c r="AL81" s="56">
        <f ca="1"/>
        <v>0</v>
      </c>
      <c r="AM81" s="10"/>
    </row>
    <row r="82" spans="2:39" ht="15" hidden="1">
      <c r="B82" s="10"/>
      <c r="C82" s="11" t="str">
        <f>"EL 5: " &amp; INDEX(_doName,5,6)</f>
        <v>EL 5: EL 5</v>
      </c>
      <c r="D82" s="12"/>
      <c r="E82" s="13">
        <f t="array" aca="1" ref="E82:AL82" ca="1">tlccQupol5</f>
        <v>4514.6802118466803</v>
      </c>
      <c r="F82" s="13">
        <f ca="1"/>
        <v>4514.6802118466803</v>
      </c>
      <c r="G82" s="13">
        <f ca="1"/>
        <v>4514.6802118466803</v>
      </c>
      <c r="H82" s="13">
        <f ca="1"/>
        <v>4514.6802118466803</v>
      </c>
      <c r="I82" s="13">
        <f ca="1"/>
        <v>4514.6802118466803</v>
      </c>
      <c r="J82" s="13">
        <f ca="1"/>
        <v>4514.6802118466803</v>
      </c>
      <c r="K82" s="13">
        <f ca="1"/>
        <v>4514.6802118466803</v>
      </c>
      <c r="L82" s="13">
        <f ca="1"/>
        <v>4514.6802118466803</v>
      </c>
      <c r="M82" s="13">
        <f ca="1"/>
        <v>4514.6802118466803</v>
      </c>
      <c r="N82" s="13">
        <f ca="1"/>
        <v>4514.6802118466803</v>
      </c>
      <c r="O82" s="13">
        <f ca="1"/>
        <v>4514.6802118466803</v>
      </c>
      <c r="P82" s="13">
        <f ca="1"/>
        <v>4514.6802118466803</v>
      </c>
      <c r="Q82" s="13">
        <f ca="1"/>
        <v>4514.6802118466803</v>
      </c>
      <c r="R82" s="13">
        <f ca="1"/>
        <v>4514.6802118466803</v>
      </c>
      <c r="S82" s="13">
        <f ca="1"/>
        <v>4514.6802118466803</v>
      </c>
      <c r="T82" s="13">
        <f ca="1"/>
        <v>4514.6802118466803</v>
      </c>
      <c r="U82" s="13">
        <f ca="1"/>
        <v>4514.6802118466803</v>
      </c>
      <c r="V82" s="13">
        <f ca="1"/>
        <v>4514.6802118466803</v>
      </c>
      <c r="W82" s="13">
        <f ca="1"/>
        <v>4514.6802118466803</v>
      </c>
      <c r="X82" s="13">
        <f ca="1"/>
        <v>4514.6802118466803</v>
      </c>
      <c r="Y82" s="13">
        <f ca="1"/>
        <v>4514.6802118466803</v>
      </c>
      <c r="Z82" s="13">
        <f ca="1"/>
        <v>4514.6802118466803</v>
      </c>
      <c r="AA82" s="13">
        <f ca="1"/>
        <v>4514.6802118466803</v>
      </c>
      <c r="AB82" s="13">
        <f ca="1"/>
        <v>4514.6802118466803</v>
      </c>
      <c r="AC82" s="13">
        <f ca="1"/>
        <v>4514.6802118466803</v>
      </c>
      <c r="AD82" s="13">
        <f ca="1"/>
        <v>4514.6802118466803</v>
      </c>
      <c r="AE82" s="13">
        <f ca="1"/>
        <v>4514.6802118466803</v>
      </c>
      <c r="AF82" s="13">
        <f ca="1"/>
        <v>4514.6802118466803</v>
      </c>
      <c r="AG82" s="13">
        <f ca="1"/>
        <v>4514.6802118466803</v>
      </c>
      <c r="AH82" s="13">
        <f ca="1"/>
        <v>4514.6802118466803</v>
      </c>
      <c r="AI82" s="13">
        <f ca="1"/>
        <v>4514.6802118466803</v>
      </c>
      <c r="AJ82" s="13">
        <f ca="1"/>
        <v>4514.6802118466803</v>
      </c>
      <c r="AK82" s="13">
        <f ca="1"/>
        <v>4514.6802118466803</v>
      </c>
      <c r="AL82" s="56">
        <f ca="1"/>
        <v>4514.6802118466803</v>
      </c>
      <c r="AM82" s="10"/>
    </row>
    <row r="83" spans="2:39" ht="15" hidden="1">
      <c r="B83" s="10"/>
      <c r="C83" s="21" t="str">
        <f>"EL 6: " &amp; INDEX(_doName,5,7)</f>
        <v>EL 6: EL 6</v>
      </c>
      <c r="D83" s="18"/>
      <c r="E83" s="58">
        <f t="array" aca="1" ref="E83:AL83" ca="1">tlccQupol6</f>
        <v>5262.6649260700196</v>
      </c>
      <c r="F83" s="58">
        <f ca="1"/>
        <v>5262.6649260700196</v>
      </c>
      <c r="G83" s="58">
        <f ca="1"/>
        <v>5262.6649260700196</v>
      </c>
      <c r="H83" s="58">
        <f ca="1"/>
        <v>5262.6649260700196</v>
      </c>
      <c r="I83" s="58">
        <f ca="1"/>
        <v>5262.6649260700196</v>
      </c>
      <c r="J83" s="58">
        <f ca="1"/>
        <v>5262.6649260700196</v>
      </c>
      <c r="K83" s="58">
        <f ca="1"/>
        <v>5262.6649260700196</v>
      </c>
      <c r="L83" s="58">
        <f ca="1"/>
        <v>5262.6649260700196</v>
      </c>
      <c r="M83" s="58">
        <f ca="1"/>
        <v>5262.6649260700196</v>
      </c>
      <c r="N83" s="58">
        <f ca="1"/>
        <v>5262.6649260700196</v>
      </c>
      <c r="O83" s="58">
        <f ca="1"/>
        <v>5262.6649260700196</v>
      </c>
      <c r="P83" s="58">
        <f ca="1"/>
        <v>5262.6649260700196</v>
      </c>
      <c r="Q83" s="58">
        <f ca="1"/>
        <v>5262.6649260700196</v>
      </c>
      <c r="R83" s="58">
        <f ca="1"/>
        <v>5262.6649260700196</v>
      </c>
      <c r="S83" s="58">
        <f ca="1"/>
        <v>5262.6649260700196</v>
      </c>
      <c r="T83" s="58">
        <f ca="1"/>
        <v>5262.6649260700196</v>
      </c>
      <c r="U83" s="58">
        <f ca="1"/>
        <v>5262.6649260700196</v>
      </c>
      <c r="V83" s="58">
        <f ca="1"/>
        <v>5262.6649260700196</v>
      </c>
      <c r="W83" s="58">
        <f ca="1"/>
        <v>5262.6649260700196</v>
      </c>
      <c r="X83" s="58">
        <f ca="1"/>
        <v>5262.6649260700196</v>
      </c>
      <c r="Y83" s="58">
        <f ca="1"/>
        <v>5262.6649260700196</v>
      </c>
      <c r="Z83" s="58">
        <f ca="1"/>
        <v>5262.6649260700196</v>
      </c>
      <c r="AA83" s="58">
        <f ca="1"/>
        <v>5262.6649260700196</v>
      </c>
      <c r="AB83" s="58">
        <f ca="1"/>
        <v>5262.6649260700196</v>
      </c>
      <c r="AC83" s="58">
        <f ca="1"/>
        <v>5262.6649260700196</v>
      </c>
      <c r="AD83" s="58">
        <f ca="1"/>
        <v>5262.6649260700196</v>
      </c>
      <c r="AE83" s="58">
        <f ca="1"/>
        <v>5262.6649260700196</v>
      </c>
      <c r="AF83" s="58">
        <f ca="1"/>
        <v>5262.6649260700196</v>
      </c>
      <c r="AG83" s="58">
        <f ca="1"/>
        <v>5262.6649260700196</v>
      </c>
      <c r="AH83" s="58">
        <f ca="1"/>
        <v>5262.6649260700196</v>
      </c>
      <c r="AI83" s="58">
        <f ca="1"/>
        <v>5262.6649260700196</v>
      </c>
      <c r="AJ83" s="58">
        <f ca="1"/>
        <v>5262.6649260700196</v>
      </c>
      <c r="AK83" s="58">
        <f ca="1"/>
        <v>5262.6649260700196</v>
      </c>
      <c r="AL83" s="59">
        <f ca="1"/>
        <v>5262.6649260700196</v>
      </c>
      <c r="AM83" s="10"/>
    </row>
    <row r="84" spans="2:39" ht="15" hidden="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2:39" ht="15" hidden="1">
      <c r="B85" s="10"/>
      <c r="C85" s="22" t="s">
        <v>85</v>
      </c>
      <c r="D85" s="23"/>
      <c r="E85" s="24">
        <f t="array" ref="E85:AL85">_yS</f>
        <v>2019</v>
      </c>
      <c r="F85" s="24">
        <v>2020</v>
      </c>
      <c r="G85" s="24">
        <v>2021</v>
      </c>
      <c r="H85" s="24">
        <v>2022</v>
      </c>
      <c r="I85" s="24">
        <v>2023</v>
      </c>
      <c r="J85" s="24">
        <v>2024</v>
      </c>
      <c r="K85" s="24">
        <v>2025</v>
      </c>
      <c r="L85" s="24">
        <v>2026</v>
      </c>
      <c r="M85" s="24">
        <v>2027</v>
      </c>
      <c r="N85" s="24">
        <v>2028</v>
      </c>
      <c r="O85" s="24">
        <v>2029</v>
      </c>
      <c r="P85" s="24">
        <v>2030</v>
      </c>
      <c r="Q85" s="24">
        <v>2031</v>
      </c>
      <c r="R85" s="24">
        <v>2032</v>
      </c>
      <c r="S85" s="24">
        <v>2033</v>
      </c>
      <c r="T85" s="24">
        <v>2034</v>
      </c>
      <c r="U85" s="24">
        <v>2035</v>
      </c>
      <c r="V85" s="24">
        <v>2036</v>
      </c>
      <c r="W85" s="24">
        <v>2037</v>
      </c>
      <c r="X85" s="24">
        <v>2038</v>
      </c>
      <c r="Y85" s="24">
        <v>2039</v>
      </c>
      <c r="Z85" s="24">
        <v>2040</v>
      </c>
      <c r="AA85" s="24">
        <v>2041</v>
      </c>
      <c r="AB85" s="24">
        <v>2042</v>
      </c>
      <c r="AC85" s="24">
        <v>2043</v>
      </c>
      <c r="AD85" s="24">
        <v>2044</v>
      </c>
      <c r="AE85" s="24">
        <v>2045</v>
      </c>
      <c r="AF85" s="24">
        <v>2046</v>
      </c>
      <c r="AG85" s="24">
        <v>2047</v>
      </c>
      <c r="AH85" s="24">
        <v>2048</v>
      </c>
      <c r="AI85" s="24">
        <v>2049</v>
      </c>
      <c r="AJ85" s="24">
        <v>2050</v>
      </c>
      <c r="AK85" s="24">
        <v>2051</v>
      </c>
      <c r="AL85" s="25">
        <v>2052</v>
      </c>
      <c r="AM85" s="10"/>
    </row>
    <row r="86" spans="2:39" ht="15" hidden="1">
      <c r="B86" s="10"/>
      <c r="C86" s="11" t="str">
        <f>"EL 0: " &amp; INDEX(_doName,5,1)</f>
        <v>EL 0: EL 4</v>
      </c>
      <c r="D86" s="12"/>
      <c r="E86" s="13">
        <f t="array" aca="1" ref="E86:AL86" ca="1">tlccEupol0</f>
        <v>0</v>
      </c>
      <c r="F86" s="13">
        <f ca="1"/>
        <v>0</v>
      </c>
      <c r="G86" s="13">
        <f ca="1"/>
        <v>0</v>
      </c>
      <c r="H86" s="13">
        <f ca="1"/>
        <v>0</v>
      </c>
      <c r="I86" s="13">
        <f ca="1"/>
        <v>0</v>
      </c>
      <c r="J86" s="13">
        <f ca="1"/>
        <v>0</v>
      </c>
      <c r="K86" s="13">
        <f ca="1"/>
        <v>0</v>
      </c>
      <c r="L86" s="13">
        <f ca="1"/>
        <v>0</v>
      </c>
      <c r="M86" s="13">
        <f ca="1"/>
        <v>0</v>
      </c>
      <c r="N86" s="13">
        <f ca="1"/>
        <v>0</v>
      </c>
      <c r="O86" s="13">
        <f ca="1"/>
        <v>0</v>
      </c>
      <c r="P86" s="13">
        <f ca="1"/>
        <v>0</v>
      </c>
      <c r="Q86" s="13">
        <f ca="1"/>
        <v>0</v>
      </c>
      <c r="R86" s="13">
        <f ca="1"/>
        <v>0</v>
      </c>
      <c r="S86" s="13">
        <f ca="1"/>
        <v>0</v>
      </c>
      <c r="T86" s="13">
        <f ca="1"/>
        <v>0</v>
      </c>
      <c r="U86" s="13">
        <f ca="1"/>
        <v>0</v>
      </c>
      <c r="V86" s="13">
        <f ca="1"/>
        <v>0</v>
      </c>
      <c r="W86" s="13">
        <f ca="1"/>
        <v>0</v>
      </c>
      <c r="X86" s="13">
        <f ca="1"/>
        <v>0</v>
      </c>
      <c r="Y86" s="13">
        <f ca="1"/>
        <v>0</v>
      </c>
      <c r="Z86" s="13">
        <f ca="1"/>
        <v>0</v>
      </c>
      <c r="AA86" s="13">
        <f ca="1"/>
        <v>0</v>
      </c>
      <c r="AB86" s="13">
        <f ca="1"/>
        <v>0</v>
      </c>
      <c r="AC86" s="13">
        <f ca="1"/>
        <v>0</v>
      </c>
      <c r="AD86" s="13">
        <f ca="1"/>
        <v>0</v>
      </c>
      <c r="AE86" s="13">
        <f ca="1"/>
        <v>0</v>
      </c>
      <c r="AF86" s="13">
        <f ca="1"/>
        <v>0</v>
      </c>
      <c r="AG86" s="13">
        <f ca="1"/>
        <v>0</v>
      </c>
      <c r="AH86" s="13">
        <f ca="1"/>
        <v>0</v>
      </c>
      <c r="AI86" s="13">
        <f ca="1"/>
        <v>0</v>
      </c>
      <c r="AJ86" s="13">
        <f ca="1"/>
        <v>0</v>
      </c>
      <c r="AK86" s="13">
        <f ca="1"/>
        <v>0</v>
      </c>
      <c r="AL86" s="56">
        <f ca="1"/>
        <v>0</v>
      </c>
      <c r="AM86" s="10"/>
    </row>
    <row r="87" spans="2:39" ht="15" hidden="1">
      <c r="B87" s="10"/>
      <c r="C87" s="11" t="str">
        <f>"EL 1: " &amp; INDEX(_doName,5,2)</f>
        <v>EL 1: EL 1</v>
      </c>
      <c r="D87" s="12"/>
      <c r="E87" s="13">
        <f t="array" aca="1" ref="E87:AL87" ca="1">tlccEupol1</f>
        <v>0</v>
      </c>
      <c r="F87" s="13">
        <f ca="1"/>
        <v>0</v>
      </c>
      <c r="G87" s="13">
        <f ca="1"/>
        <v>0</v>
      </c>
      <c r="H87" s="13">
        <f ca="1"/>
        <v>0</v>
      </c>
      <c r="I87" s="13">
        <f ca="1"/>
        <v>0</v>
      </c>
      <c r="J87" s="13">
        <f ca="1"/>
        <v>0</v>
      </c>
      <c r="K87" s="13">
        <f ca="1"/>
        <v>0</v>
      </c>
      <c r="L87" s="13">
        <f ca="1"/>
        <v>0</v>
      </c>
      <c r="M87" s="13">
        <f ca="1"/>
        <v>0</v>
      </c>
      <c r="N87" s="13">
        <f ca="1"/>
        <v>0</v>
      </c>
      <c r="O87" s="13">
        <f ca="1"/>
        <v>0</v>
      </c>
      <c r="P87" s="13">
        <f ca="1"/>
        <v>0</v>
      </c>
      <c r="Q87" s="13">
        <f ca="1"/>
        <v>0</v>
      </c>
      <c r="R87" s="13">
        <f ca="1"/>
        <v>0</v>
      </c>
      <c r="S87" s="13">
        <f ca="1"/>
        <v>0</v>
      </c>
      <c r="T87" s="13">
        <f ca="1"/>
        <v>0</v>
      </c>
      <c r="U87" s="13">
        <f ca="1"/>
        <v>0</v>
      </c>
      <c r="V87" s="13">
        <f ca="1"/>
        <v>0</v>
      </c>
      <c r="W87" s="13">
        <f ca="1"/>
        <v>0</v>
      </c>
      <c r="X87" s="13">
        <f ca="1"/>
        <v>0</v>
      </c>
      <c r="Y87" s="13">
        <f ca="1"/>
        <v>0</v>
      </c>
      <c r="Z87" s="13">
        <f ca="1"/>
        <v>0</v>
      </c>
      <c r="AA87" s="13">
        <f ca="1"/>
        <v>0</v>
      </c>
      <c r="AB87" s="13">
        <f ca="1"/>
        <v>0</v>
      </c>
      <c r="AC87" s="13">
        <f ca="1"/>
        <v>0</v>
      </c>
      <c r="AD87" s="13">
        <f ca="1"/>
        <v>0</v>
      </c>
      <c r="AE87" s="13">
        <f ca="1"/>
        <v>0</v>
      </c>
      <c r="AF87" s="13">
        <f ca="1"/>
        <v>0</v>
      </c>
      <c r="AG87" s="13">
        <f ca="1"/>
        <v>0</v>
      </c>
      <c r="AH87" s="13">
        <f ca="1"/>
        <v>0</v>
      </c>
      <c r="AI87" s="13">
        <f ca="1"/>
        <v>0</v>
      </c>
      <c r="AJ87" s="13">
        <f ca="1"/>
        <v>0</v>
      </c>
      <c r="AK87" s="13">
        <f ca="1"/>
        <v>0</v>
      </c>
      <c r="AL87" s="56">
        <f ca="1"/>
        <v>0</v>
      </c>
      <c r="AM87" s="10"/>
    </row>
    <row r="88" spans="2:39" ht="15" hidden="1">
      <c r="B88" s="10"/>
      <c r="C88" s="11" t="str">
        <f>"EL 2: " &amp; INDEX(_doName,5,3)</f>
        <v>EL 2: EL 2</v>
      </c>
      <c r="D88" s="12"/>
      <c r="E88" s="13">
        <f t="array" aca="1" ref="E88:AL88" ca="1">tlccEupol2</f>
        <v>0</v>
      </c>
      <c r="F88" s="13">
        <f ca="1"/>
        <v>0</v>
      </c>
      <c r="G88" s="13">
        <f ca="1"/>
        <v>0</v>
      </c>
      <c r="H88" s="13">
        <f ca="1"/>
        <v>0</v>
      </c>
      <c r="I88" s="13">
        <f ca="1"/>
        <v>0</v>
      </c>
      <c r="J88" s="13">
        <f ca="1"/>
        <v>0</v>
      </c>
      <c r="K88" s="13">
        <f ca="1"/>
        <v>0</v>
      </c>
      <c r="L88" s="13">
        <f ca="1"/>
        <v>0</v>
      </c>
      <c r="M88" s="13">
        <f ca="1"/>
        <v>0</v>
      </c>
      <c r="N88" s="13">
        <f ca="1"/>
        <v>0</v>
      </c>
      <c r="O88" s="13">
        <f ca="1"/>
        <v>0</v>
      </c>
      <c r="P88" s="13">
        <f ca="1"/>
        <v>0</v>
      </c>
      <c r="Q88" s="13">
        <f ca="1"/>
        <v>0</v>
      </c>
      <c r="R88" s="13">
        <f ca="1"/>
        <v>0</v>
      </c>
      <c r="S88" s="13">
        <f ca="1"/>
        <v>0</v>
      </c>
      <c r="T88" s="13">
        <f ca="1"/>
        <v>0</v>
      </c>
      <c r="U88" s="13">
        <f ca="1"/>
        <v>0</v>
      </c>
      <c r="V88" s="13">
        <f ca="1"/>
        <v>0</v>
      </c>
      <c r="W88" s="13">
        <f ca="1"/>
        <v>0</v>
      </c>
      <c r="X88" s="13">
        <f ca="1"/>
        <v>0</v>
      </c>
      <c r="Y88" s="13">
        <f ca="1"/>
        <v>0</v>
      </c>
      <c r="Z88" s="13">
        <f ca="1"/>
        <v>0</v>
      </c>
      <c r="AA88" s="13">
        <f ca="1"/>
        <v>0</v>
      </c>
      <c r="AB88" s="13">
        <f ca="1"/>
        <v>0</v>
      </c>
      <c r="AC88" s="13">
        <f ca="1"/>
        <v>0</v>
      </c>
      <c r="AD88" s="13">
        <f ca="1"/>
        <v>0</v>
      </c>
      <c r="AE88" s="13">
        <f ca="1"/>
        <v>0</v>
      </c>
      <c r="AF88" s="13">
        <f ca="1"/>
        <v>0</v>
      </c>
      <c r="AG88" s="13">
        <f ca="1"/>
        <v>0</v>
      </c>
      <c r="AH88" s="13">
        <f ca="1"/>
        <v>0</v>
      </c>
      <c r="AI88" s="13">
        <f ca="1"/>
        <v>0</v>
      </c>
      <c r="AJ88" s="13">
        <f ca="1"/>
        <v>0</v>
      </c>
      <c r="AK88" s="13">
        <f ca="1"/>
        <v>0</v>
      </c>
      <c r="AL88" s="56">
        <f ca="1"/>
        <v>0</v>
      </c>
      <c r="AM88" s="10"/>
    </row>
    <row r="89" spans="2:39" ht="15" hidden="1">
      <c r="B89" s="10"/>
      <c r="C89" s="11" t="str">
        <f>"EL 3: " &amp; INDEX(_doName,5,4)</f>
        <v>EL 3: EL 3</v>
      </c>
      <c r="D89" s="12"/>
      <c r="E89" s="13">
        <f t="array" aca="1" ref="E89:AL89" ca="1">tlccEupol3</f>
        <v>0</v>
      </c>
      <c r="F89" s="13">
        <f ca="1"/>
        <v>0</v>
      </c>
      <c r="G89" s="13">
        <f ca="1"/>
        <v>0</v>
      </c>
      <c r="H89" s="13">
        <f ca="1"/>
        <v>0</v>
      </c>
      <c r="I89" s="13">
        <f ca="1"/>
        <v>0</v>
      </c>
      <c r="J89" s="13">
        <f ca="1"/>
        <v>0</v>
      </c>
      <c r="K89" s="13">
        <f ca="1"/>
        <v>0</v>
      </c>
      <c r="L89" s="13">
        <f ca="1"/>
        <v>0</v>
      </c>
      <c r="M89" s="13">
        <f ca="1"/>
        <v>0</v>
      </c>
      <c r="N89" s="13">
        <f ca="1"/>
        <v>0</v>
      </c>
      <c r="O89" s="13">
        <f ca="1"/>
        <v>0</v>
      </c>
      <c r="P89" s="13">
        <f ca="1"/>
        <v>0</v>
      </c>
      <c r="Q89" s="13">
        <f ca="1"/>
        <v>0</v>
      </c>
      <c r="R89" s="13">
        <f ca="1"/>
        <v>0</v>
      </c>
      <c r="S89" s="13">
        <f ca="1"/>
        <v>0</v>
      </c>
      <c r="T89" s="13">
        <f ca="1"/>
        <v>0</v>
      </c>
      <c r="U89" s="13">
        <f ca="1"/>
        <v>0</v>
      </c>
      <c r="V89" s="13">
        <f ca="1"/>
        <v>0</v>
      </c>
      <c r="W89" s="13">
        <f ca="1"/>
        <v>0</v>
      </c>
      <c r="X89" s="13">
        <f ca="1"/>
        <v>0</v>
      </c>
      <c r="Y89" s="13">
        <f ca="1"/>
        <v>0</v>
      </c>
      <c r="Z89" s="13">
        <f ca="1"/>
        <v>0</v>
      </c>
      <c r="AA89" s="13">
        <f ca="1"/>
        <v>0</v>
      </c>
      <c r="AB89" s="13">
        <f ca="1"/>
        <v>0</v>
      </c>
      <c r="AC89" s="13">
        <f ca="1"/>
        <v>0</v>
      </c>
      <c r="AD89" s="13">
        <f ca="1"/>
        <v>0</v>
      </c>
      <c r="AE89" s="13">
        <f ca="1"/>
        <v>0</v>
      </c>
      <c r="AF89" s="13">
        <f ca="1"/>
        <v>0</v>
      </c>
      <c r="AG89" s="13">
        <f ca="1"/>
        <v>0</v>
      </c>
      <c r="AH89" s="13">
        <f ca="1"/>
        <v>0</v>
      </c>
      <c r="AI89" s="13">
        <f ca="1"/>
        <v>0</v>
      </c>
      <c r="AJ89" s="13">
        <f ca="1"/>
        <v>0</v>
      </c>
      <c r="AK89" s="13">
        <f ca="1"/>
        <v>0</v>
      </c>
      <c r="AL89" s="56">
        <f ca="1"/>
        <v>0</v>
      </c>
      <c r="AM89" s="10"/>
    </row>
    <row r="90" spans="2:39" ht="15" hidden="1">
      <c r="B90" s="10"/>
      <c r="C90" s="11" t="str">
        <f>"EL 4: " &amp; INDEX(_doName,5,5)</f>
        <v>EL 4: EL 4</v>
      </c>
      <c r="D90" s="12"/>
      <c r="E90" s="13">
        <f t="array" aca="1" ref="E90:AL90" ca="1">tlccEupol4</f>
        <v>0</v>
      </c>
      <c r="F90" s="13">
        <f ca="1"/>
        <v>0</v>
      </c>
      <c r="G90" s="13">
        <f ca="1"/>
        <v>0</v>
      </c>
      <c r="H90" s="13">
        <f ca="1"/>
        <v>0</v>
      </c>
      <c r="I90" s="13">
        <f ca="1"/>
        <v>0</v>
      </c>
      <c r="J90" s="13">
        <f ca="1"/>
        <v>0</v>
      </c>
      <c r="K90" s="13">
        <f ca="1"/>
        <v>0</v>
      </c>
      <c r="L90" s="13">
        <f ca="1"/>
        <v>0</v>
      </c>
      <c r="M90" s="13">
        <f ca="1"/>
        <v>0</v>
      </c>
      <c r="N90" s="13">
        <f ca="1"/>
        <v>0</v>
      </c>
      <c r="O90" s="13">
        <f ca="1"/>
        <v>0</v>
      </c>
      <c r="P90" s="13">
        <f ca="1"/>
        <v>0</v>
      </c>
      <c r="Q90" s="13">
        <f ca="1"/>
        <v>0</v>
      </c>
      <c r="R90" s="13">
        <f ca="1"/>
        <v>0</v>
      </c>
      <c r="S90" s="13">
        <f ca="1"/>
        <v>0</v>
      </c>
      <c r="T90" s="13">
        <f ca="1"/>
        <v>0</v>
      </c>
      <c r="U90" s="13">
        <f ca="1"/>
        <v>0</v>
      </c>
      <c r="V90" s="13">
        <f ca="1"/>
        <v>0</v>
      </c>
      <c r="W90" s="13">
        <f ca="1"/>
        <v>0</v>
      </c>
      <c r="X90" s="13">
        <f ca="1"/>
        <v>0</v>
      </c>
      <c r="Y90" s="13">
        <f ca="1"/>
        <v>0</v>
      </c>
      <c r="Z90" s="13">
        <f ca="1"/>
        <v>0</v>
      </c>
      <c r="AA90" s="13">
        <f ca="1"/>
        <v>0</v>
      </c>
      <c r="AB90" s="13">
        <f ca="1"/>
        <v>0</v>
      </c>
      <c r="AC90" s="13">
        <f ca="1"/>
        <v>0</v>
      </c>
      <c r="AD90" s="13">
        <f ca="1"/>
        <v>0</v>
      </c>
      <c r="AE90" s="13">
        <f ca="1"/>
        <v>0</v>
      </c>
      <c r="AF90" s="13">
        <f ca="1"/>
        <v>0</v>
      </c>
      <c r="AG90" s="13">
        <f ca="1"/>
        <v>0</v>
      </c>
      <c r="AH90" s="13">
        <f ca="1"/>
        <v>0</v>
      </c>
      <c r="AI90" s="13">
        <f ca="1"/>
        <v>0</v>
      </c>
      <c r="AJ90" s="13">
        <f ca="1"/>
        <v>0</v>
      </c>
      <c r="AK90" s="13">
        <f ca="1"/>
        <v>0</v>
      </c>
      <c r="AL90" s="56">
        <f ca="1"/>
        <v>0</v>
      </c>
      <c r="AM90" s="10"/>
    </row>
    <row r="91" spans="2:39" ht="15" hidden="1">
      <c r="B91" s="10"/>
      <c r="C91" s="11" t="str">
        <f>"EL 5: " &amp; INDEX(_doName,5,6)</f>
        <v>EL 5: EL 5</v>
      </c>
      <c r="D91" s="12"/>
      <c r="E91" s="13">
        <f t="array" aca="1" ref="E91:AL91" ca="1">tlccEupol5</f>
        <v>20412.887336446638</v>
      </c>
      <c r="F91" s="13">
        <f ca="1"/>
        <v>20579.530880336573</v>
      </c>
      <c r="G91" s="13">
        <f ca="1"/>
        <v>20741.053571892975</v>
      </c>
      <c r="H91" s="13">
        <f ca="1"/>
        <v>20886.422173704104</v>
      </c>
      <c r="I91" s="13">
        <f ca="1"/>
        <v>21017.973732765728</v>
      </c>
      <c r="J91" s="13">
        <f ca="1"/>
        <v>21150.371515238698</v>
      </c>
      <c r="K91" s="13">
        <f ca="1"/>
        <v>21283.621093368962</v>
      </c>
      <c r="L91" s="13">
        <f ca="1"/>
        <v>21417.728077014744</v>
      </c>
      <c r="M91" s="13">
        <f ca="1"/>
        <v>21552.698113906943</v>
      </c>
      <c r="N91" s="13">
        <f ca="1"/>
        <v>21688.536889911164</v>
      </c>
      <c r="O91" s="13">
        <f ca="1"/>
        <v>21825.250129291806</v>
      </c>
      <c r="P91" s="13">
        <f ca="1"/>
        <v>21962.843594977956</v>
      </c>
      <c r="Q91" s="13">
        <f ca="1"/>
        <v>22101.323088831021</v>
      </c>
      <c r="R91" s="13">
        <f ca="1"/>
        <v>22240.694451914522</v>
      </c>
      <c r="S91" s="13">
        <f ca="1"/>
        <v>22380.963564765614</v>
      </c>
      <c r="T91" s="13">
        <f ca="1"/>
        <v>22522.136347668584</v>
      </c>
      <c r="U91" s="13">
        <f ca="1"/>
        <v>22664.218760930275</v>
      </c>
      <c r="V91" s="13">
        <f ca="1"/>
        <v>22807.21680515755</v>
      </c>
      <c r="W91" s="13">
        <f ca="1"/>
        <v>22951.13652153661</v>
      </c>
      <c r="X91" s="13">
        <f ca="1"/>
        <v>23095.983992114318</v>
      </c>
      <c r="Y91" s="13">
        <f ca="1"/>
        <v>23241.765340081558</v>
      </c>
      <c r="Z91" s="13">
        <f ca="1"/>
        <v>23388.486730058656</v>
      </c>
      <c r="AA91" s="13">
        <f ca="1"/>
        <v>23536.154368382671</v>
      </c>
      <c r="AB91" s="13">
        <f ca="1"/>
        <v>23684.774503396879</v>
      </c>
      <c r="AC91" s="13">
        <f ca="1"/>
        <v>23834.35342574228</v>
      </c>
      <c r="AD91" s="13">
        <f ca="1"/>
        <v>23984.897468651056</v>
      </c>
      <c r="AE91" s="13">
        <f ca="1"/>
        <v>24136.413008242311</v>
      </c>
      <c r="AF91" s="13">
        <f ca="1"/>
        <v>24288.906463819781</v>
      </c>
      <c r="AG91" s="13">
        <f ca="1"/>
        <v>24442.384298171677</v>
      </c>
      <c r="AH91" s="13">
        <f ca="1"/>
        <v>24596.853017872618</v>
      </c>
      <c r="AI91" s="13">
        <f ca="1"/>
        <v>24752.319173587977</v>
      </c>
      <c r="AJ91" s="13">
        <f ca="1"/>
        <v>24908.789360379924</v>
      </c>
      <c r="AK91" s="13">
        <f ca="1"/>
        <v>25066.270218016074</v>
      </c>
      <c r="AL91" s="56">
        <f ca="1"/>
        <v>25224.768431280118</v>
      </c>
      <c r="AM91" s="10"/>
    </row>
    <row r="92" spans="2:39" ht="15" hidden="1">
      <c r="B92" s="10"/>
      <c r="C92" s="21" t="str">
        <f>"EL 6: " &amp; INDEX(_doName,5,7)</f>
        <v>EL 6: EL 6</v>
      </c>
      <c r="D92" s="18"/>
      <c r="E92" s="58">
        <f t="array" aca="1" ref="E92:AL92" ca="1">tlccEupol6</f>
        <v>21804.025159934259</v>
      </c>
      <c r="F92" s="58">
        <f ca="1"/>
        <v>21982.025457678981</v>
      </c>
      <c r="G92" s="58">
        <f ca="1"/>
        <v>22154.555917116144</v>
      </c>
      <c r="H92" s="58">
        <f ca="1"/>
        <v>22309.831385946785</v>
      </c>
      <c r="I92" s="58">
        <f ca="1"/>
        <v>22450.348180868139</v>
      </c>
      <c r="J92" s="58">
        <f ca="1"/>
        <v>22591.768869307751</v>
      </c>
      <c r="K92" s="58">
        <f ca="1"/>
        <v>22734.099403259952</v>
      </c>
      <c r="L92" s="58">
        <f ca="1"/>
        <v>22877.345774894748</v>
      </c>
      <c r="M92" s="58">
        <f ca="1"/>
        <v>23021.514016835703</v>
      </c>
      <c r="N92" s="58">
        <f ca="1"/>
        <v>23166.610202440115</v>
      </c>
      <c r="O92" s="58">
        <f ca="1"/>
        <v>23312.640446080837</v>
      </c>
      <c r="P92" s="58">
        <f ca="1"/>
        <v>23459.610903430435</v>
      </c>
      <c r="Q92" s="58">
        <f ca="1"/>
        <v>23607.527771747053</v>
      </c>
      <c r="R92" s="58">
        <f ca="1"/>
        <v>23756.397290162553</v>
      </c>
      <c r="S92" s="58">
        <f ca="1"/>
        <v>23906.225739972586</v>
      </c>
      <c r="T92" s="58">
        <f ca="1"/>
        <v>24057.019444928697</v>
      </c>
      <c r="U92" s="58">
        <f ca="1"/>
        <v>24208.784771532486</v>
      </c>
      <c r="V92" s="58">
        <f ca="1"/>
        <v>24361.528129332048</v>
      </c>
      <c r="W92" s="58">
        <f ca="1"/>
        <v>24515.255971220278</v>
      </c>
      <c r="X92" s="58">
        <f ca="1"/>
        <v>24669.974793735419</v>
      </c>
      <c r="Y92" s="58">
        <f ca="1"/>
        <v>24825.691137363669</v>
      </c>
      <c r="Z92" s="58">
        <f ca="1"/>
        <v>24982.411586844071</v>
      </c>
      <c r="AA92" s="58">
        <f ca="1"/>
        <v>25140.142771475475</v>
      </c>
      <c r="AB92" s="58">
        <f ca="1"/>
        <v>25298.89136542557</v>
      </c>
      <c r="AC92" s="58">
        <f ca="1"/>
        <v>25458.66408804242</v>
      </c>
      <c r="AD92" s="58">
        <f ca="1"/>
        <v>25619.46770416783</v>
      </c>
      <c r="AE92" s="58">
        <f ca="1"/>
        <v>25781.309024453287</v>
      </c>
      <c r="AF92" s="58">
        <f ca="1"/>
        <v>25944.19490567793</v>
      </c>
      <c r="AG92" s="58">
        <f ca="1"/>
        <v>26108.132251068833</v>
      </c>
      <c r="AH92" s="58">
        <f ca="1"/>
        <v>26273.128010623586</v>
      </c>
      <c r="AI92" s="58">
        <f ca="1"/>
        <v>26439.189181435195</v>
      </c>
      <c r="AJ92" s="58">
        <f ca="1"/>
        <v>26606.322808019198</v>
      </c>
      <c r="AK92" s="58">
        <f ca="1"/>
        <v>26774.535982643254</v>
      </c>
      <c r="AL92" s="59">
        <f ca="1"/>
        <v>26943.835845658879</v>
      </c>
      <c r="AM92" s="10"/>
    </row>
    <row r="93" spans="2:39" ht="15" hidden="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row>
    <row r="94" spans="2:39" ht="15" hidden="1">
      <c r="B94" s="10"/>
      <c r="C94" s="22" t="s">
        <v>84</v>
      </c>
      <c r="D94" s="23"/>
      <c r="E94" s="24">
        <f t="array" ref="E94:AL94">_yS</f>
        <v>2019</v>
      </c>
      <c r="F94" s="24">
        <v>2020</v>
      </c>
      <c r="G94" s="24">
        <v>2021</v>
      </c>
      <c r="H94" s="24">
        <v>2022</v>
      </c>
      <c r="I94" s="24">
        <v>2023</v>
      </c>
      <c r="J94" s="24">
        <v>2024</v>
      </c>
      <c r="K94" s="24">
        <v>2025</v>
      </c>
      <c r="L94" s="24">
        <v>2026</v>
      </c>
      <c r="M94" s="24">
        <v>2027</v>
      </c>
      <c r="N94" s="24">
        <v>2028</v>
      </c>
      <c r="O94" s="24">
        <v>2029</v>
      </c>
      <c r="P94" s="24">
        <v>2030</v>
      </c>
      <c r="Q94" s="24">
        <v>2031</v>
      </c>
      <c r="R94" s="24">
        <v>2032</v>
      </c>
      <c r="S94" s="24">
        <v>2033</v>
      </c>
      <c r="T94" s="24">
        <v>2034</v>
      </c>
      <c r="U94" s="24">
        <v>2035</v>
      </c>
      <c r="V94" s="24">
        <v>2036</v>
      </c>
      <c r="W94" s="24">
        <v>2037</v>
      </c>
      <c r="X94" s="24">
        <v>2038</v>
      </c>
      <c r="Y94" s="24">
        <v>2039</v>
      </c>
      <c r="Z94" s="24">
        <v>2040</v>
      </c>
      <c r="AA94" s="24">
        <v>2041</v>
      </c>
      <c r="AB94" s="24">
        <v>2042</v>
      </c>
      <c r="AC94" s="24">
        <v>2043</v>
      </c>
      <c r="AD94" s="24">
        <v>2044</v>
      </c>
      <c r="AE94" s="24">
        <v>2045</v>
      </c>
      <c r="AF94" s="24">
        <v>2046</v>
      </c>
      <c r="AG94" s="24">
        <v>2047</v>
      </c>
      <c r="AH94" s="24">
        <v>2048</v>
      </c>
      <c r="AI94" s="24">
        <v>2049</v>
      </c>
      <c r="AJ94" s="24">
        <v>2050</v>
      </c>
      <c r="AK94" s="24">
        <v>2051</v>
      </c>
      <c r="AL94" s="25">
        <v>2052</v>
      </c>
      <c r="AM94" s="10"/>
    </row>
    <row r="95" spans="2:39" ht="15" hidden="1">
      <c r="B95" s="10"/>
      <c r="C95" s="11" t="str">
        <f>"EL 0: " &amp; INDEX(_doName,5,1)</f>
        <v>EL 0: EL 4</v>
      </c>
      <c r="D95" s="12"/>
      <c r="E95" s="13">
        <f t="array" aca="1" ref="E95:AL95" ca="1">tlccFupolElec0</f>
        <v>0</v>
      </c>
      <c r="F95" s="13">
        <f ca="1"/>
        <v>0</v>
      </c>
      <c r="G95" s="13">
        <f ca="1"/>
        <v>0</v>
      </c>
      <c r="H95" s="13">
        <f ca="1"/>
        <v>0</v>
      </c>
      <c r="I95" s="13">
        <f ca="1"/>
        <v>0</v>
      </c>
      <c r="J95" s="13">
        <f ca="1"/>
        <v>0</v>
      </c>
      <c r="K95" s="13">
        <f ca="1"/>
        <v>0</v>
      </c>
      <c r="L95" s="13">
        <f ca="1"/>
        <v>0</v>
      </c>
      <c r="M95" s="13">
        <f ca="1"/>
        <v>0</v>
      </c>
      <c r="N95" s="13">
        <f ca="1"/>
        <v>0</v>
      </c>
      <c r="O95" s="13">
        <f ca="1"/>
        <v>0</v>
      </c>
      <c r="P95" s="13">
        <f ca="1"/>
        <v>0</v>
      </c>
      <c r="Q95" s="13">
        <f ca="1"/>
        <v>0</v>
      </c>
      <c r="R95" s="13">
        <f ca="1"/>
        <v>0</v>
      </c>
      <c r="S95" s="13">
        <f ca="1"/>
        <v>0</v>
      </c>
      <c r="T95" s="13">
        <f ca="1"/>
        <v>0</v>
      </c>
      <c r="U95" s="13">
        <f ca="1"/>
        <v>0</v>
      </c>
      <c r="V95" s="13">
        <f ca="1"/>
        <v>0</v>
      </c>
      <c r="W95" s="13">
        <f ca="1"/>
        <v>0</v>
      </c>
      <c r="X95" s="13">
        <f ca="1"/>
        <v>0</v>
      </c>
      <c r="Y95" s="13">
        <f ca="1"/>
        <v>0</v>
      </c>
      <c r="Z95" s="13">
        <f ca="1"/>
        <v>0</v>
      </c>
      <c r="AA95" s="13">
        <f ca="1"/>
        <v>0</v>
      </c>
      <c r="AB95" s="13">
        <f ca="1"/>
        <v>0</v>
      </c>
      <c r="AC95" s="13">
        <f ca="1"/>
        <v>0</v>
      </c>
      <c r="AD95" s="13">
        <f ca="1"/>
        <v>0</v>
      </c>
      <c r="AE95" s="13">
        <f ca="1"/>
        <v>0</v>
      </c>
      <c r="AF95" s="13">
        <f ca="1"/>
        <v>0</v>
      </c>
      <c r="AG95" s="13">
        <f ca="1"/>
        <v>0</v>
      </c>
      <c r="AH95" s="13">
        <f ca="1"/>
        <v>0</v>
      </c>
      <c r="AI95" s="13">
        <f ca="1"/>
        <v>0</v>
      </c>
      <c r="AJ95" s="13">
        <f ca="1"/>
        <v>0</v>
      </c>
      <c r="AK95" s="13">
        <f ca="1"/>
        <v>0</v>
      </c>
      <c r="AL95" s="56">
        <f ca="1"/>
        <v>0</v>
      </c>
      <c r="AM95" s="10"/>
    </row>
    <row r="96" spans="2:39" ht="15" hidden="1">
      <c r="B96" s="10"/>
      <c r="C96" s="11" t="str">
        <f>"EL 1: " &amp; INDEX(_doName,5,2)</f>
        <v>EL 1: EL 1</v>
      </c>
      <c r="D96" s="12"/>
      <c r="E96" s="13">
        <f t="array" aca="1" ref="E96:AL96" ca="1">tlccFupolElec1</f>
        <v>0</v>
      </c>
      <c r="F96" s="13">
        <f ca="1"/>
        <v>0</v>
      </c>
      <c r="G96" s="13">
        <f ca="1"/>
        <v>0</v>
      </c>
      <c r="H96" s="13">
        <f ca="1"/>
        <v>0</v>
      </c>
      <c r="I96" s="13">
        <f ca="1"/>
        <v>0</v>
      </c>
      <c r="J96" s="13">
        <f ca="1"/>
        <v>0</v>
      </c>
      <c r="K96" s="13">
        <f ca="1"/>
        <v>0</v>
      </c>
      <c r="L96" s="13">
        <f ca="1"/>
        <v>0</v>
      </c>
      <c r="M96" s="13">
        <f ca="1"/>
        <v>0</v>
      </c>
      <c r="N96" s="13">
        <f ca="1"/>
        <v>0</v>
      </c>
      <c r="O96" s="13">
        <f ca="1"/>
        <v>0</v>
      </c>
      <c r="P96" s="13">
        <f ca="1"/>
        <v>0</v>
      </c>
      <c r="Q96" s="13">
        <f ca="1"/>
        <v>0</v>
      </c>
      <c r="R96" s="13">
        <f ca="1"/>
        <v>0</v>
      </c>
      <c r="S96" s="13">
        <f ca="1"/>
        <v>0</v>
      </c>
      <c r="T96" s="13">
        <f ca="1"/>
        <v>0</v>
      </c>
      <c r="U96" s="13">
        <f ca="1"/>
        <v>0</v>
      </c>
      <c r="V96" s="13">
        <f ca="1"/>
        <v>0</v>
      </c>
      <c r="W96" s="13">
        <f ca="1"/>
        <v>0</v>
      </c>
      <c r="X96" s="13">
        <f ca="1"/>
        <v>0</v>
      </c>
      <c r="Y96" s="13">
        <f ca="1"/>
        <v>0</v>
      </c>
      <c r="Z96" s="13">
        <f ca="1"/>
        <v>0</v>
      </c>
      <c r="AA96" s="13">
        <f ca="1"/>
        <v>0</v>
      </c>
      <c r="AB96" s="13">
        <f ca="1"/>
        <v>0</v>
      </c>
      <c r="AC96" s="13">
        <f ca="1"/>
        <v>0</v>
      </c>
      <c r="AD96" s="13">
        <f ca="1"/>
        <v>0</v>
      </c>
      <c r="AE96" s="13">
        <f ca="1"/>
        <v>0</v>
      </c>
      <c r="AF96" s="13">
        <f ca="1"/>
        <v>0</v>
      </c>
      <c r="AG96" s="13">
        <f ca="1"/>
        <v>0</v>
      </c>
      <c r="AH96" s="13">
        <f ca="1"/>
        <v>0</v>
      </c>
      <c r="AI96" s="13">
        <f ca="1"/>
        <v>0</v>
      </c>
      <c r="AJ96" s="13">
        <f ca="1"/>
        <v>0</v>
      </c>
      <c r="AK96" s="13">
        <f ca="1"/>
        <v>0</v>
      </c>
      <c r="AL96" s="56">
        <f ca="1"/>
        <v>0</v>
      </c>
      <c r="AM96" s="10"/>
    </row>
    <row r="97" spans="2:39" ht="15" hidden="1">
      <c r="B97" s="10"/>
      <c r="C97" s="11" t="str">
        <f>"EL 2: " &amp; INDEX(_doName,5,3)</f>
        <v>EL 2: EL 2</v>
      </c>
      <c r="D97" s="12"/>
      <c r="E97" s="13">
        <f t="array" aca="1" ref="E97:AL97" ca="1">tlccFupolElec2</f>
        <v>0</v>
      </c>
      <c r="F97" s="13">
        <f ca="1"/>
        <v>0</v>
      </c>
      <c r="G97" s="13">
        <f ca="1"/>
        <v>0</v>
      </c>
      <c r="H97" s="13">
        <f ca="1"/>
        <v>0</v>
      </c>
      <c r="I97" s="13">
        <f ca="1"/>
        <v>0</v>
      </c>
      <c r="J97" s="13">
        <f ca="1"/>
        <v>0</v>
      </c>
      <c r="K97" s="13">
        <f ca="1"/>
        <v>0</v>
      </c>
      <c r="L97" s="13">
        <f ca="1"/>
        <v>0</v>
      </c>
      <c r="M97" s="13">
        <f ca="1"/>
        <v>0</v>
      </c>
      <c r="N97" s="13">
        <f ca="1"/>
        <v>0</v>
      </c>
      <c r="O97" s="13">
        <f ca="1"/>
        <v>0</v>
      </c>
      <c r="P97" s="13">
        <f ca="1"/>
        <v>0</v>
      </c>
      <c r="Q97" s="13">
        <f ca="1"/>
        <v>0</v>
      </c>
      <c r="R97" s="13">
        <f ca="1"/>
        <v>0</v>
      </c>
      <c r="S97" s="13">
        <f ca="1"/>
        <v>0</v>
      </c>
      <c r="T97" s="13">
        <f ca="1"/>
        <v>0</v>
      </c>
      <c r="U97" s="13">
        <f ca="1"/>
        <v>0</v>
      </c>
      <c r="V97" s="13">
        <f ca="1"/>
        <v>0</v>
      </c>
      <c r="W97" s="13">
        <f ca="1"/>
        <v>0</v>
      </c>
      <c r="X97" s="13">
        <f ca="1"/>
        <v>0</v>
      </c>
      <c r="Y97" s="13">
        <f ca="1"/>
        <v>0</v>
      </c>
      <c r="Z97" s="13">
        <f ca="1"/>
        <v>0</v>
      </c>
      <c r="AA97" s="13">
        <f ca="1"/>
        <v>0</v>
      </c>
      <c r="AB97" s="13">
        <f ca="1"/>
        <v>0</v>
      </c>
      <c r="AC97" s="13">
        <f ca="1"/>
        <v>0</v>
      </c>
      <c r="AD97" s="13">
        <f ca="1"/>
        <v>0</v>
      </c>
      <c r="AE97" s="13">
        <f ca="1"/>
        <v>0</v>
      </c>
      <c r="AF97" s="13">
        <f ca="1"/>
        <v>0</v>
      </c>
      <c r="AG97" s="13">
        <f ca="1"/>
        <v>0</v>
      </c>
      <c r="AH97" s="13">
        <f ca="1"/>
        <v>0</v>
      </c>
      <c r="AI97" s="13">
        <f ca="1"/>
        <v>0</v>
      </c>
      <c r="AJ97" s="13">
        <f ca="1"/>
        <v>0</v>
      </c>
      <c r="AK97" s="13">
        <f ca="1"/>
        <v>0</v>
      </c>
      <c r="AL97" s="56">
        <f ca="1"/>
        <v>0</v>
      </c>
      <c r="AM97" s="10"/>
    </row>
    <row r="98" spans="2:39" ht="15" hidden="1">
      <c r="B98" s="10"/>
      <c r="C98" s="11" t="str">
        <f>"EL 3: " &amp; INDEX(_doName,5,4)</f>
        <v>EL 3: EL 3</v>
      </c>
      <c r="D98" s="12"/>
      <c r="E98" s="13">
        <f t="array" aca="1" ref="E98:AL98" ca="1">tlccFupolElec3</f>
        <v>0</v>
      </c>
      <c r="F98" s="13">
        <f ca="1"/>
        <v>0</v>
      </c>
      <c r="G98" s="13">
        <f ca="1"/>
        <v>0</v>
      </c>
      <c r="H98" s="13">
        <f ca="1"/>
        <v>0</v>
      </c>
      <c r="I98" s="13">
        <f ca="1"/>
        <v>0</v>
      </c>
      <c r="J98" s="13">
        <f ca="1"/>
        <v>0</v>
      </c>
      <c r="K98" s="13">
        <f ca="1"/>
        <v>0</v>
      </c>
      <c r="L98" s="13">
        <f ca="1"/>
        <v>0</v>
      </c>
      <c r="M98" s="13">
        <f ca="1"/>
        <v>0</v>
      </c>
      <c r="N98" s="13">
        <f ca="1"/>
        <v>0</v>
      </c>
      <c r="O98" s="13">
        <f ca="1"/>
        <v>0</v>
      </c>
      <c r="P98" s="13">
        <f ca="1"/>
        <v>0</v>
      </c>
      <c r="Q98" s="13">
        <f ca="1"/>
        <v>0</v>
      </c>
      <c r="R98" s="13">
        <f ca="1"/>
        <v>0</v>
      </c>
      <c r="S98" s="13">
        <f ca="1"/>
        <v>0</v>
      </c>
      <c r="T98" s="13">
        <f ca="1"/>
        <v>0</v>
      </c>
      <c r="U98" s="13">
        <f ca="1"/>
        <v>0</v>
      </c>
      <c r="V98" s="13">
        <f ca="1"/>
        <v>0</v>
      </c>
      <c r="W98" s="13">
        <f ca="1"/>
        <v>0</v>
      </c>
      <c r="X98" s="13">
        <f ca="1"/>
        <v>0</v>
      </c>
      <c r="Y98" s="13">
        <f ca="1"/>
        <v>0</v>
      </c>
      <c r="Z98" s="13">
        <f ca="1"/>
        <v>0</v>
      </c>
      <c r="AA98" s="13">
        <f ca="1"/>
        <v>0</v>
      </c>
      <c r="AB98" s="13">
        <f ca="1"/>
        <v>0</v>
      </c>
      <c r="AC98" s="13">
        <f ca="1"/>
        <v>0</v>
      </c>
      <c r="AD98" s="13">
        <f ca="1"/>
        <v>0</v>
      </c>
      <c r="AE98" s="13">
        <f ca="1"/>
        <v>0</v>
      </c>
      <c r="AF98" s="13">
        <f ca="1"/>
        <v>0</v>
      </c>
      <c r="AG98" s="13">
        <f ca="1"/>
        <v>0</v>
      </c>
      <c r="AH98" s="13">
        <f ca="1"/>
        <v>0</v>
      </c>
      <c r="AI98" s="13">
        <f ca="1"/>
        <v>0</v>
      </c>
      <c r="AJ98" s="13">
        <f ca="1"/>
        <v>0</v>
      </c>
      <c r="AK98" s="13">
        <f ca="1"/>
        <v>0</v>
      </c>
      <c r="AL98" s="56">
        <f ca="1"/>
        <v>0</v>
      </c>
      <c r="AM98" s="10"/>
    </row>
    <row r="99" spans="2:39" ht="15" hidden="1">
      <c r="B99" s="10"/>
      <c r="C99" s="11" t="str">
        <f>"EL 4: " &amp; INDEX(_doName,5,5)</f>
        <v>EL 4: EL 4</v>
      </c>
      <c r="D99" s="12"/>
      <c r="E99" s="13">
        <f t="array" aca="1" ref="E99:AL99" ca="1">tlccFupolElec4</f>
        <v>0</v>
      </c>
      <c r="F99" s="13">
        <f ca="1"/>
        <v>0</v>
      </c>
      <c r="G99" s="13">
        <f ca="1"/>
        <v>0</v>
      </c>
      <c r="H99" s="13">
        <f ca="1"/>
        <v>0</v>
      </c>
      <c r="I99" s="13">
        <f ca="1"/>
        <v>0</v>
      </c>
      <c r="J99" s="13">
        <f ca="1"/>
        <v>0</v>
      </c>
      <c r="K99" s="13">
        <f ca="1"/>
        <v>0</v>
      </c>
      <c r="L99" s="13">
        <f ca="1"/>
        <v>0</v>
      </c>
      <c r="M99" s="13">
        <f ca="1"/>
        <v>0</v>
      </c>
      <c r="N99" s="13">
        <f ca="1"/>
        <v>0</v>
      </c>
      <c r="O99" s="13">
        <f ca="1"/>
        <v>0</v>
      </c>
      <c r="P99" s="13">
        <f ca="1"/>
        <v>0</v>
      </c>
      <c r="Q99" s="13">
        <f ca="1"/>
        <v>0</v>
      </c>
      <c r="R99" s="13">
        <f ca="1"/>
        <v>0</v>
      </c>
      <c r="S99" s="13">
        <f ca="1"/>
        <v>0</v>
      </c>
      <c r="T99" s="13">
        <f ca="1"/>
        <v>0</v>
      </c>
      <c r="U99" s="13">
        <f ca="1"/>
        <v>0</v>
      </c>
      <c r="V99" s="13">
        <f ca="1"/>
        <v>0</v>
      </c>
      <c r="W99" s="13">
        <f ca="1"/>
        <v>0</v>
      </c>
      <c r="X99" s="13">
        <f ca="1"/>
        <v>0</v>
      </c>
      <c r="Y99" s="13">
        <f ca="1"/>
        <v>0</v>
      </c>
      <c r="Z99" s="13">
        <f ca="1"/>
        <v>0</v>
      </c>
      <c r="AA99" s="13">
        <f ca="1"/>
        <v>0</v>
      </c>
      <c r="AB99" s="13">
        <f ca="1"/>
        <v>0</v>
      </c>
      <c r="AC99" s="13">
        <f ca="1"/>
        <v>0</v>
      </c>
      <c r="AD99" s="13">
        <f ca="1"/>
        <v>0</v>
      </c>
      <c r="AE99" s="13">
        <f ca="1"/>
        <v>0</v>
      </c>
      <c r="AF99" s="13">
        <f ca="1"/>
        <v>0</v>
      </c>
      <c r="AG99" s="13">
        <f ca="1"/>
        <v>0</v>
      </c>
      <c r="AH99" s="13">
        <f ca="1"/>
        <v>0</v>
      </c>
      <c r="AI99" s="13">
        <f ca="1"/>
        <v>0</v>
      </c>
      <c r="AJ99" s="13">
        <f ca="1"/>
        <v>0</v>
      </c>
      <c r="AK99" s="13">
        <f ca="1"/>
        <v>0</v>
      </c>
      <c r="AL99" s="56">
        <f ca="1"/>
        <v>0</v>
      </c>
      <c r="AM99" s="10"/>
    </row>
    <row r="100" spans="2:39" ht="15" hidden="1">
      <c r="B100" s="10"/>
      <c r="C100" s="11" t="str">
        <f>"EL 5: " &amp; INDEX(_doName,5,6)</f>
        <v>EL 5: EL 5</v>
      </c>
      <c r="D100" s="12"/>
      <c r="E100" s="13">
        <f t="array" aca="1" ref="E100:AL100" ca="1">tlccFupolElec5</f>
        <v>4045.3697984770665</v>
      </c>
      <c r="F100" s="13">
        <f ca="1"/>
        <v>4015.9917627935097</v>
      </c>
      <c r="G100" s="13">
        <f ca="1"/>
        <v>3990.0570790858496</v>
      </c>
      <c r="H100" s="13">
        <f ca="1"/>
        <v>3965.4047720635058</v>
      </c>
      <c r="I100" s="13">
        <f ca="1"/>
        <v>3943.8057205209675</v>
      </c>
      <c r="J100" s="13">
        <f ca="1"/>
        <v>3926.9464432888676</v>
      </c>
      <c r="K100" s="13">
        <f ca="1"/>
        <v>3912.8558869214662</v>
      </c>
      <c r="L100" s="13">
        <f ca="1"/>
        <v>3898.6827824110728</v>
      </c>
      <c r="M100" s="13">
        <f ca="1"/>
        <v>3887.2587052270214</v>
      </c>
      <c r="N100" s="13">
        <f ca="1"/>
        <v>3879.2582277751976</v>
      </c>
      <c r="O100" s="13">
        <f ca="1"/>
        <v>3873.3386368253236</v>
      </c>
      <c r="P100" s="13">
        <f ca="1"/>
        <v>3868.3022111786563</v>
      </c>
      <c r="Q100" s="13">
        <f ca="1"/>
        <v>3864.5308497983656</v>
      </c>
      <c r="R100" s="13">
        <f ca="1"/>
        <v>3861.6028935643376</v>
      </c>
      <c r="S100" s="13">
        <f ca="1"/>
        <v>3861.038581710412</v>
      </c>
      <c r="T100" s="13">
        <f ca="1"/>
        <v>3861.5501536440211</v>
      </c>
      <c r="U100" s="13">
        <f ca="1"/>
        <v>3862.4162737627398</v>
      </c>
      <c r="V100" s="13">
        <f ca="1"/>
        <v>3863.7360228644525</v>
      </c>
      <c r="W100" s="13">
        <f ca="1"/>
        <v>3864.9995076366235</v>
      </c>
      <c r="X100" s="13">
        <f ca="1"/>
        <v>3866.0464287313348</v>
      </c>
      <c r="Y100" s="13">
        <f ca="1"/>
        <v>3866.7484650178426</v>
      </c>
      <c r="Z100" s="13">
        <f ca="1"/>
        <v>3867.2324965382536</v>
      </c>
      <c r="AA100" s="13">
        <f ca="1"/>
        <v>3867.2324965382536</v>
      </c>
      <c r="AB100" s="13">
        <f ca="1"/>
        <v>3867.2324965382536</v>
      </c>
      <c r="AC100" s="13">
        <f ca="1"/>
        <v>3867.2324965382536</v>
      </c>
      <c r="AD100" s="13">
        <f ca="1"/>
        <v>3867.2324965382536</v>
      </c>
      <c r="AE100" s="13">
        <f ca="1"/>
        <v>3867.2324965382536</v>
      </c>
      <c r="AF100" s="13">
        <f ca="1"/>
        <v>3867.2324965382536</v>
      </c>
      <c r="AG100" s="13">
        <f ca="1"/>
        <v>3867.2324965382536</v>
      </c>
      <c r="AH100" s="13">
        <f ca="1"/>
        <v>3867.2324965382536</v>
      </c>
      <c r="AI100" s="13">
        <f ca="1"/>
        <v>3867.2324965382536</v>
      </c>
      <c r="AJ100" s="13">
        <f ca="1"/>
        <v>3867.2324965382536</v>
      </c>
      <c r="AK100" s="13">
        <f ca="1"/>
        <v>3867.2324965382536</v>
      </c>
      <c r="AL100" s="56">
        <f ca="1"/>
        <v>3867.2324965382536</v>
      </c>
      <c r="AM100" s="10"/>
    </row>
    <row r="101" spans="2:39" ht="15" hidden="1">
      <c r="B101" s="10"/>
      <c r="C101" s="21" t="str">
        <f>"EL 6: " &amp; INDEX(_doName,5,7)</f>
        <v>EL 6: EL 6</v>
      </c>
      <c r="D101" s="18"/>
      <c r="E101" s="58">
        <f t="array" aca="1" ref="E101:AL101" ca="1">tlccFupolElec6</f>
        <v>4321.0616613625216</v>
      </c>
      <c r="F101" s="58">
        <f ca="1"/>
        <v>4289.6815131925978</v>
      </c>
      <c r="G101" s="58">
        <f ca="1"/>
        <v>4261.97938136007</v>
      </c>
      <c r="H101" s="58">
        <f ca="1"/>
        <v>4235.6470201557895</v>
      </c>
      <c r="I101" s="58">
        <f ca="1"/>
        <v>4212.5759937251805</v>
      </c>
      <c r="J101" s="58">
        <f ca="1"/>
        <v>4194.5677571201277</v>
      </c>
      <c r="K101" s="58">
        <f ca="1"/>
        <v>4179.5169296458735</v>
      </c>
      <c r="L101" s="58">
        <f ca="1"/>
        <v>4164.3779283744934</v>
      </c>
      <c r="M101" s="58">
        <f ca="1"/>
        <v>4152.175300581348</v>
      </c>
      <c r="N101" s="58">
        <f ca="1"/>
        <v>4143.629590766961</v>
      </c>
      <c r="O101" s="58">
        <f ca="1"/>
        <v>4137.3065798239122</v>
      </c>
      <c r="P101" s="58">
        <f ca="1"/>
        <v>4131.9269218800791</v>
      </c>
      <c r="Q101" s="58">
        <f ca="1"/>
        <v>4127.8985423045824</v>
      </c>
      <c r="R101" s="58">
        <f ca="1"/>
        <v>4124.771045917535</v>
      </c>
      <c r="S101" s="58">
        <f ca="1"/>
        <v>4124.168276223163</v>
      </c>
      <c r="T101" s="58">
        <f ca="1"/>
        <v>4124.7147117728091</v>
      </c>
      <c r="U101" s="58">
        <f ca="1"/>
        <v>4125.6398579585884</v>
      </c>
      <c r="V101" s="58">
        <f ca="1"/>
        <v>4127.0495479325864</v>
      </c>
      <c r="W101" s="58">
        <f ca="1"/>
        <v>4128.3991391642212</v>
      </c>
      <c r="X101" s="58">
        <f ca="1"/>
        <v>4129.5174079085346</v>
      </c>
      <c r="Y101" s="58">
        <f ca="1"/>
        <v>4130.2672879525435</v>
      </c>
      <c r="Z101" s="58">
        <f ca="1"/>
        <v>4130.7843062104348</v>
      </c>
      <c r="AA101" s="58">
        <f ca="1"/>
        <v>4130.7843062104348</v>
      </c>
      <c r="AB101" s="58">
        <f ca="1"/>
        <v>4130.7843062104348</v>
      </c>
      <c r="AC101" s="58">
        <f ca="1"/>
        <v>4130.7843062104348</v>
      </c>
      <c r="AD101" s="58">
        <f ca="1"/>
        <v>4130.7843062104348</v>
      </c>
      <c r="AE101" s="58">
        <f ca="1"/>
        <v>4130.7843062104348</v>
      </c>
      <c r="AF101" s="58">
        <f ca="1"/>
        <v>4130.7843062104348</v>
      </c>
      <c r="AG101" s="58">
        <f ca="1"/>
        <v>4130.7843062104348</v>
      </c>
      <c r="AH101" s="58">
        <f ca="1"/>
        <v>4130.7843062104348</v>
      </c>
      <c r="AI101" s="58">
        <f ca="1"/>
        <v>4130.7843062104348</v>
      </c>
      <c r="AJ101" s="58">
        <f ca="1"/>
        <v>4130.7843062104348</v>
      </c>
      <c r="AK101" s="58">
        <f ca="1"/>
        <v>4130.7843062104348</v>
      </c>
      <c r="AL101" s="59">
        <f ca="1"/>
        <v>4130.7843062104348</v>
      </c>
      <c r="AM101" s="10"/>
    </row>
    <row r="102" spans="2:39" ht="15" hidden="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row>
    <row r="103" spans="2:39">
      <c r="B103" s="10"/>
      <c r="C103" s="22" t="s">
        <v>82</v>
      </c>
      <c r="D103" s="23"/>
      <c r="E103" s="24">
        <f t="array" ref="E103:AL103">_yS</f>
        <v>2019</v>
      </c>
      <c r="F103" s="24">
        <v>2020</v>
      </c>
      <c r="G103" s="24">
        <v>2021</v>
      </c>
      <c r="H103" s="24">
        <v>2022</v>
      </c>
      <c r="I103" s="24">
        <v>2023</v>
      </c>
      <c r="J103" s="24">
        <v>2024</v>
      </c>
      <c r="K103" s="24">
        <v>2025</v>
      </c>
      <c r="L103" s="24">
        <v>2026</v>
      </c>
      <c r="M103" s="24">
        <v>2027</v>
      </c>
      <c r="N103" s="24">
        <v>2028</v>
      </c>
      <c r="O103" s="24">
        <v>2029</v>
      </c>
      <c r="P103" s="24">
        <v>2030</v>
      </c>
      <c r="Q103" s="24">
        <v>2031</v>
      </c>
      <c r="R103" s="24">
        <v>2032</v>
      </c>
      <c r="S103" s="24">
        <v>2033</v>
      </c>
      <c r="T103" s="24">
        <v>2034</v>
      </c>
      <c r="U103" s="24">
        <v>2035</v>
      </c>
      <c r="V103" s="24">
        <v>2036</v>
      </c>
      <c r="W103" s="24">
        <v>2037</v>
      </c>
      <c r="X103" s="24">
        <v>2038</v>
      </c>
      <c r="Y103" s="24">
        <v>2039</v>
      </c>
      <c r="Z103" s="24">
        <v>2040</v>
      </c>
      <c r="AA103" s="24">
        <v>2041</v>
      </c>
      <c r="AB103" s="24">
        <v>2042</v>
      </c>
      <c r="AC103" s="24">
        <v>2043</v>
      </c>
      <c r="AD103" s="24">
        <v>2044</v>
      </c>
      <c r="AE103" s="24">
        <v>2045</v>
      </c>
      <c r="AF103" s="24">
        <v>2046</v>
      </c>
      <c r="AG103" s="24">
        <v>2047</v>
      </c>
      <c r="AH103" s="24">
        <v>2048</v>
      </c>
      <c r="AI103" s="24">
        <v>2049</v>
      </c>
      <c r="AJ103" s="24">
        <v>2050</v>
      </c>
      <c r="AK103" s="24">
        <v>2051</v>
      </c>
      <c r="AL103" s="25">
        <v>2052</v>
      </c>
      <c r="AM103" s="10"/>
    </row>
    <row r="104" spans="2:39">
      <c r="B104" s="10"/>
      <c r="C104" s="27" t="str">
        <f>"BC (CSL 0): " &amp; INDEX(_doName,5,1)</f>
        <v>BC (CSL 0): EL 4</v>
      </c>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5"/>
      <c r="AM104" s="10"/>
    </row>
    <row r="105" spans="2:39">
      <c r="B105" s="10"/>
      <c r="C105" s="57" t="str">
        <f>"EL 0: " &amp; INDEX(_doName,5,1)</f>
        <v>EL 0: EL 4</v>
      </c>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3"/>
      <c r="AM105" s="10"/>
    </row>
    <row r="106" spans="2:39">
      <c r="B106" s="10"/>
      <c r="C106" s="16" t="s">
        <v>69</v>
      </c>
      <c r="D106" s="12" t="str">
        <f>_yearDol &amp; "$"</f>
        <v>2015$</v>
      </c>
      <c r="E106" s="13">
        <f t="array" ref="E106:AL106">INDEX(mspInMx,1,1)*tPIdxAll + INDEX(instInMx,1,1) + IF(bESav,SUMPRODUCT(dFactor,tpSurvInMx,INDEX(mrInMx,1,1)*allOnes),0)</f>
        <v>2462.8465126276201</v>
      </c>
      <c r="F106" s="13">
        <v>2462.8465126276201</v>
      </c>
      <c r="G106" s="13">
        <v>2462.8465126276201</v>
      </c>
      <c r="H106" s="13">
        <v>2462.8465126276201</v>
      </c>
      <c r="I106" s="13">
        <v>2462.8465126276201</v>
      </c>
      <c r="J106" s="13">
        <v>2462.8465126276201</v>
      </c>
      <c r="K106" s="13">
        <v>2462.8465126276201</v>
      </c>
      <c r="L106" s="13">
        <v>2462.8465126276201</v>
      </c>
      <c r="M106" s="13">
        <v>2462.8465126276201</v>
      </c>
      <c r="N106" s="13">
        <v>2462.8465126276201</v>
      </c>
      <c r="O106" s="13">
        <v>2462.8465126276201</v>
      </c>
      <c r="P106" s="13">
        <v>2462.8465126276201</v>
      </c>
      <c r="Q106" s="13">
        <v>2462.8465126276201</v>
      </c>
      <c r="R106" s="13">
        <v>2462.8465126276201</v>
      </c>
      <c r="S106" s="13">
        <v>2462.8465126276201</v>
      </c>
      <c r="T106" s="13">
        <v>2462.8465126276201</v>
      </c>
      <c r="U106" s="13">
        <v>2462.8465126276201</v>
      </c>
      <c r="V106" s="13">
        <v>2462.8465126276201</v>
      </c>
      <c r="W106" s="13">
        <v>2462.8465126276201</v>
      </c>
      <c r="X106" s="13">
        <v>2462.8465126276201</v>
      </c>
      <c r="Y106" s="13">
        <v>2462.8465126276201</v>
      </c>
      <c r="Z106" s="13">
        <v>2462.8465126276201</v>
      </c>
      <c r="AA106" s="13">
        <v>2462.8465126276201</v>
      </c>
      <c r="AB106" s="13">
        <v>2462.8465126276201</v>
      </c>
      <c r="AC106" s="13">
        <v>2462.8465126276201</v>
      </c>
      <c r="AD106" s="13">
        <v>2462.8465126276201</v>
      </c>
      <c r="AE106" s="13">
        <v>2462.8465126276201</v>
      </c>
      <c r="AF106" s="13">
        <v>2462.8465126276201</v>
      </c>
      <c r="AG106" s="13">
        <v>2462.8465126276201</v>
      </c>
      <c r="AH106" s="13">
        <v>2462.8465126276201</v>
      </c>
      <c r="AI106" s="13">
        <v>2462.8465126276201</v>
      </c>
      <c r="AJ106" s="13">
        <v>2462.8465126276201</v>
      </c>
      <c r="AK106" s="13">
        <v>2462.8465126276201</v>
      </c>
      <c r="AL106" s="56">
        <v>2462.8465126276201</v>
      </c>
      <c r="AM106" s="10"/>
    </row>
    <row r="107" spans="2:39">
      <c r="B107" s="10"/>
      <c r="C107" s="16" t="str">
        <f>zEO&amp;" Costs"</f>
        <v>Operating Costs</v>
      </c>
      <c r="D107" s="12" t="str">
        <f>_yearDol &amp; "$"</f>
        <v>2015$</v>
      </c>
      <c r="E107" s="13">
        <f t="array" aca="1" ref="E107:AL107" ca="1">(tlccEFuElecbc0) + IF(bOSav,SUMPRODUCT(dFactor,tpSurvInMx,INDEX(mrInMx,1,1)*allOnes),0)</f>
        <v>14350.938809217852</v>
      </c>
      <c r="F107" s="13">
        <f ca="1"/>
        <v>14468.09476378219</v>
      </c>
      <c r="G107" s="13">
        <f ca="1"/>
        <v>14581.650588816694</v>
      </c>
      <c r="H107" s="13">
        <f ca="1"/>
        <v>14683.849551412626</v>
      </c>
      <c r="I107" s="13">
        <f ca="1"/>
        <v>14776.334673347328</v>
      </c>
      <c r="J107" s="13">
        <f ca="1"/>
        <v>14869.414718488882</v>
      </c>
      <c r="K107" s="13">
        <f ca="1"/>
        <v>14963.093604311527</v>
      </c>
      <c r="L107" s="13">
        <f ca="1"/>
        <v>15057.375274732214</v>
      </c>
      <c r="M107" s="13">
        <f ca="1"/>
        <v>15152.263700293608</v>
      </c>
      <c r="N107" s="13">
        <f ca="1"/>
        <v>15247.762878348405</v>
      </c>
      <c r="O107" s="13">
        <f ca="1"/>
        <v>15343.876833244869</v>
      </c>
      <c r="P107" s="13">
        <f ca="1"/>
        <v>15440.609616513813</v>
      </c>
      <c r="Q107" s="13">
        <f ca="1"/>
        <v>15537.965307056846</v>
      </c>
      <c r="R107" s="13">
        <f ca="1"/>
        <v>15635.94801133589</v>
      </c>
      <c r="S107" s="13">
        <f ca="1"/>
        <v>15734.561863564191</v>
      </c>
      <c r="T107" s="13">
        <f ca="1"/>
        <v>15833.811025898513</v>
      </c>
      <c r="U107" s="13">
        <f ca="1"/>
        <v>15933.699688632869</v>
      </c>
      <c r="V107" s="13">
        <f ca="1"/>
        <v>16034.232070393467</v>
      </c>
      <c r="W107" s="13">
        <f ca="1"/>
        <v>16135.41241833514</v>
      </c>
      <c r="X107" s="13">
        <f ca="1"/>
        <v>16237.245008339156</v>
      </c>
      <c r="Y107" s="13">
        <f ca="1"/>
        <v>16339.734145212393</v>
      </c>
      <c r="Z107" s="13">
        <f ca="1"/>
        <v>16442.884162887996</v>
      </c>
      <c r="AA107" s="13">
        <f ca="1"/>
        <v>16546.699424627383</v>
      </c>
      <c r="AB107" s="13">
        <f ca="1"/>
        <v>16651.184323223704</v>
      </c>
      <c r="AC107" s="13">
        <f ca="1"/>
        <v>16756.343281206828</v>
      </c>
      <c r="AD107" s="13">
        <f ca="1"/>
        <v>16862.18075104964</v>
      </c>
      <c r="AE107" s="13">
        <f ca="1"/>
        <v>16968.701215376004</v>
      </c>
      <c r="AF107" s="13">
        <f ca="1"/>
        <v>17075.909187169938</v>
      </c>
      <c r="AG107" s="13">
        <f ca="1"/>
        <v>17183.809209986517</v>
      </c>
      <c r="AH107" s="13">
        <f ca="1"/>
        <v>17292.405858164209</v>
      </c>
      <c r="AI107" s="13">
        <f ca="1"/>
        <v>17401.703737038584</v>
      </c>
      <c r="AJ107" s="13">
        <f ca="1"/>
        <v>17511.707483157767</v>
      </c>
      <c r="AK107" s="13">
        <f ca="1"/>
        <v>17622.421764499275</v>
      </c>
      <c r="AL107" s="56">
        <f ca="1"/>
        <v>17733.851280688366</v>
      </c>
      <c r="AM107" s="10"/>
    </row>
    <row r="108" spans="2:39">
      <c r="B108" s="10"/>
      <c r="C108" s="28" t="str">
        <f>INDEX(_fuel,1)</f>
        <v>Electricity</v>
      </c>
      <c r="D108" s="12" t="str">
        <f>_yearDol &amp; "$"</f>
        <v>2015$</v>
      </c>
      <c r="E108" s="13">
        <f ca="1">SUMPRODUCT(dFactor,tpSurvInMx,INDEX(elecInMx,1,1)*allOnes,OFFSET(tPrcElec,0,0,1,_maxLT))</f>
        <v>14350.938809217852</v>
      </c>
      <c r="F108" s="13">
        <f ca="1">SUMPRODUCT(dFactor,tpSurvInMx,INDEX(elecInMx,1,1)*allOnes,OFFSET(tPrcElec,0,1,1,_maxLT))</f>
        <v>14468.09476378219</v>
      </c>
      <c r="G108" s="13">
        <f ca="1">SUMPRODUCT(dFactor,tpSurvInMx,INDEX(elecInMx,1,1)*allOnes,OFFSET(tPrcElec,0,2,1,_maxLT))</f>
        <v>14581.650588816694</v>
      </c>
      <c r="H108" s="13">
        <f ca="1">SUMPRODUCT(dFactor,tpSurvInMx,INDEX(elecInMx,1,1)*allOnes,OFFSET(tPrcElec,0,3,1,_maxLT))</f>
        <v>14683.849551412626</v>
      </c>
      <c r="I108" s="13">
        <f ca="1">SUMPRODUCT(dFactor,tpSurvInMx,INDEX(elecInMx,1,1)*allOnes,OFFSET(tPrcElec,0,4,1,_maxLT))</f>
        <v>14776.334673347328</v>
      </c>
      <c r="J108" s="13">
        <f ca="1">SUMPRODUCT(dFactor,tpSurvInMx,INDEX(elecInMx,1,1)*allOnes,OFFSET(tPrcElec,0,5,1,_maxLT))</f>
        <v>14869.414718488882</v>
      </c>
      <c r="K108" s="13">
        <f ca="1">SUMPRODUCT(dFactor,tpSurvInMx,INDEX(elecInMx,1,1)*allOnes,OFFSET(tPrcElec,0,6,1,_maxLT))</f>
        <v>14963.093604311527</v>
      </c>
      <c r="L108" s="13">
        <f ca="1">SUMPRODUCT(dFactor,tpSurvInMx,INDEX(elecInMx,1,1)*allOnes,OFFSET(tPrcElec,0,7,1,_maxLT))</f>
        <v>15057.375274732214</v>
      </c>
      <c r="M108" s="13">
        <f ca="1">SUMPRODUCT(dFactor,tpSurvInMx,INDEX(elecInMx,1,1)*allOnes,OFFSET(tPrcElec,0,8,1,_maxLT))</f>
        <v>15152.263700293608</v>
      </c>
      <c r="N108" s="13">
        <f ca="1">SUMPRODUCT(dFactor,tpSurvInMx,INDEX(elecInMx,1,1)*allOnes,OFFSET(tPrcElec,0,9,1,_maxLT))</f>
        <v>15247.762878348405</v>
      </c>
      <c r="O108" s="13">
        <f ca="1">SUMPRODUCT(dFactor,tpSurvInMx,INDEX(elecInMx,1,1)*allOnes,OFFSET(tPrcElec,0,10,1,_maxLT))</f>
        <v>15343.876833244869</v>
      </c>
      <c r="P108" s="13">
        <f ca="1">SUMPRODUCT(dFactor,tpSurvInMx,INDEX(elecInMx,1,1)*allOnes,OFFSET(tPrcElec,0,11,1,_maxLT))</f>
        <v>15440.609616513813</v>
      </c>
      <c r="Q108" s="13">
        <f ca="1">SUMPRODUCT(dFactor,tpSurvInMx,INDEX(elecInMx,1,1)*allOnes,OFFSET(tPrcElec,0,12,1,_maxLT))</f>
        <v>15537.965307056846</v>
      </c>
      <c r="R108" s="13">
        <f ca="1">SUMPRODUCT(dFactor,tpSurvInMx,INDEX(elecInMx,1,1)*allOnes,OFFSET(tPrcElec,0,13,1,_maxLT))</f>
        <v>15635.94801133589</v>
      </c>
      <c r="S108" s="13">
        <f ca="1">SUMPRODUCT(dFactor,tpSurvInMx,INDEX(elecInMx,1,1)*allOnes,OFFSET(tPrcElec,0,14,1,_maxLT))</f>
        <v>15734.561863564191</v>
      </c>
      <c r="T108" s="13">
        <f ca="1">SUMPRODUCT(dFactor,tpSurvInMx,INDEX(elecInMx,1,1)*allOnes,OFFSET(tPrcElec,0,15,1,_maxLT))</f>
        <v>15833.811025898513</v>
      </c>
      <c r="U108" s="13">
        <f ca="1">SUMPRODUCT(dFactor,tpSurvInMx,INDEX(elecInMx,1,1)*allOnes,OFFSET(tPrcElec,0,16,1,_maxLT))</f>
        <v>15933.699688632869</v>
      </c>
      <c r="V108" s="13">
        <f ca="1">SUMPRODUCT(dFactor,tpSurvInMx,INDEX(elecInMx,1,1)*allOnes,OFFSET(tPrcElec,0,17,1,_maxLT))</f>
        <v>16034.232070393467</v>
      </c>
      <c r="W108" s="13">
        <f ca="1">SUMPRODUCT(dFactor,tpSurvInMx,INDEX(elecInMx,1,1)*allOnes,OFFSET(tPrcElec,0,18,1,_maxLT))</f>
        <v>16135.41241833514</v>
      </c>
      <c r="X108" s="13">
        <f ca="1">SUMPRODUCT(dFactor,tpSurvInMx,INDEX(elecInMx,1,1)*allOnes,OFFSET(tPrcElec,0,19,1,_maxLT))</f>
        <v>16237.245008339156</v>
      </c>
      <c r="Y108" s="13">
        <f ca="1">SUMPRODUCT(dFactor,tpSurvInMx,INDEX(elecInMx,1,1)*allOnes,OFFSET(tPrcElec,0,20,1,_maxLT))</f>
        <v>16339.734145212393</v>
      </c>
      <c r="Z108" s="13">
        <f ca="1">SUMPRODUCT(dFactor,tpSurvInMx,INDEX(elecInMx,1,1)*allOnes,OFFSET(tPrcElec,0,21,1,_maxLT))</f>
        <v>16442.884162887996</v>
      </c>
      <c r="AA108" s="13">
        <f ca="1">SUMPRODUCT(dFactor,tpSurvInMx,INDEX(elecInMx,1,1)*allOnes,OFFSET(tPrcElec,0,22,1,_maxLT))</f>
        <v>16546.699424627383</v>
      </c>
      <c r="AB108" s="13">
        <f ca="1">SUMPRODUCT(dFactor,tpSurvInMx,INDEX(elecInMx,1,1)*allOnes,OFFSET(tPrcElec,0,23,1,_maxLT))</f>
        <v>16651.184323223704</v>
      </c>
      <c r="AC108" s="13">
        <f ca="1">SUMPRODUCT(dFactor,tpSurvInMx,INDEX(elecInMx,1,1)*allOnes,OFFSET(tPrcElec,0,24,1,_maxLT))</f>
        <v>16756.343281206828</v>
      </c>
      <c r="AD108" s="13">
        <f ca="1">SUMPRODUCT(dFactor,tpSurvInMx,INDEX(elecInMx,1,1)*allOnes,OFFSET(tPrcElec,0,25,1,_maxLT))</f>
        <v>16862.18075104964</v>
      </c>
      <c r="AE108" s="13">
        <f ca="1">SUMPRODUCT(dFactor,tpSurvInMx,INDEX(elecInMx,1,1)*allOnes,OFFSET(tPrcElec,0,26,1,_maxLT))</f>
        <v>16968.701215376004</v>
      </c>
      <c r="AF108" s="13">
        <f ca="1">SUMPRODUCT(dFactor,tpSurvInMx,INDEX(elecInMx,1,1)*allOnes,OFFSET(tPrcElec,0,27,1,_maxLT))</f>
        <v>17075.909187169938</v>
      </c>
      <c r="AG108" s="13">
        <f ca="1">SUMPRODUCT(dFactor,tpSurvInMx,INDEX(elecInMx,1,1)*allOnes,OFFSET(tPrcElec,0,28,1,_maxLT))</f>
        <v>17183.809209986517</v>
      </c>
      <c r="AH108" s="13">
        <f ca="1">SUMPRODUCT(dFactor,tpSurvInMx,INDEX(elecInMx,1,1)*allOnes,OFFSET(tPrcElec,0,29,1,_maxLT))</f>
        <v>17292.405858164209</v>
      </c>
      <c r="AI108" s="13">
        <f ca="1">SUMPRODUCT(dFactor,tpSurvInMx,INDEX(elecInMx,1,1)*allOnes,OFFSET(tPrcElec,0,30,1,_maxLT))</f>
        <v>17401.703737038584</v>
      </c>
      <c r="AJ108" s="13">
        <f ca="1">SUMPRODUCT(dFactor,tpSurvInMx,INDEX(elecInMx,1,1)*allOnes,OFFSET(tPrcElec,0,31,1,_maxLT))</f>
        <v>17511.707483157767</v>
      </c>
      <c r="AK108" s="13">
        <f ca="1">SUMPRODUCT(dFactor,tpSurvInMx,INDEX(elecInMx,1,1)*allOnes,OFFSET(tPrcElec,0,32,1,_maxLT))</f>
        <v>17622.421764499275</v>
      </c>
      <c r="AL108" s="56">
        <f ca="1">SUMPRODUCT(dFactor,tpSurvInMx,INDEX(elecInMx,1,1)*allOnes,OFFSET(tPrcElec,0,33,1,_maxLT))</f>
        <v>17733.851280688366</v>
      </c>
      <c r="AM108" s="10"/>
    </row>
    <row r="109" spans="2:39">
      <c r="B109" s="10"/>
      <c r="C109" s="16" t="s">
        <v>79</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5"/>
      <c r="AM109" s="10"/>
    </row>
    <row r="110" spans="2:39">
      <c r="B110" s="10"/>
      <c r="C110" s="28" t="str">
        <f>INDEX(_fuel,1)</f>
        <v>Electricity</v>
      </c>
      <c r="D110" s="12" t="s">
        <v>83</v>
      </c>
      <c r="E110" s="39">
        <f ca="1">SUMPRODUCT(OFFSET(tConvElecInMx,0,0,1,_maxLT),INDEX(elecInMx,1,1)*allOnes,tpSurvInMx)</f>
        <v>2844.0295329973746</v>
      </c>
      <c r="F110" s="39">
        <f ca="1">SUMPRODUCT(OFFSET(tConvElecInMx,0,1,1,_maxLT),INDEX(elecInMx,1,1)*allOnes,tpSurvInMx)</f>
        <v>2823.3757966845815</v>
      </c>
      <c r="G110" s="39">
        <f ca="1">SUMPRODUCT(OFFSET(tConvElecInMx,0,2,1,_maxLT),INDEX(elecInMx,1,1)*allOnes,tpSurvInMx)</f>
        <v>2805.1428513500659</v>
      </c>
      <c r="H110" s="39">
        <f ca="1">SUMPRODUCT(OFFSET(tConvElecInMx,0,3,1,_maxLT),INDEX(elecInMx,1,1)*allOnes,tpSurvInMx)</f>
        <v>2787.8114594821441</v>
      </c>
      <c r="I110" s="39">
        <f ca="1">SUMPRODUCT(OFFSET(tConvElecInMx,0,4,1,_maxLT),INDEX(elecInMx,1,1)*allOnes,tpSurvInMx)</f>
        <v>2772.6266077796276</v>
      </c>
      <c r="J110" s="39">
        <f ca="1">SUMPRODUCT(OFFSET(tConvElecInMx,0,5,1,_maxLT),INDEX(elecInMx,1,1)*allOnes,tpSurvInMx)</f>
        <v>2760.7739750806008</v>
      </c>
      <c r="K110" s="39">
        <f ca="1">SUMPRODUCT(OFFSET(tConvElecInMx,0,6,1,_maxLT),INDEX(elecInMx,1,1)*allOnes,tpSurvInMx)</f>
        <v>2750.8678452478384</v>
      </c>
      <c r="L110" s="39">
        <f ca="1">SUMPRODUCT(OFFSET(tConvElecInMx,0,7,1,_maxLT),INDEX(elecInMx,1,1)*allOnes,tpSurvInMx)</f>
        <v>2740.9036813246803</v>
      </c>
      <c r="M110" s="39">
        <f ca="1">SUMPRODUCT(OFFSET(tConvElecInMx,0,8,1,_maxLT),INDEX(elecInMx,1,1)*allOnes,tpSurvInMx)</f>
        <v>2732.8721750552372</v>
      </c>
      <c r="N110" s="39">
        <f ca="1">SUMPRODUCT(OFFSET(tConvElecInMx,0,9,1,_maxLT),INDEX(elecInMx,1,1)*allOnes,tpSurvInMx)</f>
        <v>2727.2475732797384</v>
      </c>
      <c r="O110" s="39">
        <f ca="1">SUMPRODUCT(OFFSET(tConvElecInMx,0,10,1,_maxLT),INDEX(elecInMx,1,1)*allOnes,tpSurvInMx)</f>
        <v>2723.0859039334541</v>
      </c>
      <c r="P110" s="39">
        <f ca="1">SUMPRODUCT(OFFSET(tConvElecInMx,0,11,1,_maxLT),INDEX(elecInMx,1,1)*allOnes,tpSurvInMx)</f>
        <v>2719.5451291728232</v>
      </c>
      <c r="Q110" s="39">
        <f ca="1">SUMPRODUCT(OFFSET(tConvElecInMx,0,12,1,_maxLT),INDEX(elecInMx,1,1)*allOnes,tpSurvInMx)</f>
        <v>2716.8937366723922</v>
      </c>
      <c r="R110" s="39">
        <f ca="1">SUMPRODUCT(OFFSET(tConvElecInMx,0,13,1,_maxLT),INDEX(elecInMx,1,1)*allOnes,tpSurvInMx)</f>
        <v>2714.8352860447048</v>
      </c>
      <c r="S110" s="39">
        <f ca="1">SUMPRODUCT(OFFSET(tConvElecInMx,0,14,1,_maxLT),INDEX(elecInMx,1,1)*allOnes,tpSurvInMx)</f>
        <v>2714.4385560401975</v>
      </c>
      <c r="T110" s="39">
        <f ca="1">SUMPRODUCT(OFFSET(tConvElecInMx,0,15,1,_maxLT),INDEX(elecInMx,1,1)*allOnes,tpSurvInMx)</f>
        <v>2714.798208126389</v>
      </c>
      <c r="U110" s="39">
        <f ca="1">SUMPRODUCT(OFFSET(tConvElecInMx,0,16,1,_maxLT),INDEX(elecInMx,1,1)*allOnes,tpSurvInMx)</f>
        <v>2715.4071193803579</v>
      </c>
      <c r="V110" s="39">
        <f ca="1">SUMPRODUCT(OFFSET(tConvElecInMx,0,17,1,_maxLT),INDEX(elecInMx,1,1)*allOnes,tpSurvInMx)</f>
        <v>2716.3349468988285</v>
      </c>
      <c r="W110" s="39">
        <f ca="1">SUMPRODUCT(OFFSET(tConvElecInMx,0,18,1,_maxLT),INDEX(elecInMx,1,1)*allOnes,tpSurvInMx)</f>
        <v>2717.2232187220625</v>
      </c>
      <c r="X110" s="39">
        <f ca="1">SUMPRODUCT(OFFSET(tConvElecInMx,0,19,1,_maxLT),INDEX(elecInMx,1,1)*allOnes,tpSurvInMx)</f>
        <v>2717.9592390762946</v>
      </c>
      <c r="Y110" s="39">
        <f ca="1">SUMPRODUCT(OFFSET(tConvElecInMx,0,20,1,_maxLT),INDEX(elecInMx,1,1)*allOnes,tpSurvInMx)</f>
        <v>2718.452793938156</v>
      </c>
      <c r="Z110" s="39">
        <f ca="1">SUMPRODUCT(OFFSET(tConvElecInMx,0,21,1,_maxLT),INDEX(elecInMx,1,1)*allOnes,tpSurvInMx)</f>
        <v>2718.7930841977677</v>
      </c>
      <c r="AA110" s="39">
        <f ca="1">SUMPRODUCT(OFFSET(tConvElecInMx,0,22,1,_maxLT),INDEX(elecInMx,1,1)*allOnes,tpSurvInMx)</f>
        <v>2718.7930841977677</v>
      </c>
      <c r="AB110" s="39">
        <f ca="1">SUMPRODUCT(OFFSET(tConvElecInMx,0,23,1,_maxLT),INDEX(elecInMx,1,1)*allOnes,tpSurvInMx)</f>
        <v>2718.7930841977677</v>
      </c>
      <c r="AC110" s="39">
        <f ca="1">SUMPRODUCT(OFFSET(tConvElecInMx,0,24,1,_maxLT),INDEX(elecInMx,1,1)*allOnes,tpSurvInMx)</f>
        <v>2718.7930841977677</v>
      </c>
      <c r="AD110" s="39">
        <f ca="1">SUMPRODUCT(OFFSET(tConvElecInMx,0,25,1,_maxLT),INDEX(elecInMx,1,1)*allOnes,tpSurvInMx)</f>
        <v>2718.7930841977677</v>
      </c>
      <c r="AE110" s="39">
        <f ca="1">SUMPRODUCT(OFFSET(tConvElecInMx,0,26,1,_maxLT),INDEX(elecInMx,1,1)*allOnes,tpSurvInMx)</f>
        <v>2718.7930841977677</v>
      </c>
      <c r="AF110" s="39">
        <f ca="1">SUMPRODUCT(OFFSET(tConvElecInMx,0,27,1,_maxLT),INDEX(elecInMx,1,1)*allOnes,tpSurvInMx)</f>
        <v>2718.7930841977677</v>
      </c>
      <c r="AG110" s="39">
        <f ca="1">SUMPRODUCT(OFFSET(tConvElecInMx,0,28,1,_maxLT),INDEX(elecInMx,1,1)*allOnes,tpSurvInMx)</f>
        <v>2718.7930841977677</v>
      </c>
      <c r="AH110" s="39">
        <f ca="1">SUMPRODUCT(OFFSET(tConvElecInMx,0,29,1,_maxLT),INDEX(elecInMx,1,1)*allOnes,tpSurvInMx)</f>
        <v>2718.7930841977677</v>
      </c>
      <c r="AI110" s="39">
        <f ca="1">SUMPRODUCT(OFFSET(tConvElecInMx,0,30,1,_maxLT),INDEX(elecInMx,1,1)*allOnes,tpSurvInMx)</f>
        <v>2718.7930841977677</v>
      </c>
      <c r="AJ110" s="39">
        <f ca="1">SUMPRODUCT(OFFSET(tConvElecInMx,0,31,1,_maxLT),INDEX(elecInMx,1,1)*allOnes,tpSurvInMx)</f>
        <v>2718.7930841977677</v>
      </c>
      <c r="AK110" s="39">
        <f ca="1">SUMPRODUCT(OFFSET(tConvElecInMx,0,32,1,_maxLT),INDEX(elecInMx,1,1)*allOnes,tpSurvInMx)</f>
        <v>2718.7930841977677</v>
      </c>
      <c r="AL110" s="40">
        <f ca="1">SUMPRODUCT(OFFSET(tConvElecInMx,0,33,1,_maxLT),INDEX(elecInMx,1,1)*allOnes,tpSurvInMx)</f>
        <v>2718.7930841977677</v>
      </c>
      <c r="AM110" s="10"/>
    </row>
    <row r="111" spans="2:39">
      <c r="B111" s="10"/>
      <c r="C111" s="57" t="str">
        <f>"EL 1: " &amp; INDEX(_doName,5,2)</f>
        <v>EL 1: EL 1</v>
      </c>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3"/>
      <c r="AM111" s="10"/>
    </row>
    <row r="112" spans="2:39">
      <c r="B112" s="10"/>
      <c r="C112" s="16" t="s">
        <v>69</v>
      </c>
      <c r="D112" s="12" t="str">
        <f>_yearDol &amp; "$"</f>
        <v>2015$</v>
      </c>
      <c r="E112" s="13">
        <f t="array" ref="E112:AL112">INDEX(mspInMx,1,2)*tPIdxAll + INDEX(instInMx,1,2) + IF(bESav,SUMPRODUCT(dFactor,tpSurvInMx,INDEX(mrInMx,1,2)*allOnes),0)</f>
        <v>2928.95234948603</v>
      </c>
      <c r="F112" s="13">
        <v>2928.95234948603</v>
      </c>
      <c r="G112" s="13">
        <v>2928.95234948603</v>
      </c>
      <c r="H112" s="13">
        <v>2928.95234948603</v>
      </c>
      <c r="I112" s="13">
        <v>2928.95234948603</v>
      </c>
      <c r="J112" s="13">
        <v>2928.95234948603</v>
      </c>
      <c r="K112" s="13">
        <v>2928.95234948603</v>
      </c>
      <c r="L112" s="13">
        <v>2928.95234948603</v>
      </c>
      <c r="M112" s="13">
        <v>2928.95234948603</v>
      </c>
      <c r="N112" s="13">
        <v>2928.95234948603</v>
      </c>
      <c r="O112" s="13">
        <v>2928.95234948603</v>
      </c>
      <c r="P112" s="13">
        <v>2928.95234948603</v>
      </c>
      <c r="Q112" s="13">
        <v>2928.95234948603</v>
      </c>
      <c r="R112" s="13">
        <v>2928.95234948603</v>
      </c>
      <c r="S112" s="13">
        <v>2928.95234948603</v>
      </c>
      <c r="T112" s="13">
        <v>2928.95234948603</v>
      </c>
      <c r="U112" s="13">
        <v>2928.95234948603</v>
      </c>
      <c r="V112" s="13">
        <v>2928.95234948603</v>
      </c>
      <c r="W112" s="13">
        <v>2928.95234948603</v>
      </c>
      <c r="X112" s="13">
        <v>2928.95234948603</v>
      </c>
      <c r="Y112" s="13">
        <v>2928.95234948603</v>
      </c>
      <c r="Z112" s="13">
        <v>2928.95234948603</v>
      </c>
      <c r="AA112" s="13">
        <v>2928.95234948603</v>
      </c>
      <c r="AB112" s="13">
        <v>2928.95234948603</v>
      </c>
      <c r="AC112" s="13">
        <v>2928.95234948603</v>
      </c>
      <c r="AD112" s="13">
        <v>2928.95234948603</v>
      </c>
      <c r="AE112" s="13">
        <v>2928.95234948603</v>
      </c>
      <c r="AF112" s="13">
        <v>2928.95234948603</v>
      </c>
      <c r="AG112" s="13">
        <v>2928.95234948603</v>
      </c>
      <c r="AH112" s="13">
        <v>2928.95234948603</v>
      </c>
      <c r="AI112" s="13">
        <v>2928.95234948603</v>
      </c>
      <c r="AJ112" s="13">
        <v>2928.95234948603</v>
      </c>
      <c r="AK112" s="13">
        <v>2928.95234948603</v>
      </c>
      <c r="AL112" s="56">
        <v>2928.95234948603</v>
      </c>
      <c r="AM112" s="10"/>
    </row>
    <row r="113" spans="2:39">
      <c r="B113" s="10"/>
      <c r="C113" s="16" t="str">
        <f>zEO&amp;" Costs"</f>
        <v>Operating Costs</v>
      </c>
      <c r="D113" s="12" t="str">
        <f>_yearDol &amp; "$"</f>
        <v>2015$</v>
      </c>
      <c r="E113" s="13">
        <f t="array" aca="1" ref="E113:AL113" ca="1">(tlccEFuElecbc1) + IF(bOSav,SUMPRODUCT(dFactor,tpSurvInMx,INDEX(mrInMx,1,2)*allOnes),0)</f>
        <v>16563.052794164836</v>
      </c>
      <c r="F113" s="13">
        <f ca="1"/>
        <v>16698.267659644844</v>
      </c>
      <c r="G113" s="13">
        <f ca="1"/>
        <v>16829.327456507956</v>
      </c>
      <c r="H113" s="13">
        <f ca="1"/>
        <v>16947.279796455103</v>
      </c>
      <c r="I113" s="13">
        <f ca="1"/>
        <v>17054.020963541341</v>
      </c>
      <c r="J113" s="13">
        <f ca="1"/>
        <v>17161.448757796348</v>
      </c>
      <c r="K113" s="13">
        <f ca="1"/>
        <v>17269.567700550273</v>
      </c>
      <c r="L113" s="13">
        <f ca="1"/>
        <v>17378.382343652007</v>
      </c>
      <c r="M113" s="13">
        <f ca="1"/>
        <v>17487.897269680339</v>
      </c>
      <c r="N113" s="13">
        <f ca="1"/>
        <v>17598.117092156695</v>
      </c>
      <c r="O113" s="13">
        <f ca="1"/>
        <v>17709.046455759271</v>
      </c>
      <c r="P113" s="13">
        <f ca="1"/>
        <v>17820.690036538876</v>
      </c>
      <c r="Q113" s="13">
        <f ca="1"/>
        <v>17933.052542136124</v>
      </c>
      <c r="R113" s="13">
        <f ca="1"/>
        <v>18046.138712000262</v>
      </c>
      <c r="S113" s="13">
        <f ca="1"/>
        <v>18159.953317609485</v>
      </c>
      <c r="T113" s="13">
        <f ca="1"/>
        <v>18274.501162692912</v>
      </c>
      <c r="U113" s="13">
        <f ca="1"/>
        <v>18389.787083454059</v>
      </c>
      <c r="V113" s="13">
        <f ca="1"/>
        <v>18505.815948795906</v>
      </c>
      <c r="W113" s="13">
        <f ca="1"/>
        <v>18622.592660547587</v>
      </c>
      <c r="X113" s="13">
        <f ca="1"/>
        <v>18740.122153692639</v>
      </c>
      <c r="Y113" s="13">
        <f ca="1"/>
        <v>18858.409396598963</v>
      </c>
      <c r="Z113" s="13">
        <f ca="1"/>
        <v>18977.459391250384</v>
      </c>
      <c r="AA113" s="13">
        <f ca="1"/>
        <v>19097.27717347971</v>
      </c>
      <c r="AB113" s="13">
        <f ca="1"/>
        <v>19217.867813203731</v>
      </c>
      <c r="AC113" s="13">
        <f ca="1"/>
        <v>19339.236414659612</v>
      </c>
      <c r="AD113" s="13">
        <f ca="1"/>
        <v>19461.388116643157</v>
      </c>
      <c r="AE113" s="13">
        <f ca="1"/>
        <v>19584.328092748638</v>
      </c>
      <c r="AF113" s="13">
        <f ca="1"/>
        <v>19708.061551610412</v>
      </c>
      <c r="AG113" s="13">
        <f ca="1"/>
        <v>19832.593737146231</v>
      </c>
      <c r="AH113" s="13">
        <f ca="1"/>
        <v>19957.929928802281</v>
      </c>
      <c r="AI113" s="13">
        <f ca="1"/>
        <v>20084.075441799916</v>
      </c>
      <c r="AJ113" s="13">
        <f ca="1"/>
        <v>20211.035627384274</v>
      </c>
      <c r="AK113" s="13">
        <f ca="1"/>
        <v>20338.815873074491</v>
      </c>
      <c r="AL113" s="56">
        <f ca="1"/>
        <v>20467.421602915867</v>
      </c>
      <c r="AM113" s="10"/>
    </row>
    <row r="114" spans="2:39">
      <c r="B114" s="10"/>
      <c r="C114" s="28" t="str">
        <f>INDEX(_fuel,1)</f>
        <v>Electricity</v>
      </c>
      <c r="D114" s="12" t="str">
        <f>_yearDol &amp; "$"</f>
        <v>2015$</v>
      </c>
      <c r="E114" s="13">
        <f ca="1">SUMPRODUCT(dFactor,tpSurvInMx,INDEX(elecInMx,1,2)*allOnes,OFFSET(tPrcElec,0,0,1,_maxLT))</f>
        <v>16563.052794164836</v>
      </c>
      <c r="F114" s="13">
        <f ca="1">SUMPRODUCT(dFactor,tpSurvInMx,INDEX(elecInMx,1,2)*allOnes,OFFSET(tPrcElec,0,1,1,_maxLT))</f>
        <v>16698.267659644844</v>
      </c>
      <c r="G114" s="13">
        <f ca="1">SUMPRODUCT(dFactor,tpSurvInMx,INDEX(elecInMx,1,2)*allOnes,OFFSET(tPrcElec,0,2,1,_maxLT))</f>
        <v>16829.327456507956</v>
      </c>
      <c r="H114" s="13">
        <f ca="1">SUMPRODUCT(dFactor,tpSurvInMx,INDEX(elecInMx,1,2)*allOnes,OFFSET(tPrcElec,0,3,1,_maxLT))</f>
        <v>16947.279796455103</v>
      </c>
      <c r="I114" s="13">
        <f ca="1">SUMPRODUCT(dFactor,tpSurvInMx,INDEX(elecInMx,1,2)*allOnes,OFFSET(tPrcElec,0,4,1,_maxLT))</f>
        <v>17054.020963541341</v>
      </c>
      <c r="J114" s="13">
        <f ca="1">SUMPRODUCT(dFactor,tpSurvInMx,INDEX(elecInMx,1,2)*allOnes,OFFSET(tPrcElec,0,5,1,_maxLT))</f>
        <v>17161.448757796348</v>
      </c>
      <c r="K114" s="13">
        <f ca="1">SUMPRODUCT(dFactor,tpSurvInMx,INDEX(elecInMx,1,2)*allOnes,OFFSET(tPrcElec,0,6,1,_maxLT))</f>
        <v>17269.567700550273</v>
      </c>
      <c r="L114" s="13">
        <f ca="1">SUMPRODUCT(dFactor,tpSurvInMx,INDEX(elecInMx,1,2)*allOnes,OFFSET(tPrcElec,0,7,1,_maxLT))</f>
        <v>17378.382343652007</v>
      </c>
      <c r="M114" s="13">
        <f ca="1">SUMPRODUCT(dFactor,tpSurvInMx,INDEX(elecInMx,1,2)*allOnes,OFFSET(tPrcElec,0,8,1,_maxLT))</f>
        <v>17487.897269680339</v>
      </c>
      <c r="N114" s="13">
        <f ca="1">SUMPRODUCT(dFactor,tpSurvInMx,INDEX(elecInMx,1,2)*allOnes,OFFSET(tPrcElec,0,9,1,_maxLT))</f>
        <v>17598.117092156695</v>
      </c>
      <c r="O114" s="13">
        <f ca="1">SUMPRODUCT(dFactor,tpSurvInMx,INDEX(elecInMx,1,2)*allOnes,OFFSET(tPrcElec,0,10,1,_maxLT))</f>
        <v>17709.046455759271</v>
      </c>
      <c r="P114" s="13">
        <f ca="1">SUMPRODUCT(dFactor,tpSurvInMx,INDEX(elecInMx,1,2)*allOnes,OFFSET(tPrcElec,0,11,1,_maxLT))</f>
        <v>17820.690036538876</v>
      </c>
      <c r="Q114" s="13">
        <f ca="1">SUMPRODUCT(dFactor,tpSurvInMx,INDEX(elecInMx,1,2)*allOnes,OFFSET(tPrcElec,0,12,1,_maxLT))</f>
        <v>17933.052542136124</v>
      </c>
      <c r="R114" s="13">
        <f ca="1">SUMPRODUCT(dFactor,tpSurvInMx,INDEX(elecInMx,1,2)*allOnes,OFFSET(tPrcElec,0,13,1,_maxLT))</f>
        <v>18046.138712000262</v>
      </c>
      <c r="S114" s="13">
        <f ca="1">SUMPRODUCT(dFactor,tpSurvInMx,INDEX(elecInMx,1,2)*allOnes,OFFSET(tPrcElec,0,14,1,_maxLT))</f>
        <v>18159.953317609485</v>
      </c>
      <c r="T114" s="13">
        <f ca="1">SUMPRODUCT(dFactor,tpSurvInMx,INDEX(elecInMx,1,2)*allOnes,OFFSET(tPrcElec,0,15,1,_maxLT))</f>
        <v>18274.501162692912</v>
      </c>
      <c r="U114" s="13">
        <f ca="1">SUMPRODUCT(dFactor,tpSurvInMx,INDEX(elecInMx,1,2)*allOnes,OFFSET(tPrcElec,0,16,1,_maxLT))</f>
        <v>18389.787083454059</v>
      </c>
      <c r="V114" s="13">
        <f ca="1">SUMPRODUCT(dFactor,tpSurvInMx,INDEX(elecInMx,1,2)*allOnes,OFFSET(tPrcElec,0,17,1,_maxLT))</f>
        <v>18505.815948795906</v>
      </c>
      <c r="W114" s="13">
        <f ca="1">SUMPRODUCT(dFactor,tpSurvInMx,INDEX(elecInMx,1,2)*allOnes,OFFSET(tPrcElec,0,18,1,_maxLT))</f>
        <v>18622.592660547587</v>
      </c>
      <c r="X114" s="13">
        <f ca="1">SUMPRODUCT(dFactor,tpSurvInMx,INDEX(elecInMx,1,2)*allOnes,OFFSET(tPrcElec,0,19,1,_maxLT))</f>
        <v>18740.122153692639</v>
      </c>
      <c r="Y114" s="13">
        <f ca="1">SUMPRODUCT(dFactor,tpSurvInMx,INDEX(elecInMx,1,2)*allOnes,OFFSET(tPrcElec,0,20,1,_maxLT))</f>
        <v>18858.409396598963</v>
      </c>
      <c r="Z114" s="13">
        <f ca="1">SUMPRODUCT(dFactor,tpSurvInMx,INDEX(elecInMx,1,2)*allOnes,OFFSET(tPrcElec,0,21,1,_maxLT))</f>
        <v>18977.459391250384</v>
      </c>
      <c r="AA114" s="13">
        <f ca="1">SUMPRODUCT(dFactor,tpSurvInMx,INDEX(elecInMx,1,2)*allOnes,OFFSET(tPrcElec,0,22,1,_maxLT))</f>
        <v>19097.27717347971</v>
      </c>
      <c r="AB114" s="13">
        <f ca="1">SUMPRODUCT(dFactor,tpSurvInMx,INDEX(elecInMx,1,2)*allOnes,OFFSET(tPrcElec,0,23,1,_maxLT))</f>
        <v>19217.867813203731</v>
      </c>
      <c r="AC114" s="13">
        <f ca="1">SUMPRODUCT(dFactor,tpSurvInMx,INDEX(elecInMx,1,2)*allOnes,OFFSET(tPrcElec,0,24,1,_maxLT))</f>
        <v>19339.236414659612</v>
      </c>
      <c r="AD114" s="13">
        <f ca="1">SUMPRODUCT(dFactor,tpSurvInMx,INDEX(elecInMx,1,2)*allOnes,OFFSET(tPrcElec,0,25,1,_maxLT))</f>
        <v>19461.388116643157</v>
      </c>
      <c r="AE114" s="13">
        <f ca="1">SUMPRODUCT(dFactor,tpSurvInMx,INDEX(elecInMx,1,2)*allOnes,OFFSET(tPrcElec,0,26,1,_maxLT))</f>
        <v>19584.328092748638</v>
      </c>
      <c r="AF114" s="13">
        <f ca="1">SUMPRODUCT(dFactor,tpSurvInMx,INDEX(elecInMx,1,2)*allOnes,OFFSET(tPrcElec,0,27,1,_maxLT))</f>
        <v>19708.061551610412</v>
      </c>
      <c r="AG114" s="13">
        <f ca="1">SUMPRODUCT(dFactor,tpSurvInMx,INDEX(elecInMx,1,2)*allOnes,OFFSET(tPrcElec,0,28,1,_maxLT))</f>
        <v>19832.593737146231</v>
      </c>
      <c r="AH114" s="13">
        <f ca="1">SUMPRODUCT(dFactor,tpSurvInMx,INDEX(elecInMx,1,2)*allOnes,OFFSET(tPrcElec,0,29,1,_maxLT))</f>
        <v>19957.929928802281</v>
      </c>
      <c r="AI114" s="13">
        <f ca="1">SUMPRODUCT(dFactor,tpSurvInMx,INDEX(elecInMx,1,2)*allOnes,OFFSET(tPrcElec,0,30,1,_maxLT))</f>
        <v>20084.075441799916</v>
      </c>
      <c r="AJ114" s="13">
        <f ca="1">SUMPRODUCT(dFactor,tpSurvInMx,INDEX(elecInMx,1,2)*allOnes,OFFSET(tPrcElec,0,31,1,_maxLT))</f>
        <v>20211.035627384274</v>
      </c>
      <c r="AK114" s="13">
        <f ca="1">SUMPRODUCT(dFactor,tpSurvInMx,INDEX(elecInMx,1,2)*allOnes,OFFSET(tPrcElec,0,32,1,_maxLT))</f>
        <v>20338.815873074491</v>
      </c>
      <c r="AL114" s="56">
        <f ca="1">SUMPRODUCT(dFactor,tpSurvInMx,INDEX(elecInMx,1,2)*allOnes,OFFSET(tPrcElec,0,33,1,_maxLT))</f>
        <v>20467.421602915867</v>
      </c>
      <c r="AM114" s="10"/>
    </row>
    <row r="115" spans="2:39">
      <c r="B115" s="10"/>
      <c r="C115" s="16" t="s">
        <v>79</v>
      </c>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5"/>
      <c r="AM115" s="10"/>
    </row>
    <row r="116" spans="2:39">
      <c r="B116" s="10"/>
      <c r="C116" s="28" t="str">
        <f>INDEX(_fuel,1)</f>
        <v>Electricity</v>
      </c>
      <c r="D116" s="12" t="s">
        <v>83</v>
      </c>
      <c r="E116" s="39">
        <f ca="1">SUMPRODUCT(OFFSET(tConvElecInMx,0,0,1,_maxLT),INDEX(elecInMx,1,2)*allOnes,tpSurvInMx)</f>
        <v>3282.4201907224797</v>
      </c>
      <c r="F116" s="39">
        <f ca="1">SUMPRODUCT(OFFSET(tConvElecInMx,0,1,1,_maxLT),INDEX(elecInMx,1,2)*allOnes,tpSurvInMx)</f>
        <v>3258.5828007444925</v>
      </c>
      <c r="G116" s="39">
        <f ca="1">SUMPRODUCT(OFFSET(tConvElecInMx,0,2,1,_maxLT),INDEX(elecInMx,1,2)*allOnes,tpSurvInMx)</f>
        <v>3237.539352633994</v>
      </c>
      <c r="H116" s="39">
        <f ca="1">SUMPRODUCT(OFFSET(tConvElecInMx,0,3,1,_maxLT),INDEX(elecInMx,1,2)*allOnes,tpSurvInMx)</f>
        <v>3217.5364272281417</v>
      </c>
      <c r="I116" s="39">
        <f ca="1">SUMPRODUCT(OFFSET(tConvElecInMx,0,4,1,_maxLT),INDEX(elecInMx,1,2)*allOnes,tpSurvInMx)</f>
        <v>3200.0109187046992</v>
      </c>
      <c r="J116" s="39">
        <f ca="1">SUMPRODUCT(OFFSET(tConvElecInMx,0,5,1,_maxLT),INDEX(elecInMx,1,2)*allOnes,tpSurvInMx)</f>
        <v>3186.3312714179497</v>
      </c>
      <c r="K116" s="39">
        <f ca="1">SUMPRODUCT(OFFSET(tConvElecInMx,0,6,1,_maxLT),INDEX(elecInMx,1,2)*allOnes,tpSurvInMx)</f>
        <v>3174.8981691249833</v>
      </c>
      <c r="L116" s="39">
        <f ca="1">SUMPRODUCT(OFFSET(tConvElecInMx,0,7,1,_maxLT),INDEX(elecInMx,1,2)*allOnes,tpSurvInMx)</f>
        <v>3163.398087123172</v>
      </c>
      <c r="M116" s="39">
        <f ca="1">SUMPRODUCT(OFFSET(tConvElecInMx,0,8,1,_maxLT),INDEX(elecInMx,1,2)*allOnes,tpSurvInMx)</f>
        <v>3154.128570743379</v>
      </c>
      <c r="N116" s="39">
        <f ca="1">SUMPRODUCT(OFFSET(tConvElecInMx,0,9,1,_maxLT),INDEX(elecInMx,1,2)*allOnes,tpSurvInMx)</f>
        <v>3147.6369692257208</v>
      </c>
      <c r="O116" s="39">
        <f ca="1">SUMPRODUCT(OFFSET(tConvElecInMx,0,10,1,_maxLT),INDEX(elecInMx,1,2)*allOnes,tpSurvInMx)</f>
        <v>3142.8338026865326</v>
      </c>
      <c r="P116" s="39">
        <f ca="1">SUMPRODUCT(OFFSET(tConvElecInMx,0,11,1,_maxLT),INDEX(elecInMx,1,2)*allOnes,tpSurvInMx)</f>
        <v>3138.7472380323161</v>
      </c>
      <c r="Q116" s="39">
        <f ca="1">SUMPRODUCT(OFFSET(tConvElecInMx,0,12,1,_maxLT),INDEX(elecInMx,1,2)*allOnes,tpSurvInMx)</f>
        <v>3135.6871487554745</v>
      </c>
      <c r="R116" s="39">
        <f ca="1">SUMPRODUCT(OFFSET(tConvElecInMx,0,13,1,_maxLT),INDEX(elecInMx,1,2)*allOnes,tpSurvInMx)</f>
        <v>3133.3113999021202</v>
      </c>
      <c r="S116" s="39">
        <f ca="1">SUMPRODUCT(OFFSET(tConvElecInMx,0,14,1,_maxLT),INDEX(elecInMx,1,2)*allOnes,tpSurvInMx)</f>
        <v>3132.8535162683706</v>
      </c>
      <c r="T116" s="39">
        <f ca="1">SUMPRODUCT(OFFSET(tConvElecInMx,0,15,1,_maxLT),INDEX(elecInMx,1,2)*allOnes,tpSurvInMx)</f>
        <v>3133.26860663774</v>
      </c>
      <c r="U116" s="39">
        <f ca="1">SUMPRODUCT(OFFSET(tConvElecInMx,0,16,1,_maxLT),INDEX(elecInMx,1,2)*allOnes,tpSurvInMx)</f>
        <v>3133.9713780299485</v>
      </c>
      <c r="V116" s="39">
        <f ca="1">SUMPRODUCT(OFFSET(tConvElecInMx,0,17,1,_maxLT),INDEX(elecInMx,1,2)*allOnes,tpSurvInMx)</f>
        <v>3135.0422247791826</v>
      </c>
      <c r="W116" s="39">
        <f ca="1">SUMPRODUCT(OFFSET(tConvElecInMx,0,18,1,_maxLT),INDEX(elecInMx,1,2)*allOnes,tpSurvInMx)</f>
        <v>3136.0674185521739</v>
      </c>
      <c r="X116" s="39">
        <f ca="1">SUMPRODUCT(OFFSET(tConvElecInMx,0,19,1,_maxLT),INDEX(elecInMx,1,2)*allOnes,tpSurvInMx)</f>
        <v>3136.9168921752439</v>
      </c>
      <c r="Y116" s="39">
        <f ca="1">SUMPRODUCT(OFFSET(tConvElecInMx,0,20,1,_maxLT),INDEX(elecInMx,1,2)*allOnes,tpSurvInMx)</f>
        <v>3137.4865256565445</v>
      </c>
      <c r="Z116" s="39">
        <f ca="1">SUMPRODUCT(OFFSET(tConvElecInMx,0,21,1,_maxLT),INDEX(elecInMx,1,2)*allOnes,tpSurvInMx)</f>
        <v>3137.8792696860619</v>
      </c>
      <c r="AA116" s="39">
        <f ca="1">SUMPRODUCT(OFFSET(tConvElecInMx,0,22,1,_maxLT),INDEX(elecInMx,1,2)*allOnes,tpSurvInMx)</f>
        <v>3137.8792696860619</v>
      </c>
      <c r="AB116" s="39">
        <f ca="1">SUMPRODUCT(OFFSET(tConvElecInMx,0,23,1,_maxLT),INDEX(elecInMx,1,2)*allOnes,tpSurvInMx)</f>
        <v>3137.8792696860619</v>
      </c>
      <c r="AC116" s="39">
        <f ca="1">SUMPRODUCT(OFFSET(tConvElecInMx,0,24,1,_maxLT),INDEX(elecInMx,1,2)*allOnes,tpSurvInMx)</f>
        <v>3137.8792696860619</v>
      </c>
      <c r="AD116" s="39">
        <f ca="1">SUMPRODUCT(OFFSET(tConvElecInMx,0,25,1,_maxLT),INDEX(elecInMx,1,2)*allOnes,tpSurvInMx)</f>
        <v>3137.8792696860619</v>
      </c>
      <c r="AE116" s="39">
        <f ca="1">SUMPRODUCT(OFFSET(tConvElecInMx,0,26,1,_maxLT),INDEX(elecInMx,1,2)*allOnes,tpSurvInMx)</f>
        <v>3137.8792696860619</v>
      </c>
      <c r="AF116" s="39">
        <f ca="1">SUMPRODUCT(OFFSET(tConvElecInMx,0,27,1,_maxLT),INDEX(elecInMx,1,2)*allOnes,tpSurvInMx)</f>
        <v>3137.8792696860619</v>
      </c>
      <c r="AG116" s="39">
        <f ca="1">SUMPRODUCT(OFFSET(tConvElecInMx,0,28,1,_maxLT),INDEX(elecInMx,1,2)*allOnes,tpSurvInMx)</f>
        <v>3137.8792696860619</v>
      </c>
      <c r="AH116" s="39">
        <f ca="1">SUMPRODUCT(OFFSET(tConvElecInMx,0,29,1,_maxLT),INDEX(elecInMx,1,2)*allOnes,tpSurvInMx)</f>
        <v>3137.8792696860619</v>
      </c>
      <c r="AI116" s="39">
        <f ca="1">SUMPRODUCT(OFFSET(tConvElecInMx,0,30,1,_maxLT),INDEX(elecInMx,1,2)*allOnes,tpSurvInMx)</f>
        <v>3137.8792696860619</v>
      </c>
      <c r="AJ116" s="39">
        <f ca="1">SUMPRODUCT(OFFSET(tConvElecInMx,0,31,1,_maxLT),INDEX(elecInMx,1,2)*allOnes,tpSurvInMx)</f>
        <v>3137.8792696860619</v>
      </c>
      <c r="AK116" s="39">
        <f ca="1">SUMPRODUCT(OFFSET(tConvElecInMx,0,32,1,_maxLT),INDEX(elecInMx,1,2)*allOnes,tpSurvInMx)</f>
        <v>3137.8792696860619</v>
      </c>
      <c r="AL116" s="40">
        <f ca="1">SUMPRODUCT(OFFSET(tConvElecInMx,0,33,1,_maxLT),INDEX(elecInMx,1,2)*allOnes,tpSurvInMx)</f>
        <v>3137.8792696860619</v>
      </c>
      <c r="AM116" s="10"/>
    </row>
    <row r="117" spans="2:39">
      <c r="B117" s="10"/>
      <c r="C117" s="57" t="str">
        <f>"EL 2: " &amp; INDEX(_doName,5,3)</f>
        <v>EL 2: EL 2</v>
      </c>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3"/>
      <c r="AM117" s="10"/>
    </row>
    <row r="118" spans="2:39">
      <c r="B118" s="10"/>
      <c r="C118" s="16" t="s">
        <v>69</v>
      </c>
      <c r="D118" s="12" t="str">
        <f>_yearDol &amp; "$"</f>
        <v>2015$</v>
      </c>
      <c r="E118" s="13">
        <f t="array" ref="E118:AL118">INDEX(mspInMx,1,3)*tPIdxAll + INDEX(instInMx,1,3) + IF(bESav,SUMPRODUCT(dFactor,tpSurvInMx,INDEX(mrInMx,1,3)*allOnes),0)</f>
        <v>2991.4848152295599</v>
      </c>
      <c r="F118" s="13">
        <v>2991.4848152295599</v>
      </c>
      <c r="G118" s="13">
        <v>2991.4848152295599</v>
      </c>
      <c r="H118" s="13">
        <v>2991.4848152295599</v>
      </c>
      <c r="I118" s="13">
        <v>2991.4848152295599</v>
      </c>
      <c r="J118" s="13">
        <v>2991.4848152295599</v>
      </c>
      <c r="K118" s="13">
        <v>2991.4848152295599</v>
      </c>
      <c r="L118" s="13">
        <v>2991.4848152295599</v>
      </c>
      <c r="M118" s="13">
        <v>2991.4848152295599</v>
      </c>
      <c r="N118" s="13">
        <v>2991.4848152295599</v>
      </c>
      <c r="O118" s="13">
        <v>2991.4848152295599</v>
      </c>
      <c r="P118" s="13">
        <v>2991.4848152295599</v>
      </c>
      <c r="Q118" s="13">
        <v>2991.4848152295599</v>
      </c>
      <c r="R118" s="13">
        <v>2991.4848152295599</v>
      </c>
      <c r="S118" s="13">
        <v>2991.4848152295599</v>
      </c>
      <c r="T118" s="13">
        <v>2991.4848152295599</v>
      </c>
      <c r="U118" s="13">
        <v>2991.4848152295599</v>
      </c>
      <c r="V118" s="13">
        <v>2991.4848152295599</v>
      </c>
      <c r="W118" s="13">
        <v>2991.4848152295599</v>
      </c>
      <c r="X118" s="13">
        <v>2991.4848152295599</v>
      </c>
      <c r="Y118" s="13">
        <v>2991.4848152295599</v>
      </c>
      <c r="Z118" s="13">
        <v>2991.4848152295599</v>
      </c>
      <c r="AA118" s="13">
        <v>2991.4848152295599</v>
      </c>
      <c r="AB118" s="13">
        <v>2991.4848152295599</v>
      </c>
      <c r="AC118" s="13">
        <v>2991.4848152295599</v>
      </c>
      <c r="AD118" s="13">
        <v>2991.4848152295599</v>
      </c>
      <c r="AE118" s="13">
        <v>2991.4848152295599</v>
      </c>
      <c r="AF118" s="13">
        <v>2991.4848152295599</v>
      </c>
      <c r="AG118" s="13">
        <v>2991.4848152295599</v>
      </c>
      <c r="AH118" s="13">
        <v>2991.4848152295599</v>
      </c>
      <c r="AI118" s="13">
        <v>2991.4848152295599</v>
      </c>
      <c r="AJ118" s="13">
        <v>2991.4848152295599</v>
      </c>
      <c r="AK118" s="13">
        <v>2991.4848152295599</v>
      </c>
      <c r="AL118" s="56">
        <v>2991.4848152295599</v>
      </c>
      <c r="AM118" s="10"/>
    </row>
    <row r="119" spans="2:39">
      <c r="B119" s="10"/>
      <c r="C119" s="16" t="str">
        <f>zEO&amp;" Costs"</f>
        <v>Operating Costs</v>
      </c>
      <c r="D119" s="12" t="str">
        <f>_yearDol &amp; "$"</f>
        <v>2015$</v>
      </c>
      <c r="E119" s="13">
        <f t="array" aca="1" ref="E119:AL119" ca="1">(tlccEFuElecbc2) + IF(bOSav,SUMPRODUCT(dFactor,tpSurvInMx,INDEX(mrInMx,1,3)*allOnes),0)</f>
        <v>17901.926374849387</v>
      </c>
      <c r="F119" s="13">
        <f ca="1"/>
        <v>18048.071327515408</v>
      </c>
      <c r="G119" s="13">
        <f ca="1"/>
        <v>18189.725336791573</v>
      </c>
      <c r="H119" s="13">
        <f ca="1"/>
        <v>18317.212348498691</v>
      </c>
      <c r="I119" s="13">
        <f ca="1"/>
        <v>18432.581932722707</v>
      </c>
      <c r="J119" s="13">
        <f ca="1"/>
        <v>18548.693647589844</v>
      </c>
      <c r="K119" s="13">
        <f ca="1"/>
        <v>18665.552379911784</v>
      </c>
      <c r="L119" s="13">
        <f ca="1"/>
        <v>18783.16304948588</v>
      </c>
      <c r="M119" s="13">
        <f ca="1"/>
        <v>18901.530609323469</v>
      </c>
      <c r="N119" s="13">
        <f ca="1"/>
        <v>19020.660045879733</v>
      </c>
      <c r="O119" s="13">
        <f ca="1"/>
        <v>19140.556379285241</v>
      </c>
      <c r="P119" s="13">
        <f ca="1"/>
        <v>19261.224663579131</v>
      </c>
      <c r="Q119" s="13">
        <f ca="1"/>
        <v>19382.669986943944</v>
      </c>
      <c r="R119" s="13">
        <f ca="1"/>
        <v>19504.897471942029</v>
      </c>
      <c r="S119" s="13">
        <f ca="1"/>
        <v>19627.912275753835</v>
      </c>
      <c r="T119" s="13">
        <f ca="1"/>
        <v>19751.719590417692</v>
      </c>
      <c r="U119" s="13">
        <f ca="1"/>
        <v>19876.324643071377</v>
      </c>
      <c r="V119" s="13">
        <f ca="1"/>
        <v>20001.732696195442</v>
      </c>
      <c r="W119" s="13">
        <f ca="1"/>
        <v>20127.949047858088</v>
      </c>
      <c r="X119" s="13">
        <f ca="1"/>
        <v>20254.979031962066</v>
      </c>
      <c r="Y119" s="13">
        <f ca="1"/>
        <v>20382.828018493055</v>
      </c>
      <c r="Z119" s="13">
        <f ca="1"/>
        <v>20511.501413769955</v>
      </c>
      <c r="AA119" s="13">
        <f ca="1"/>
        <v>20641.004660696944</v>
      </c>
      <c r="AB119" s="13">
        <f ca="1"/>
        <v>20771.343239017224</v>
      </c>
      <c r="AC119" s="13">
        <f ca="1"/>
        <v>20902.52266556878</v>
      </c>
      <c r="AD119" s="13">
        <f ca="1"/>
        <v>21034.54849454169</v>
      </c>
      <c r="AE119" s="13">
        <f ca="1"/>
        <v>21167.426317737518</v>
      </c>
      <c r="AF119" s="13">
        <f ca="1"/>
        <v>21301.161764830267</v>
      </c>
      <c r="AG119" s="13">
        <f ca="1"/>
        <v>21435.760503629615</v>
      </c>
      <c r="AH119" s="13">
        <f ca="1"/>
        <v>21571.228240345456</v>
      </c>
      <c r="AI119" s="13">
        <f ca="1"/>
        <v>21707.570719854863</v>
      </c>
      <c r="AJ119" s="13">
        <f ca="1"/>
        <v>21844.793725970569</v>
      </c>
      <c r="AK119" s="13">
        <f ca="1"/>
        <v>21982.903081711571</v>
      </c>
      <c r="AL119" s="56">
        <f ca="1"/>
        <v>22121.904649575608</v>
      </c>
      <c r="AM119" s="10"/>
    </row>
    <row r="120" spans="2:39">
      <c r="B120" s="10"/>
      <c r="C120" s="28" t="str">
        <f>INDEX(_fuel,1)</f>
        <v>Electricity</v>
      </c>
      <c r="D120" s="12" t="str">
        <f>_yearDol &amp; "$"</f>
        <v>2015$</v>
      </c>
      <c r="E120" s="13">
        <f ca="1">SUMPRODUCT(dFactor,tpSurvInMx,INDEX(elecInMx,1,3)*allOnes,OFFSET(tPrcElec,0,0,1,_maxLT))</f>
        <v>17901.926374849387</v>
      </c>
      <c r="F120" s="13">
        <f ca="1">SUMPRODUCT(dFactor,tpSurvInMx,INDEX(elecInMx,1,3)*allOnes,OFFSET(tPrcElec,0,1,1,_maxLT))</f>
        <v>18048.071327515408</v>
      </c>
      <c r="G120" s="13">
        <f ca="1">SUMPRODUCT(dFactor,tpSurvInMx,INDEX(elecInMx,1,3)*allOnes,OFFSET(tPrcElec,0,2,1,_maxLT))</f>
        <v>18189.725336791573</v>
      </c>
      <c r="H120" s="13">
        <f ca="1">SUMPRODUCT(dFactor,tpSurvInMx,INDEX(elecInMx,1,3)*allOnes,OFFSET(tPrcElec,0,3,1,_maxLT))</f>
        <v>18317.212348498691</v>
      </c>
      <c r="I120" s="13">
        <f ca="1">SUMPRODUCT(dFactor,tpSurvInMx,INDEX(elecInMx,1,3)*allOnes,OFFSET(tPrcElec,0,4,1,_maxLT))</f>
        <v>18432.581932722707</v>
      </c>
      <c r="J120" s="13">
        <f ca="1">SUMPRODUCT(dFactor,tpSurvInMx,INDEX(elecInMx,1,3)*allOnes,OFFSET(tPrcElec,0,5,1,_maxLT))</f>
        <v>18548.693647589844</v>
      </c>
      <c r="K120" s="13">
        <f ca="1">SUMPRODUCT(dFactor,tpSurvInMx,INDEX(elecInMx,1,3)*allOnes,OFFSET(tPrcElec,0,6,1,_maxLT))</f>
        <v>18665.552379911784</v>
      </c>
      <c r="L120" s="13">
        <f ca="1">SUMPRODUCT(dFactor,tpSurvInMx,INDEX(elecInMx,1,3)*allOnes,OFFSET(tPrcElec,0,7,1,_maxLT))</f>
        <v>18783.16304948588</v>
      </c>
      <c r="M120" s="13">
        <f ca="1">SUMPRODUCT(dFactor,tpSurvInMx,INDEX(elecInMx,1,3)*allOnes,OFFSET(tPrcElec,0,8,1,_maxLT))</f>
        <v>18901.530609323469</v>
      </c>
      <c r="N120" s="13">
        <f ca="1">SUMPRODUCT(dFactor,tpSurvInMx,INDEX(elecInMx,1,3)*allOnes,OFFSET(tPrcElec,0,9,1,_maxLT))</f>
        <v>19020.660045879733</v>
      </c>
      <c r="O120" s="13">
        <f ca="1">SUMPRODUCT(dFactor,tpSurvInMx,INDEX(elecInMx,1,3)*allOnes,OFFSET(tPrcElec,0,10,1,_maxLT))</f>
        <v>19140.556379285241</v>
      </c>
      <c r="P120" s="13">
        <f ca="1">SUMPRODUCT(dFactor,tpSurvInMx,INDEX(elecInMx,1,3)*allOnes,OFFSET(tPrcElec,0,11,1,_maxLT))</f>
        <v>19261.224663579131</v>
      </c>
      <c r="Q120" s="13">
        <f ca="1">SUMPRODUCT(dFactor,tpSurvInMx,INDEX(elecInMx,1,3)*allOnes,OFFSET(tPrcElec,0,12,1,_maxLT))</f>
        <v>19382.669986943944</v>
      </c>
      <c r="R120" s="13">
        <f ca="1">SUMPRODUCT(dFactor,tpSurvInMx,INDEX(elecInMx,1,3)*allOnes,OFFSET(tPrcElec,0,13,1,_maxLT))</f>
        <v>19504.897471942029</v>
      </c>
      <c r="S120" s="13">
        <f ca="1">SUMPRODUCT(dFactor,tpSurvInMx,INDEX(elecInMx,1,3)*allOnes,OFFSET(tPrcElec,0,14,1,_maxLT))</f>
        <v>19627.912275753835</v>
      </c>
      <c r="T120" s="13">
        <f ca="1">SUMPRODUCT(dFactor,tpSurvInMx,INDEX(elecInMx,1,3)*allOnes,OFFSET(tPrcElec,0,15,1,_maxLT))</f>
        <v>19751.719590417692</v>
      </c>
      <c r="U120" s="13">
        <f ca="1">SUMPRODUCT(dFactor,tpSurvInMx,INDEX(elecInMx,1,3)*allOnes,OFFSET(tPrcElec,0,16,1,_maxLT))</f>
        <v>19876.324643071377</v>
      </c>
      <c r="V120" s="13">
        <f ca="1">SUMPRODUCT(dFactor,tpSurvInMx,INDEX(elecInMx,1,3)*allOnes,OFFSET(tPrcElec,0,17,1,_maxLT))</f>
        <v>20001.732696195442</v>
      </c>
      <c r="W120" s="13">
        <f ca="1">SUMPRODUCT(dFactor,tpSurvInMx,INDEX(elecInMx,1,3)*allOnes,OFFSET(tPrcElec,0,18,1,_maxLT))</f>
        <v>20127.949047858088</v>
      </c>
      <c r="X120" s="13">
        <f ca="1">SUMPRODUCT(dFactor,tpSurvInMx,INDEX(elecInMx,1,3)*allOnes,OFFSET(tPrcElec,0,19,1,_maxLT))</f>
        <v>20254.979031962066</v>
      </c>
      <c r="Y120" s="13">
        <f ca="1">SUMPRODUCT(dFactor,tpSurvInMx,INDEX(elecInMx,1,3)*allOnes,OFFSET(tPrcElec,0,20,1,_maxLT))</f>
        <v>20382.828018493055</v>
      </c>
      <c r="Z120" s="13">
        <f ca="1">SUMPRODUCT(dFactor,tpSurvInMx,INDEX(elecInMx,1,3)*allOnes,OFFSET(tPrcElec,0,21,1,_maxLT))</f>
        <v>20511.501413769955</v>
      </c>
      <c r="AA120" s="13">
        <f ca="1">SUMPRODUCT(dFactor,tpSurvInMx,INDEX(elecInMx,1,3)*allOnes,OFFSET(tPrcElec,0,22,1,_maxLT))</f>
        <v>20641.004660696944</v>
      </c>
      <c r="AB120" s="13">
        <f ca="1">SUMPRODUCT(dFactor,tpSurvInMx,INDEX(elecInMx,1,3)*allOnes,OFFSET(tPrcElec,0,23,1,_maxLT))</f>
        <v>20771.343239017224</v>
      </c>
      <c r="AC120" s="13">
        <f ca="1">SUMPRODUCT(dFactor,tpSurvInMx,INDEX(elecInMx,1,3)*allOnes,OFFSET(tPrcElec,0,24,1,_maxLT))</f>
        <v>20902.52266556878</v>
      </c>
      <c r="AD120" s="13">
        <f ca="1">SUMPRODUCT(dFactor,tpSurvInMx,INDEX(elecInMx,1,3)*allOnes,OFFSET(tPrcElec,0,25,1,_maxLT))</f>
        <v>21034.54849454169</v>
      </c>
      <c r="AE120" s="13">
        <f ca="1">SUMPRODUCT(dFactor,tpSurvInMx,INDEX(elecInMx,1,3)*allOnes,OFFSET(tPrcElec,0,26,1,_maxLT))</f>
        <v>21167.426317737518</v>
      </c>
      <c r="AF120" s="13">
        <f ca="1">SUMPRODUCT(dFactor,tpSurvInMx,INDEX(elecInMx,1,3)*allOnes,OFFSET(tPrcElec,0,27,1,_maxLT))</f>
        <v>21301.161764830267</v>
      </c>
      <c r="AG120" s="13">
        <f ca="1">SUMPRODUCT(dFactor,tpSurvInMx,INDEX(elecInMx,1,3)*allOnes,OFFSET(tPrcElec,0,28,1,_maxLT))</f>
        <v>21435.760503629615</v>
      </c>
      <c r="AH120" s="13">
        <f ca="1">SUMPRODUCT(dFactor,tpSurvInMx,INDEX(elecInMx,1,3)*allOnes,OFFSET(tPrcElec,0,29,1,_maxLT))</f>
        <v>21571.228240345456</v>
      </c>
      <c r="AI120" s="13">
        <f ca="1">SUMPRODUCT(dFactor,tpSurvInMx,INDEX(elecInMx,1,3)*allOnes,OFFSET(tPrcElec,0,30,1,_maxLT))</f>
        <v>21707.570719854863</v>
      </c>
      <c r="AJ120" s="13">
        <f ca="1">SUMPRODUCT(dFactor,tpSurvInMx,INDEX(elecInMx,1,3)*allOnes,OFFSET(tPrcElec,0,31,1,_maxLT))</f>
        <v>21844.793725970569</v>
      </c>
      <c r="AK120" s="13">
        <f ca="1">SUMPRODUCT(dFactor,tpSurvInMx,INDEX(elecInMx,1,3)*allOnes,OFFSET(tPrcElec,0,32,1,_maxLT))</f>
        <v>21982.903081711571</v>
      </c>
      <c r="AL120" s="56">
        <f ca="1">SUMPRODUCT(dFactor,tpSurvInMx,INDEX(elecInMx,1,3)*allOnes,OFFSET(tPrcElec,0,33,1,_maxLT))</f>
        <v>22121.904649575608</v>
      </c>
      <c r="AM120" s="10"/>
    </row>
    <row r="121" spans="2:39">
      <c r="B121" s="10"/>
      <c r="C121" s="16" t="s">
        <v>79</v>
      </c>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5"/>
      <c r="AM121" s="10"/>
    </row>
    <row r="122" spans="2:39">
      <c r="B122" s="10"/>
      <c r="C122" s="28" t="str">
        <f>INDEX(_fuel,1)</f>
        <v>Electricity</v>
      </c>
      <c r="D122" s="12" t="s">
        <v>83</v>
      </c>
      <c r="E122" s="39">
        <f ca="1">SUMPRODUCT(OFFSET(tConvElecInMx,0,0,1,_maxLT),INDEX(elecInMx,1,3)*allOnes,tpSurvInMx)</f>
        <v>3547.7544698966749</v>
      </c>
      <c r="F122" s="39">
        <f ca="1">SUMPRODUCT(OFFSET(tConvElecInMx,0,1,1,_maxLT),INDEX(elecInMx,1,3)*allOnes,tpSurvInMx)</f>
        <v>3521.9901856395572</v>
      </c>
      <c r="G122" s="39">
        <f ca="1">SUMPRODUCT(OFFSET(tConvElecInMx,0,2,1,_maxLT),INDEX(elecInMx,1,3)*allOnes,tpSurvInMx)</f>
        <v>3499.2456914072018</v>
      </c>
      <c r="H122" s="39">
        <f ca="1">SUMPRODUCT(OFFSET(tConvElecInMx,0,3,1,_maxLT),INDEX(elecInMx,1,3)*allOnes,tpSurvInMx)</f>
        <v>3477.6258304825687</v>
      </c>
      <c r="I122" s="39">
        <f ca="1">SUMPRODUCT(OFFSET(tConvElecInMx,0,4,1,_maxLT),INDEX(elecInMx,1,3)*allOnes,tpSurvInMx)</f>
        <v>3458.6836483155839</v>
      </c>
      <c r="J122" s="39">
        <f ca="1">SUMPRODUCT(OFFSET(tConvElecInMx,0,5,1,_maxLT),INDEX(elecInMx,1,3)*allOnes,tpSurvInMx)</f>
        <v>3443.898207394478</v>
      </c>
      <c r="K122" s="39">
        <f ca="1">SUMPRODUCT(OFFSET(tConvElecInMx,0,6,1,_maxLT),INDEX(elecInMx,1,3)*allOnes,tpSurvInMx)</f>
        <v>3431.540910824312</v>
      </c>
      <c r="L122" s="39">
        <f ca="1">SUMPRODUCT(OFFSET(tConvElecInMx,0,7,1,_maxLT),INDEX(elecInMx,1,3)*allOnes,tpSurvInMx)</f>
        <v>3419.1112202437398</v>
      </c>
      <c r="M122" s="39">
        <f ca="1">SUMPRODUCT(OFFSET(tConvElecInMx,0,8,1,_maxLT),INDEX(elecInMx,1,3)*allOnes,tpSurvInMx)</f>
        <v>3409.0924029505904</v>
      </c>
      <c r="N122" s="39">
        <f ca="1">SUMPRODUCT(OFFSET(tConvElecInMx,0,9,1,_maxLT),INDEX(elecInMx,1,3)*allOnes,tpSurvInMx)</f>
        <v>3402.0760531346359</v>
      </c>
      <c r="O122" s="39">
        <f ca="1">SUMPRODUCT(OFFSET(tConvElecInMx,0,10,1,_maxLT),INDEX(elecInMx,1,3)*allOnes,tpSurvInMx)</f>
        <v>3396.8846228579077</v>
      </c>
      <c r="P122" s="39">
        <f ca="1">SUMPRODUCT(OFFSET(tConvElecInMx,0,11,1,_maxLT),INDEX(elecInMx,1,3)*allOnes,tpSurvInMx)</f>
        <v>3392.4677209452584</v>
      </c>
      <c r="Q122" s="39">
        <f ca="1">SUMPRODUCT(OFFSET(tConvElecInMx,0,12,1,_maxLT),INDEX(elecInMx,1,3)*allOnes,tpSurvInMx)</f>
        <v>3389.1602694980356</v>
      </c>
      <c r="R122" s="39">
        <f ca="1">SUMPRODUCT(OFFSET(tConvElecInMx,0,13,1,_maxLT),INDEX(elecInMx,1,3)*allOnes,tpSurvInMx)</f>
        <v>3386.5924770997126</v>
      </c>
      <c r="S122" s="39">
        <f ca="1">SUMPRODUCT(OFFSET(tConvElecInMx,0,14,1,_maxLT),INDEX(elecInMx,1,3)*allOnes,tpSurvInMx)</f>
        <v>3386.0975804643213</v>
      </c>
      <c r="T122" s="39">
        <f ca="1">SUMPRODUCT(OFFSET(tConvElecInMx,0,15,1,_maxLT),INDEX(elecInMx,1,3)*allOnes,tpSurvInMx)</f>
        <v>3386.5462246438519</v>
      </c>
      <c r="U122" s="39">
        <f ca="1">SUMPRODUCT(OFFSET(tConvElecInMx,0,16,1,_maxLT),INDEX(elecInMx,1,3)*allOnes,tpSurvInMx)</f>
        <v>3387.3058045279486</v>
      </c>
      <c r="V122" s="39">
        <f ca="1">SUMPRODUCT(OFFSET(tConvElecInMx,0,17,1,_maxLT),INDEX(elecInMx,1,3)*allOnes,tpSurvInMx)</f>
        <v>3388.4632131229555</v>
      </c>
      <c r="W122" s="39">
        <f ca="1">SUMPRODUCT(OFFSET(tConvElecInMx,0,18,1,_maxLT),INDEX(elecInMx,1,3)*allOnes,tpSurvInMx)</f>
        <v>3389.5712783855688</v>
      </c>
      <c r="X122" s="39">
        <f ca="1">SUMPRODUCT(OFFSET(tConvElecInMx,0,19,1,_maxLT),INDEX(elecInMx,1,3)*allOnes,tpSurvInMx)</f>
        <v>3390.4894191683443</v>
      </c>
      <c r="Y122" s="39">
        <f ca="1">SUMPRODUCT(OFFSET(tConvElecInMx,0,20,1,_maxLT),INDEX(elecInMx,1,3)*allOnes,tpSurvInMx)</f>
        <v>3391.1050989448695</v>
      </c>
      <c r="Z122" s="39">
        <f ca="1">SUMPRODUCT(OFFSET(tConvElecInMx,0,21,1,_maxLT),INDEX(elecInMx,1,3)*allOnes,tpSurvInMx)</f>
        <v>3391.5295904192344</v>
      </c>
      <c r="AA122" s="39">
        <f ca="1">SUMPRODUCT(OFFSET(tConvElecInMx,0,22,1,_maxLT),INDEX(elecInMx,1,3)*allOnes,tpSurvInMx)</f>
        <v>3391.5295904192344</v>
      </c>
      <c r="AB122" s="39">
        <f ca="1">SUMPRODUCT(OFFSET(tConvElecInMx,0,23,1,_maxLT),INDEX(elecInMx,1,3)*allOnes,tpSurvInMx)</f>
        <v>3391.5295904192344</v>
      </c>
      <c r="AC122" s="39">
        <f ca="1">SUMPRODUCT(OFFSET(tConvElecInMx,0,24,1,_maxLT),INDEX(elecInMx,1,3)*allOnes,tpSurvInMx)</f>
        <v>3391.5295904192344</v>
      </c>
      <c r="AD122" s="39">
        <f ca="1">SUMPRODUCT(OFFSET(tConvElecInMx,0,25,1,_maxLT),INDEX(elecInMx,1,3)*allOnes,tpSurvInMx)</f>
        <v>3391.5295904192344</v>
      </c>
      <c r="AE122" s="39">
        <f ca="1">SUMPRODUCT(OFFSET(tConvElecInMx,0,26,1,_maxLT),INDEX(elecInMx,1,3)*allOnes,tpSurvInMx)</f>
        <v>3391.5295904192344</v>
      </c>
      <c r="AF122" s="39">
        <f ca="1">SUMPRODUCT(OFFSET(tConvElecInMx,0,27,1,_maxLT),INDEX(elecInMx,1,3)*allOnes,tpSurvInMx)</f>
        <v>3391.5295904192344</v>
      </c>
      <c r="AG122" s="39">
        <f ca="1">SUMPRODUCT(OFFSET(tConvElecInMx,0,28,1,_maxLT),INDEX(elecInMx,1,3)*allOnes,tpSurvInMx)</f>
        <v>3391.5295904192344</v>
      </c>
      <c r="AH122" s="39">
        <f ca="1">SUMPRODUCT(OFFSET(tConvElecInMx,0,29,1,_maxLT),INDEX(elecInMx,1,3)*allOnes,tpSurvInMx)</f>
        <v>3391.5295904192344</v>
      </c>
      <c r="AI122" s="39">
        <f ca="1">SUMPRODUCT(OFFSET(tConvElecInMx,0,30,1,_maxLT),INDEX(elecInMx,1,3)*allOnes,tpSurvInMx)</f>
        <v>3391.5295904192344</v>
      </c>
      <c r="AJ122" s="39">
        <f ca="1">SUMPRODUCT(OFFSET(tConvElecInMx,0,31,1,_maxLT),INDEX(elecInMx,1,3)*allOnes,tpSurvInMx)</f>
        <v>3391.5295904192344</v>
      </c>
      <c r="AK122" s="39">
        <f ca="1">SUMPRODUCT(OFFSET(tConvElecInMx,0,32,1,_maxLT),INDEX(elecInMx,1,3)*allOnes,tpSurvInMx)</f>
        <v>3391.5295904192344</v>
      </c>
      <c r="AL122" s="40">
        <f ca="1">SUMPRODUCT(OFFSET(tConvElecInMx,0,33,1,_maxLT),INDEX(elecInMx,1,3)*allOnes,tpSurvInMx)</f>
        <v>3391.5295904192344</v>
      </c>
      <c r="AM122" s="10"/>
    </row>
    <row r="123" spans="2:39">
      <c r="B123" s="10"/>
      <c r="C123" s="57" t="str">
        <f>"EL 3: " &amp; INDEX(_doName,5,4)</f>
        <v>EL 3: EL 3</v>
      </c>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3"/>
      <c r="AM123" s="10"/>
    </row>
    <row r="124" spans="2:39">
      <c r="B124" s="10"/>
      <c r="C124" s="16" t="s">
        <v>69</v>
      </c>
      <c r="D124" s="12" t="str">
        <f>_yearDol &amp; "$"</f>
        <v>2015$</v>
      </c>
      <c r="E124" s="13">
        <f t="array" ref="E124:AL124">INDEX(mspInMx,1,4)*tPIdxAll + INDEX(instInMx,1,4) + IF(bESav,SUMPRODUCT(dFactor,tpSurvInMx,INDEX(mrInMx,1,4)*allOnes),0)</f>
        <v>2795.4998600645899</v>
      </c>
      <c r="F124" s="13">
        <v>2795.4998600645899</v>
      </c>
      <c r="G124" s="13">
        <v>2795.4998600645899</v>
      </c>
      <c r="H124" s="13">
        <v>2795.4998600645899</v>
      </c>
      <c r="I124" s="13">
        <v>2795.4998600645899</v>
      </c>
      <c r="J124" s="13">
        <v>2795.4998600645899</v>
      </c>
      <c r="K124" s="13">
        <v>2795.4998600645899</v>
      </c>
      <c r="L124" s="13">
        <v>2795.4998600645899</v>
      </c>
      <c r="M124" s="13">
        <v>2795.4998600645899</v>
      </c>
      <c r="N124" s="13">
        <v>2795.4998600645899</v>
      </c>
      <c r="O124" s="13">
        <v>2795.4998600645899</v>
      </c>
      <c r="P124" s="13">
        <v>2795.4998600645899</v>
      </c>
      <c r="Q124" s="13">
        <v>2795.4998600645899</v>
      </c>
      <c r="R124" s="13">
        <v>2795.4998600645899</v>
      </c>
      <c r="S124" s="13">
        <v>2795.4998600645899</v>
      </c>
      <c r="T124" s="13">
        <v>2795.4998600645899</v>
      </c>
      <c r="U124" s="13">
        <v>2795.4998600645899</v>
      </c>
      <c r="V124" s="13">
        <v>2795.4998600645899</v>
      </c>
      <c r="W124" s="13">
        <v>2795.4998600645899</v>
      </c>
      <c r="X124" s="13">
        <v>2795.4998600645899</v>
      </c>
      <c r="Y124" s="13">
        <v>2795.4998600645899</v>
      </c>
      <c r="Z124" s="13">
        <v>2795.4998600645899</v>
      </c>
      <c r="AA124" s="13">
        <v>2795.4998600645899</v>
      </c>
      <c r="AB124" s="13">
        <v>2795.4998600645899</v>
      </c>
      <c r="AC124" s="13">
        <v>2795.4998600645899</v>
      </c>
      <c r="AD124" s="13">
        <v>2795.4998600645899</v>
      </c>
      <c r="AE124" s="13">
        <v>2795.4998600645899</v>
      </c>
      <c r="AF124" s="13">
        <v>2795.4998600645899</v>
      </c>
      <c r="AG124" s="13">
        <v>2795.4998600645899</v>
      </c>
      <c r="AH124" s="13">
        <v>2795.4998600645899</v>
      </c>
      <c r="AI124" s="13">
        <v>2795.4998600645899</v>
      </c>
      <c r="AJ124" s="13">
        <v>2795.4998600645899</v>
      </c>
      <c r="AK124" s="13">
        <v>2795.4998600645899</v>
      </c>
      <c r="AL124" s="56">
        <v>2795.4998600645899</v>
      </c>
      <c r="AM124" s="10"/>
    </row>
    <row r="125" spans="2:39">
      <c r="B125" s="10"/>
      <c r="C125" s="16" t="str">
        <f>zEO&amp;" Costs"</f>
        <v>Operating Costs</v>
      </c>
      <c r="D125" s="12" t="str">
        <f>_yearDol &amp; "$"</f>
        <v>2015$</v>
      </c>
      <c r="E125" s="13">
        <f t="array" aca="1" ref="E125:AL125" ca="1">(tlccEFuElecbc3) + IF(bOSav,SUMPRODUCT(dFactor,tpSurvInMx,INDEX(mrInMx,1,4)*allOnes),0)</f>
        <v>16435.916950997518</v>
      </c>
      <c r="F125" s="13">
        <f ca="1"/>
        <v>16570.09392472258</v>
      </c>
      <c r="G125" s="13">
        <f ca="1"/>
        <v>16700.147723598086</v>
      </c>
      <c r="H125" s="13">
        <f ca="1"/>
        <v>16817.194676695406</v>
      </c>
      <c r="I125" s="13">
        <f ca="1"/>
        <v>16923.116512439381</v>
      </c>
      <c r="J125" s="13">
        <f ca="1"/>
        <v>17029.719704891075</v>
      </c>
      <c r="K125" s="13">
        <f ca="1"/>
        <v>17137.008740675545</v>
      </c>
      <c r="L125" s="13">
        <f ca="1"/>
        <v>17244.988136702254</v>
      </c>
      <c r="M125" s="13">
        <f ca="1"/>
        <v>17353.662440374745</v>
      </c>
      <c r="N125" s="13">
        <f ca="1"/>
        <v>17463.036229801593</v>
      </c>
      <c r="O125" s="13">
        <f ca="1"/>
        <v>17573.114114009117</v>
      </c>
      <c r="P125" s="13">
        <f ca="1"/>
        <v>17683.900733155322</v>
      </c>
      <c r="Q125" s="13">
        <f ca="1"/>
        <v>17795.400758745596</v>
      </c>
      <c r="R125" s="13">
        <f ca="1"/>
        <v>17907.618893849773</v>
      </c>
      <c r="S125" s="13">
        <f ca="1"/>
        <v>18020.559873320817</v>
      </c>
      <c r="T125" s="13">
        <f ca="1"/>
        <v>18134.228464015061</v>
      </c>
      <c r="U125" s="13">
        <f ca="1"/>
        <v>18248.629465013928</v>
      </c>
      <c r="V125" s="13">
        <f ca="1"/>
        <v>18363.76770784735</v>
      </c>
      <c r="W125" s="13">
        <f ca="1"/>
        <v>18479.648056718594</v>
      </c>
      <c r="X125" s="13">
        <f ca="1"/>
        <v>18596.275408730999</v>
      </c>
      <c r="Y125" s="13">
        <f ca="1"/>
        <v>18713.65469411587</v>
      </c>
      <c r="Z125" s="13">
        <f ca="1"/>
        <v>18831.790876462437</v>
      </c>
      <c r="AA125" s="13">
        <f ca="1"/>
        <v>18950.688952949149</v>
      </c>
      <c r="AB125" s="13">
        <f ca="1"/>
        <v>19070.353954576742</v>
      </c>
      <c r="AC125" s="13">
        <f ca="1"/>
        <v>19190.790946402947</v>
      </c>
      <c r="AD125" s="13">
        <f ca="1"/>
        <v>19312.00502777877</v>
      </c>
      <c r="AE125" s="13">
        <f ca="1"/>
        <v>19434.001332586729</v>
      </c>
      <c r="AF125" s="13">
        <f ca="1"/>
        <v>19556.785029480368</v>
      </c>
      <c r="AG125" s="13">
        <f ca="1"/>
        <v>19680.361322125773</v>
      </c>
      <c r="AH125" s="13">
        <f ca="1"/>
        <v>19804.735449444794</v>
      </c>
      <c r="AI125" s="13">
        <f ca="1"/>
        <v>19929.912685859843</v>
      </c>
      <c r="AJ125" s="13">
        <f ca="1"/>
        <v>20055.898341540593</v>
      </c>
      <c r="AK125" s="13">
        <f ca="1"/>
        <v>20182.697762652278</v>
      </c>
      <c r="AL125" s="56">
        <f ca="1"/>
        <v>20310.316331605925</v>
      </c>
      <c r="AM125" s="10"/>
    </row>
    <row r="126" spans="2:39">
      <c r="B126" s="10"/>
      <c r="C126" s="28" t="str">
        <f>INDEX(_fuel,1)</f>
        <v>Electricity</v>
      </c>
      <c r="D126" s="12" t="str">
        <f>_yearDol &amp; "$"</f>
        <v>2015$</v>
      </c>
      <c r="E126" s="13">
        <f ca="1">SUMPRODUCT(dFactor,tpSurvInMx,INDEX(elecInMx,1,4)*allOnes,OFFSET(tPrcElec,0,0,1,_maxLT))</f>
        <v>16435.916950997518</v>
      </c>
      <c r="F126" s="13">
        <f ca="1">SUMPRODUCT(dFactor,tpSurvInMx,INDEX(elecInMx,1,4)*allOnes,OFFSET(tPrcElec,0,1,1,_maxLT))</f>
        <v>16570.09392472258</v>
      </c>
      <c r="G126" s="13">
        <f ca="1">SUMPRODUCT(dFactor,tpSurvInMx,INDEX(elecInMx,1,4)*allOnes,OFFSET(tPrcElec,0,2,1,_maxLT))</f>
        <v>16700.147723598086</v>
      </c>
      <c r="H126" s="13">
        <f ca="1">SUMPRODUCT(dFactor,tpSurvInMx,INDEX(elecInMx,1,4)*allOnes,OFFSET(tPrcElec,0,3,1,_maxLT))</f>
        <v>16817.194676695406</v>
      </c>
      <c r="I126" s="13">
        <f ca="1">SUMPRODUCT(dFactor,tpSurvInMx,INDEX(elecInMx,1,4)*allOnes,OFFSET(tPrcElec,0,4,1,_maxLT))</f>
        <v>16923.116512439381</v>
      </c>
      <c r="J126" s="13">
        <f ca="1">SUMPRODUCT(dFactor,tpSurvInMx,INDEX(elecInMx,1,4)*allOnes,OFFSET(tPrcElec,0,5,1,_maxLT))</f>
        <v>17029.719704891075</v>
      </c>
      <c r="K126" s="13">
        <f ca="1">SUMPRODUCT(dFactor,tpSurvInMx,INDEX(elecInMx,1,4)*allOnes,OFFSET(tPrcElec,0,6,1,_maxLT))</f>
        <v>17137.008740675545</v>
      </c>
      <c r="L126" s="13">
        <f ca="1">SUMPRODUCT(dFactor,tpSurvInMx,INDEX(elecInMx,1,4)*allOnes,OFFSET(tPrcElec,0,7,1,_maxLT))</f>
        <v>17244.988136702254</v>
      </c>
      <c r="M126" s="13">
        <f ca="1">SUMPRODUCT(dFactor,tpSurvInMx,INDEX(elecInMx,1,4)*allOnes,OFFSET(tPrcElec,0,8,1,_maxLT))</f>
        <v>17353.662440374745</v>
      </c>
      <c r="N126" s="13">
        <f ca="1">SUMPRODUCT(dFactor,tpSurvInMx,INDEX(elecInMx,1,4)*allOnes,OFFSET(tPrcElec,0,9,1,_maxLT))</f>
        <v>17463.036229801593</v>
      </c>
      <c r="O126" s="13">
        <f ca="1">SUMPRODUCT(dFactor,tpSurvInMx,INDEX(elecInMx,1,4)*allOnes,OFFSET(tPrcElec,0,10,1,_maxLT))</f>
        <v>17573.114114009117</v>
      </c>
      <c r="P126" s="13">
        <f ca="1">SUMPRODUCT(dFactor,tpSurvInMx,INDEX(elecInMx,1,4)*allOnes,OFFSET(tPrcElec,0,11,1,_maxLT))</f>
        <v>17683.900733155322</v>
      </c>
      <c r="Q126" s="13">
        <f ca="1">SUMPRODUCT(dFactor,tpSurvInMx,INDEX(elecInMx,1,4)*allOnes,OFFSET(tPrcElec,0,12,1,_maxLT))</f>
        <v>17795.400758745596</v>
      </c>
      <c r="R126" s="13">
        <f ca="1">SUMPRODUCT(dFactor,tpSurvInMx,INDEX(elecInMx,1,4)*allOnes,OFFSET(tPrcElec,0,13,1,_maxLT))</f>
        <v>17907.618893849773</v>
      </c>
      <c r="S126" s="13">
        <f ca="1">SUMPRODUCT(dFactor,tpSurvInMx,INDEX(elecInMx,1,4)*allOnes,OFFSET(tPrcElec,0,14,1,_maxLT))</f>
        <v>18020.559873320817</v>
      </c>
      <c r="T126" s="13">
        <f ca="1">SUMPRODUCT(dFactor,tpSurvInMx,INDEX(elecInMx,1,4)*allOnes,OFFSET(tPrcElec,0,15,1,_maxLT))</f>
        <v>18134.228464015061</v>
      </c>
      <c r="U126" s="13">
        <f ca="1">SUMPRODUCT(dFactor,tpSurvInMx,INDEX(elecInMx,1,4)*allOnes,OFFSET(tPrcElec,0,16,1,_maxLT))</f>
        <v>18248.629465013928</v>
      </c>
      <c r="V126" s="13">
        <f ca="1">SUMPRODUCT(dFactor,tpSurvInMx,INDEX(elecInMx,1,4)*allOnes,OFFSET(tPrcElec,0,17,1,_maxLT))</f>
        <v>18363.76770784735</v>
      </c>
      <c r="W126" s="13">
        <f ca="1">SUMPRODUCT(dFactor,tpSurvInMx,INDEX(elecInMx,1,4)*allOnes,OFFSET(tPrcElec,0,18,1,_maxLT))</f>
        <v>18479.648056718594</v>
      </c>
      <c r="X126" s="13">
        <f ca="1">SUMPRODUCT(dFactor,tpSurvInMx,INDEX(elecInMx,1,4)*allOnes,OFFSET(tPrcElec,0,19,1,_maxLT))</f>
        <v>18596.275408730999</v>
      </c>
      <c r="Y126" s="13">
        <f ca="1">SUMPRODUCT(dFactor,tpSurvInMx,INDEX(elecInMx,1,4)*allOnes,OFFSET(tPrcElec,0,20,1,_maxLT))</f>
        <v>18713.65469411587</v>
      </c>
      <c r="Z126" s="13">
        <f ca="1">SUMPRODUCT(dFactor,tpSurvInMx,INDEX(elecInMx,1,4)*allOnes,OFFSET(tPrcElec,0,21,1,_maxLT))</f>
        <v>18831.790876462437</v>
      </c>
      <c r="AA126" s="13">
        <f ca="1">SUMPRODUCT(dFactor,tpSurvInMx,INDEX(elecInMx,1,4)*allOnes,OFFSET(tPrcElec,0,22,1,_maxLT))</f>
        <v>18950.688952949149</v>
      </c>
      <c r="AB126" s="13">
        <f ca="1">SUMPRODUCT(dFactor,tpSurvInMx,INDEX(elecInMx,1,4)*allOnes,OFFSET(tPrcElec,0,23,1,_maxLT))</f>
        <v>19070.353954576742</v>
      </c>
      <c r="AC126" s="13">
        <f ca="1">SUMPRODUCT(dFactor,tpSurvInMx,INDEX(elecInMx,1,4)*allOnes,OFFSET(tPrcElec,0,24,1,_maxLT))</f>
        <v>19190.790946402947</v>
      </c>
      <c r="AD126" s="13">
        <f ca="1">SUMPRODUCT(dFactor,tpSurvInMx,INDEX(elecInMx,1,4)*allOnes,OFFSET(tPrcElec,0,25,1,_maxLT))</f>
        <v>19312.00502777877</v>
      </c>
      <c r="AE126" s="13">
        <f ca="1">SUMPRODUCT(dFactor,tpSurvInMx,INDEX(elecInMx,1,4)*allOnes,OFFSET(tPrcElec,0,26,1,_maxLT))</f>
        <v>19434.001332586729</v>
      </c>
      <c r="AF126" s="13">
        <f ca="1">SUMPRODUCT(dFactor,tpSurvInMx,INDEX(elecInMx,1,4)*allOnes,OFFSET(tPrcElec,0,27,1,_maxLT))</f>
        <v>19556.785029480368</v>
      </c>
      <c r="AG126" s="13">
        <f ca="1">SUMPRODUCT(dFactor,tpSurvInMx,INDEX(elecInMx,1,4)*allOnes,OFFSET(tPrcElec,0,28,1,_maxLT))</f>
        <v>19680.361322125773</v>
      </c>
      <c r="AH126" s="13">
        <f ca="1">SUMPRODUCT(dFactor,tpSurvInMx,INDEX(elecInMx,1,4)*allOnes,OFFSET(tPrcElec,0,29,1,_maxLT))</f>
        <v>19804.735449444794</v>
      </c>
      <c r="AI126" s="13">
        <f ca="1">SUMPRODUCT(dFactor,tpSurvInMx,INDEX(elecInMx,1,4)*allOnes,OFFSET(tPrcElec,0,30,1,_maxLT))</f>
        <v>19929.912685859843</v>
      </c>
      <c r="AJ126" s="13">
        <f ca="1">SUMPRODUCT(dFactor,tpSurvInMx,INDEX(elecInMx,1,4)*allOnes,OFFSET(tPrcElec,0,31,1,_maxLT))</f>
        <v>20055.898341540593</v>
      </c>
      <c r="AK126" s="13">
        <f ca="1">SUMPRODUCT(dFactor,tpSurvInMx,INDEX(elecInMx,1,4)*allOnes,OFFSET(tPrcElec,0,32,1,_maxLT))</f>
        <v>20182.697762652278</v>
      </c>
      <c r="AL126" s="56">
        <f ca="1">SUMPRODUCT(dFactor,tpSurvInMx,INDEX(elecInMx,1,4)*allOnes,OFFSET(tPrcElec,0,33,1,_maxLT))</f>
        <v>20310.316331605925</v>
      </c>
      <c r="AM126" s="10"/>
    </row>
    <row r="127" spans="2:39">
      <c r="B127" s="10"/>
      <c r="C127" s="16" t="s">
        <v>79</v>
      </c>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5"/>
      <c r="AM127" s="10"/>
    </row>
    <row r="128" spans="2:39">
      <c r="B128" s="10"/>
      <c r="C128" s="28" t="str">
        <f>INDEX(_fuel,1)</f>
        <v>Electricity</v>
      </c>
      <c r="D128" s="12" t="s">
        <v>83</v>
      </c>
      <c r="E128" s="39">
        <f ca="1">SUMPRODUCT(OFFSET(tConvElecInMx,0,0,1,_maxLT),INDEX(elecInMx,1,4)*allOnes,tpSurvInMx)</f>
        <v>3257.2247594355645</v>
      </c>
      <c r="F128" s="39">
        <f ca="1">SUMPRODUCT(OFFSET(tConvElecInMx,0,1,1,_maxLT),INDEX(elecInMx,1,4)*allOnes,tpSurvInMx)</f>
        <v>3233.5703421686717</v>
      </c>
      <c r="G128" s="39">
        <f ca="1">SUMPRODUCT(OFFSET(tConvElecInMx,0,2,1,_maxLT),INDEX(elecInMx,1,4)*allOnes,tpSurvInMx)</f>
        <v>3212.6884208341812</v>
      </c>
      <c r="H128" s="39">
        <f ca="1">SUMPRODUCT(OFFSET(tConvElecInMx,0,3,1,_maxLT),INDEX(elecInMx,1,4)*allOnes,tpSurvInMx)</f>
        <v>3192.8390352871261</v>
      </c>
      <c r="I128" s="39">
        <f ca="1">SUMPRODUCT(OFFSET(tConvElecInMx,0,4,1,_maxLT),INDEX(elecInMx,1,4)*allOnes,tpSurvInMx)</f>
        <v>3175.448050292091</v>
      </c>
      <c r="J128" s="39">
        <f ca="1">SUMPRODUCT(OFFSET(tConvElecInMx,0,5,1,_maxLT),INDEX(elecInMx,1,4)*allOnes,tpSurvInMx)</f>
        <v>3161.8734062021354</v>
      </c>
      <c r="K128" s="39">
        <f ca="1">SUMPRODUCT(OFFSET(tConvElecInMx,0,6,1,_maxLT),INDEX(elecInMx,1,4)*allOnes,tpSurvInMx)</f>
        <v>3150.5280629182166</v>
      </c>
      <c r="L128" s="39">
        <f ca="1">SUMPRODUCT(OFFSET(tConvElecInMx,0,7,1,_maxLT),INDEX(elecInMx,1,4)*allOnes,tpSurvInMx)</f>
        <v>3139.1162540530045</v>
      </c>
      <c r="M128" s="39">
        <f ca="1">SUMPRODUCT(OFFSET(tConvElecInMx,0,8,1,_maxLT),INDEX(elecInMx,1,4)*allOnes,tpSurvInMx)</f>
        <v>3129.9178892776495</v>
      </c>
      <c r="N128" s="39">
        <f ca="1">SUMPRODUCT(OFFSET(tConvElecInMx,0,9,1,_maxLT),INDEX(elecInMx,1,4)*allOnes,tpSurvInMx)</f>
        <v>3123.4761164505539</v>
      </c>
      <c r="O128" s="39">
        <f ca="1">SUMPRODUCT(OFFSET(tConvElecInMx,0,10,1,_maxLT),INDEX(elecInMx,1,4)*allOnes,tpSurvInMx)</f>
        <v>3118.709818394213</v>
      </c>
      <c r="P128" s="39">
        <f ca="1">SUMPRODUCT(OFFSET(tConvElecInMx,0,11,1,_maxLT),INDEX(elecInMx,1,4)*allOnes,tpSurvInMx)</f>
        <v>3114.6546216797965</v>
      </c>
      <c r="Q128" s="39">
        <f ca="1">SUMPRODUCT(OFFSET(tConvElecInMx,0,12,1,_maxLT),INDEX(elecInMx,1,4)*allOnes,tpSurvInMx)</f>
        <v>3111.6180212510085</v>
      </c>
      <c r="R128" s="39">
        <f ca="1">SUMPRODUCT(OFFSET(tConvElecInMx,0,13,1,_maxLT),INDEX(elecInMx,1,4)*allOnes,tpSurvInMx)</f>
        <v>3109.2605083374524</v>
      </c>
      <c r="S128" s="39">
        <f ca="1">SUMPRODUCT(OFFSET(tConvElecInMx,0,14,1,_maxLT),INDEX(elecInMx,1,4)*allOnes,tpSurvInMx)</f>
        <v>3108.8061393590365</v>
      </c>
      <c r="T128" s="39">
        <f ca="1">SUMPRODUCT(OFFSET(tConvElecInMx,0,15,1,_maxLT),INDEX(elecInMx,1,4)*allOnes,tpSurvInMx)</f>
        <v>3109.2180435486139</v>
      </c>
      <c r="U128" s="39">
        <f ca="1">SUMPRODUCT(OFFSET(tConvElecInMx,0,16,1,_maxLT),INDEX(elecInMx,1,4)*allOnes,tpSurvInMx)</f>
        <v>3109.9154205588443</v>
      </c>
      <c r="V128" s="39">
        <f ca="1">SUMPRODUCT(OFFSET(tConvElecInMx,0,17,1,_maxLT),INDEX(elecInMx,1,4)*allOnes,tpSurvInMx)</f>
        <v>3110.9780476274395</v>
      </c>
      <c r="W128" s="39">
        <f ca="1">SUMPRODUCT(OFFSET(tConvElecInMx,0,18,1,_maxLT),INDEX(elecInMx,1,4)*allOnes,tpSurvInMx)</f>
        <v>3111.995372146112</v>
      </c>
      <c r="X128" s="39">
        <f ca="1">SUMPRODUCT(OFFSET(tConvElecInMx,0,19,1,_maxLT),INDEX(elecInMx,1,4)*allOnes,tpSurvInMx)</f>
        <v>3112.8383253199231</v>
      </c>
      <c r="Y128" s="39">
        <f ca="1">SUMPRODUCT(OFFSET(tConvElecInMx,0,20,1,_maxLT),INDEX(elecInMx,1,4)*allOnes,tpSurvInMx)</f>
        <v>3113.4035863685663</v>
      </c>
      <c r="Z128" s="39">
        <f ca="1">SUMPRODUCT(OFFSET(tConvElecInMx,0,21,1,_maxLT),INDEX(elecInMx,1,4)*allOnes,tpSurvInMx)</f>
        <v>3113.7933157458961</v>
      </c>
      <c r="AA128" s="39">
        <f ca="1">SUMPRODUCT(OFFSET(tConvElecInMx,0,22,1,_maxLT),INDEX(elecInMx,1,4)*allOnes,tpSurvInMx)</f>
        <v>3113.7933157458961</v>
      </c>
      <c r="AB128" s="39">
        <f ca="1">SUMPRODUCT(OFFSET(tConvElecInMx,0,23,1,_maxLT),INDEX(elecInMx,1,4)*allOnes,tpSurvInMx)</f>
        <v>3113.7933157458961</v>
      </c>
      <c r="AC128" s="39">
        <f ca="1">SUMPRODUCT(OFFSET(tConvElecInMx,0,24,1,_maxLT),INDEX(elecInMx,1,4)*allOnes,tpSurvInMx)</f>
        <v>3113.7933157458961</v>
      </c>
      <c r="AD128" s="39">
        <f ca="1">SUMPRODUCT(OFFSET(tConvElecInMx,0,25,1,_maxLT),INDEX(elecInMx,1,4)*allOnes,tpSurvInMx)</f>
        <v>3113.7933157458961</v>
      </c>
      <c r="AE128" s="39">
        <f ca="1">SUMPRODUCT(OFFSET(tConvElecInMx,0,26,1,_maxLT),INDEX(elecInMx,1,4)*allOnes,tpSurvInMx)</f>
        <v>3113.7933157458961</v>
      </c>
      <c r="AF128" s="39">
        <f ca="1">SUMPRODUCT(OFFSET(tConvElecInMx,0,27,1,_maxLT),INDEX(elecInMx,1,4)*allOnes,tpSurvInMx)</f>
        <v>3113.7933157458961</v>
      </c>
      <c r="AG128" s="39">
        <f ca="1">SUMPRODUCT(OFFSET(tConvElecInMx,0,28,1,_maxLT),INDEX(elecInMx,1,4)*allOnes,tpSurvInMx)</f>
        <v>3113.7933157458961</v>
      </c>
      <c r="AH128" s="39">
        <f ca="1">SUMPRODUCT(OFFSET(tConvElecInMx,0,29,1,_maxLT),INDEX(elecInMx,1,4)*allOnes,tpSurvInMx)</f>
        <v>3113.7933157458961</v>
      </c>
      <c r="AI128" s="39">
        <f ca="1">SUMPRODUCT(OFFSET(tConvElecInMx,0,30,1,_maxLT),INDEX(elecInMx,1,4)*allOnes,tpSurvInMx)</f>
        <v>3113.7933157458961</v>
      </c>
      <c r="AJ128" s="39">
        <f ca="1">SUMPRODUCT(OFFSET(tConvElecInMx,0,31,1,_maxLT),INDEX(elecInMx,1,4)*allOnes,tpSurvInMx)</f>
        <v>3113.7933157458961</v>
      </c>
      <c r="AK128" s="39">
        <f ca="1">SUMPRODUCT(OFFSET(tConvElecInMx,0,32,1,_maxLT),INDEX(elecInMx,1,4)*allOnes,tpSurvInMx)</f>
        <v>3113.7933157458961</v>
      </c>
      <c r="AL128" s="40">
        <f ca="1">SUMPRODUCT(OFFSET(tConvElecInMx,0,33,1,_maxLT),INDEX(elecInMx,1,4)*allOnes,tpSurvInMx)</f>
        <v>3113.7933157458961</v>
      </c>
      <c r="AM128" s="10"/>
    </row>
    <row r="129" spans="2:39">
      <c r="B129" s="10"/>
      <c r="C129" s="57" t="str">
        <f>"EL 4: " &amp; INDEX(_doName,5,5)</f>
        <v>EL 4: EL 4</v>
      </c>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3"/>
      <c r="AM129" s="10"/>
    </row>
    <row r="130" spans="2:39">
      <c r="B130" s="10"/>
      <c r="C130" s="16" t="s">
        <v>69</v>
      </c>
      <c r="D130" s="12" t="str">
        <f>_yearDol &amp; "$"</f>
        <v>2015$</v>
      </c>
      <c r="E130" s="13">
        <f t="array" ref="E130:AL130">INDEX(mspInMx,1,5)*tPIdxAll + INDEX(instInMx,1,5) + IF(bESav,SUMPRODUCT(dFactor,tpSurvInMx,INDEX(mrInMx,1,5)*allOnes),0)</f>
        <v>3017.4992759051102</v>
      </c>
      <c r="F130" s="13">
        <v>3017.4992759051102</v>
      </c>
      <c r="G130" s="13">
        <v>3017.4992759051102</v>
      </c>
      <c r="H130" s="13">
        <v>3017.4992759051102</v>
      </c>
      <c r="I130" s="13">
        <v>3017.4992759051102</v>
      </c>
      <c r="J130" s="13">
        <v>3017.4992759051102</v>
      </c>
      <c r="K130" s="13">
        <v>3017.4992759051102</v>
      </c>
      <c r="L130" s="13">
        <v>3017.4992759051102</v>
      </c>
      <c r="M130" s="13">
        <v>3017.4992759051102</v>
      </c>
      <c r="N130" s="13">
        <v>3017.4992759051102</v>
      </c>
      <c r="O130" s="13">
        <v>3017.4992759051102</v>
      </c>
      <c r="P130" s="13">
        <v>3017.4992759051102</v>
      </c>
      <c r="Q130" s="13">
        <v>3017.4992759051102</v>
      </c>
      <c r="R130" s="13">
        <v>3017.4992759051102</v>
      </c>
      <c r="S130" s="13">
        <v>3017.4992759051102</v>
      </c>
      <c r="T130" s="13">
        <v>3017.4992759051102</v>
      </c>
      <c r="U130" s="13">
        <v>3017.4992759051102</v>
      </c>
      <c r="V130" s="13">
        <v>3017.4992759051102</v>
      </c>
      <c r="W130" s="13">
        <v>3017.4992759051102</v>
      </c>
      <c r="X130" s="13">
        <v>3017.4992759051102</v>
      </c>
      <c r="Y130" s="13">
        <v>3017.4992759051102</v>
      </c>
      <c r="Z130" s="13">
        <v>3017.4992759051102</v>
      </c>
      <c r="AA130" s="13">
        <v>3017.4992759051102</v>
      </c>
      <c r="AB130" s="13">
        <v>3017.4992759051102</v>
      </c>
      <c r="AC130" s="13">
        <v>3017.4992759051102</v>
      </c>
      <c r="AD130" s="13">
        <v>3017.4992759051102</v>
      </c>
      <c r="AE130" s="13">
        <v>3017.4992759051102</v>
      </c>
      <c r="AF130" s="13">
        <v>3017.4992759051102</v>
      </c>
      <c r="AG130" s="13">
        <v>3017.4992759051102</v>
      </c>
      <c r="AH130" s="13">
        <v>3017.4992759051102</v>
      </c>
      <c r="AI130" s="13">
        <v>3017.4992759051102</v>
      </c>
      <c r="AJ130" s="13">
        <v>3017.4992759051102</v>
      </c>
      <c r="AK130" s="13">
        <v>3017.4992759051102</v>
      </c>
      <c r="AL130" s="56">
        <v>3017.4992759051102</v>
      </c>
      <c r="AM130" s="10"/>
    </row>
    <row r="131" spans="2:39">
      <c r="B131" s="10"/>
      <c r="C131" s="16" t="str">
        <f>zEO&amp;" Costs"</f>
        <v>Operating Costs</v>
      </c>
      <c r="D131" s="12" t="str">
        <f>_yearDol &amp; "$"</f>
        <v>2015$</v>
      </c>
      <c r="E131" s="13">
        <f t="array" aca="1" ref="E131:AL131" ca="1">(tlccEFuElecbc4) + IF(bOSav,SUMPRODUCT(dFactor,tpSurvInMx,INDEX(mrInMx,1,5)*allOnes),0)</f>
        <v>17234.759803625486</v>
      </c>
      <c r="F131" s="13">
        <f ca="1"/>
        <v>17375.458245959038</v>
      </c>
      <c r="G131" s="13">
        <f ca="1"/>
        <v>17511.833112773656</v>
      </c>
      <c r="H131" s="13">
        <f ca="1"/>
        <v>17634.568955768798</v>
      </c>
      <c r="I131" s="13">
        <f ca="1"/>
        <v>17745.638961929613</v>
      </c>
      <c r="J131" s="13">
        <f ca="1"/>
        <v>17857.423441109113</v>
      </c>
      <c r="K131" s="13">
        <f ca="1"/>
        <v>17969.927097997923</v>
      </c>
      <c r="L131" s="13">
        <f ca="1"/>
        <v>18083.15466904307</v>
      </c>
      <c r="M131" s="13">
        <f ca="1"/>
        <v>18197.110922667696</v>
      </c>
      <c r="N131" s="13">
        <f ca="1"/>
        <v>18311.800659492503</v>
      </c>
      <c r="O131" s="13">
        <f ca="1"/>
        <v>18427.228712558484</v>
      </c>
      <c r="P131" s="13">
        <f ca="1"/>
        <v>18543.39994755153</v>
      </c>
      <c r="Q131" s="13">
        <f ca="1"/>
        <v>18660.319263028457</v>
      </c>
      <c r="R131" s="13">
        <f ca="1"/>
        <v>18777.99159064472</v>
      </c>
      <c r="S131" s="13">
        <f ca="1"/>
        <v>18896.421895383613</v>
      </c>
      <c r="T131" s="13">
        <f ca="1"/>
        <v>19015.615175787294</v>
      </c>
      <c r="U131" s="13">
        <f ca="1"/>
        <v>19135.576464189275</v>
      </c>
      <c r="V131" s="13">
        <f ca="1"/>
        <v>19256.310826948709</v>
      </c>
      <c r="W131" s="13">
        <f ca="1"/>
        <v>19377.82336468609</v>
      </c>
      <c r="X131" s="13">
        <f ca="1"/>
        <v>19500.119212521007</v>
      </c>
      <c r="Y131" s="13">
        <f ca="1"/>
        <v>19623.203540311231</v>
      </c>
      <c r="Z131" s="13">
        <f ca="1"/>
        <v>19747.081552893716</v>
      </c>
      <c r="AA131" s="13">
        <f ca="1"/>
        <v>19871.758490327204</v>
      </c>
      <c r="AB131" s="13">
        <f ca="1"/>
        <v>19997.239628136613</v>
      </c>
      <c r="AC131" s="13">
        <f ca="1"/>
        <v>20123.530277559104</v>
      </c>
      <c r="AD131" s="13">
        <f ca="1"/>
        <v>20250.635785791983</v>
      </c>
      <c r="AE131" s="13">
        <f ca="1"/>
        <v>20378.561536242272</v>
      </c>
      <c r="AF131" s="13">
        <f ca="1"/>
        <v>20507.312948778115</v>
      </c>
      <c r="AG131" s="13">
        <f ca="1"/>
        <v>20636.895479981926</v>
      </c>
      <c r="AH131" s="13">
        <f ca="1"/>
        <v>20767.314623405433</v>
      </c>
      <c r="AI131" s="13">
        <f ca="1"/>
        <v>20898.575909826333</v>
      </c>
      <c r="AJ131" s="13">
        <f ca="1"/>
        <v>21030.68490750706</v>
      </c>
      <c r="AK131" s="13">
        <f ca="1"/>
        <v>21163.647222455122</v>
      </c>
      <c r="AL131" s="56">
        <f ca="1"/>
        <v>21297.468498685485</v>
      </c>
      <c r="AM131" s="10"/>
    </row>
    <row r="132" spans="2:39">
      <c r="B132" s="10"/>
      <c r="C132" s="28" t="str">
        <f>INDEX(_fuel,1)</f>
        <v>Electricity</v>
      </c>
      <c r="D132" s="12" t="str">
        <f>_yearDol &amp; "$"</f>
        <v>2015$</v>
      </c>
      <c r="E132" s="13">
        <f ca="1">SUMPRODUCT(dFactor,tpSurvInMx,INDEX(elecInMx,1,5)*allOnes,OFFSET(tPrcElec,0,0,1,_maxLT))</f>
        <v>17234.759803625486</v>
      </c>
      <c r="F132" s="13">
        <f ca="1">SUMPRODUCT(dFactor,tpSurvInMx,INDEX(elecInMx,1,5)*allOnes,OFFSET(tPrcElec,0,1,1,_maxLT))</f>
        <v>17375.458245959038</v>
      </c>
      <c r="G132" s="13">
        <f ca="1">SUMPRODUCT(dFactor,tpSurvInMx,INDEX(elecInMx,1,5)*allOnes,OFFSET(tPrcElec,0,2,1,_maxLT))</f>
        <v>17511.833112773656</v>
      </c>
      <c r="H132" s="13">
        <f ca="1">SUMPRODUCT(dFactor,tpSurvInMx,INDEX(elecInMx,1,5)*allOnes,OFFSET(tPrcElec,0,3,1,_maxLT))</f>
        <v>17634.568955768798</v>
      </c>
      <c r="I132" s="13">
        <f ca="1">SUMPRODUCT(dFactor,tpSurvInMx,INDEX(elecInMx,1,5)*allOnes,OFFSET(tPrcElec,0,4,1,_maxLT))</f>
        <v>17745.638961929613</v>
      </c>
      <c r="J132" s="13">
        <f ca="1">SUMPRODUCT(dFactor,tpSurvInMx,INDEX(elecInMx,1,5)*allOnes,OFFSET(tPrcElec,0,5,1,_maxLT))</f>
        <v>17857.423441109113</v>
      </c>
      <c r="K132" s="13">
        <f ca="1">SUMPRODUCT(dFactor,tpSurvInMx,INDEX(elecInMx,1,5)*allOnes,OFFSET(tPrcElec,0,6,1,_maxLT))</f>
        <v>17969.927097997923</v>
      </c>
      <c r="L132" s="13">
        <f ca="1">SUMPRODUCT(dFactor,tpSurvInMx,INDEX(elecInMx,1,5)*allOnes,OFFSET(tPrcElec,0,7,1,_maxLT))</f>
        <v>18083.15466904307</v>
      </c>
      <c r="M132" s="13">
        <f ca="1">SUMPRODUCT(dFactor,tpSurvInMx,INDEX(elecInMx,1,5)*allOnes,OFFSET(tPrcElec,0,8,1,_maxLT))</f>
        <v>18197.110922667696</v>
      </c>
      <c r="N132" s="13">
        <f ca="1">SUMPRODUCT(dFactor,tpSurvInMx,INDEX(elecInMx,1,5)*allOnes,OFFSET(tPrcElec,0,9,1,_maxLT))</f>
        <v>18311.800659492503</v>
      </c>
      <c r="O132" s="13">
        <f ca="1">SUMPRODUCT(dFactor,tpSurvInMx,INDEX(elecInMx,1,5)*allOnes,OFFSET(tPrcElec,0,10,1,_maxLT))</f>
        <v>18427.228712558484</v>
      </c>
      <c r="P132" s="13">
        <f ca="1">SUMPRODUCT(dFactor,tpSurvInMx,INDEX(elecInMx,1,5)*allOnes,OFFSET(tPrcElec,0,11,1,_maxLT))</f>
        <v>18543.39994755153</v>
      </c>
      <c r="Q132" s="13">
        <f ca="1">SUMPRODUCT(dFactor,tpSurvInMx,INDEX(elecInMx,1,5)*allOnes,OFFSET(tPrcElec,0,12,1,_maxLT))</f>
        <v>18660.319263028457</v>
      </c>
      <c r="R132" s="13">
        <f ca="1">SUMPRODUCT(dFactor,tpSurvInMx,INDEX(elecInMx,1,5)*allOnes,OFFSET(tPrcElec,0,13,1,_maxLT))</f>
        <v>18777.99159064472</v>
      </c>
      <c r="S132" s="13">
        <f ca="1">SUMPRODUCT(dFactor,tpSurvInMx,INDEX(elecInMx,1,5)*allOnes,OFFSET(tPrcElec,0,14,1,_maxLT))</f>
        <v>18896.421895383613</v>
      </c>
      <c r="T132" s="13">
        <f ca="1">SUMPRODUCT(dFactor,tpSurvInMx,INDEX(elecInMx,1,5)*allOnes,OFFSET(tPrcElec,0,15,1,_maxLT))</f>
        <v>19015.615175787294</v>
      </c>
      <c r="U132" s="13">
        <f ca="1">SUMPRODUCT(dFactor,tpSurvInMx,INDEX(elecInMx,1,5)*allOnes,OFFSET(tPrcElec,0,16,1,_maxLT))</f>
        <v>19135.576464189275</v>
      </c>
      <c r="V132" s="13">
        <f ca="1">SUMPRODUCT(dFactor,tpSurvInMx,INDEX(elecInMx,1,5)*allOnes,OFFSET(tPrcElec,0,17,1,_maxLT))</f>
        <v>19256.310826948709</v>
      </c>
      <c r="W132" s="13">
        <f ca="1">SUMPRODUCT(dFactor,tpSurvInMx,INDEX(elecInMx,1,5)*allOnes,OFFSET(tPrcElec,0,18,1,_maxLT))</f>
        <v>19377.82336468609</v>
      </c>
      <c r="X132" s="13">
        <f ca="1">SUMPRODUCT(dFactor,tpSurvInMx,INDEX(elecInMx,1,5)*allOnes,OFFSET(tPrcElec,0,19,1,_maxLT))</f>
        <v>19500.119212521007</v>
      </c>
      <c r="Y132" s="13">
        <f ca="1">SUMPRODUCT(dFactor,tpSurvInMx,INDEX(elecInMx,1,5)*allOnes,OFFSET(tPrcElec,0,20,1,_maxLT))</f>
        <v>19623.203540311231</v>
      </c>
      <c r="Z132" s="13">
        <f ca="1">SUMPRODUCT(dFactor,tpSurvInMx,INDEX(elecInMx,1,5)*allOnes,OFFSET(tPrcElec,0,21,1,_maxLT))</f>
        <v>19747.081552893716</v>
      </c>
      <c r="AA132" s="13">
        <f ca="1">SUMPRODUCT(dFactor,tpSurvInMx,INDEX(elecInMx,1,5)*allOnes,OFFSET(tPrcElec,0,22,1,_maxLT))</f>
        <v>19871.758490327204</v>
      </c>
      <c r="AB132" s="13">
        <f ca="1">SUMPRODUCT(dFactor,tpSurvInMx,INDEX(elecInMx,1,5)*allOnes,OFFSET(tPrcElec,0,23,1,_maxLT))</f>
        <v>19997.239628136613</v>
      </c>
      <c r="AC132" s="13">
        <f ca="1">SUMPRODUCT(dFactor,tpSurvInMx,INDEX(elecInMx,1,5)*allOnes,OFFSET(tPrcElec,0,24,1,_maxLT))</f>
        <v>20123.530277559104</v>
      </c>
      <c r="AD132" s="13">
        <f ca="1">SUMPRODUCT(dFactor,tpSurvInMx,INDEX(elecInMx,1,5)*allOnes,OFFSET(tPrcElec,0,25,1,_maxLT))</f>
        <v>20250.635785791983</v>
      </c>
      <c r="AE132" s="13">
        <f ca="1">SUMPRODUCT(dFactor,tpSurvInMx,INDEX(elecInMx,1,5)*allOnes,OFFSET(tPrcElec,0,26,1,_maxLT))</f>
        <v>20378.561536242272</v>
      </c>
      <c r="AF132" s="13">
        <f ca="1">SUMPRODUCT(dFactor,tpSurvInMx,INDEX(elecInMx,1,5)*allOnes,OFFSET(tPrcElec,0,27,1,_maxLT))</f>
        <v>20507.312948778115</v>
      </c>
      <c r="AG132" s="13">
        <f ca="1">SUMPRODUCT(dFactor,tpSurvInMx,INDEX(elecInMx,1,5)*allOnes,OFFSET(tPrcElec,0,28,1,_maxLT))</f>
        <v>20636.895479981926</v>
      </c>
      <c r="AH132" s="13">
        <f ca="1">SUMPRODUCT(dFactor,tpSurvInMx,INDEX(elecInMx,1,5)*allOnes,OFFSET(tPrcElec,0,29,1,_maxLT))</f>
        <v>20767.314623405433</v>
      </c>
      <c r="AI132" s="13">
        <f ca="1">SUMPRODUCT(dFactor,tpSurvInMx,INDEX(elecInMx,1,5)*allOnes,OFFSET(tPrcElec,0,30,1,_maxLT))</f>
        <v>20898.575909826333</v>
      </c>
      <c r="AJ132" s="13">
        <f ca="1">SUMPRODUCT(dFactor,tpSurvInMx,INDEX(elecInMx,1,5)*allOnes,OFFSET(tPrcElec,0,31,1,_maxLT))</f>
        <v>21030.68490750706</v>
      </c>
      <c r="AK132" s="13">
        <f ca="1">SUMPRODUCT(dFactor,tpSurvInMx,INDEX(elecInMx,1,5)*allOnes,OFFSET(tPrcElec,0,32,1,_maxLT))</f>
        <v>21163.647222455122</v>
      </c>
      <c r="AL132" s="56">
        <f ca="1">SUMPRODUCT(dFactor,tpSurvInMx,INDEX(elecInMx,1,5)*allOnes,OFFSET(tPrcElec,0,33,1,_maxLT))</f>
        <v>21297.468498685485</v>
      </c>
      <c r="AM132" s="10"/>
    </row>
    <row r="133" spans="2:39">
      <c r="B133" s="10"/>
      <c r="C133" s="16" t="s">
        <v>79</v>
      </c>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5"/>
      <c r="AM133" s="10"/>
    </row>
    <row r="134" spans="2:39">
      <c r="B134" s="10"/>
      <c r="C134" s="28" t="str">
        <f>INDEX(_fuel,1)</f>
        <v>Electricity</v>
      </c>
      <c r="D134" s="12" t="s">
        <v>83</v>
      </c>
      <c r="E134" s="39">
        <f ca="1">SUMPRODUCT(OFFSET(tConvElecInMx,0,0,1,_maxLT),INDEX(elecInMx,1,5)*allOnes,tpSurvInMx)</f>
        <v>3415.5372360826341</v>
      </c>
      <c r="F134" s="39">
        <f ca="1">SUMPRODUCT(OFFSET(tConvElecInMx,0,1,1,_maxLT),INDEX(elecInMx,1,5)*allOnes,tpSurvInMx)</f>
        <v>3390.7331316870541</v>
      </c>
      <c r="G134" s="39">
        <f ca="1">SUMPRODUCT(OFFSET(tConvElecInMx,0,2,1,_maxLT),INDEX(elecInMx,1,5)*allOnes,tpSurvInMx)</f>
        <v>3368.8362761899662</v>
      </c>
      <c r="H134" s="39">
        <f ca="1">SUMPRODUCT(OFFSET(tConvElecInMx,0,3,1,_maxLT),INDEX(elecInMx,1,5)*allOnes,tpSurvInMx)</f>
        <v>3348.0221413185741</v>
      </c>
      <c r="I134" s="39">
        <f ca="1">SUMPRODUCT(OFFSET(tConvElecInMx,0,4,1,_maxLT),INDEX(elecInMx,1,5)*allOnes,tpSurvInMx)</f>
        <v>3329.7858938349991</v>
      </c>
      <c r="J134" s="39">
        <f ca="1">SUMPRODUCT(OFFSET(tConvElecInMx,0,5,1,_maxLT),INDEX(elecInMx,1,5)*allOnes,tpSurvInMx)</f>
        <v>3315.5514747266757</v>
      </c>
      <c r="K134" s="39">
        <f ca="1">SUMPRODUCT(OFFSET(tConvElecInMx,0,6,1,_maxLT),INDEX(elecInMx,1,5)*allOnes,tpSurvInMx)</f>
        <v>3303.6547082139837</v>
      </c>
      <c r="L134" s="39">
        <f ca="1">SUMPRODUCT(OFFSET(tConvElecInMx,0,7,1,_maxLT),INDEX(elecInMx,1,5)*allOnes,tpSurvInMx)</f>
        <v>3291.6882456610761</v>
      </c>
      <c r="M134" s="39">
        <f ca="1">SUMPRODUCT(OFFSET(tConvElecInMx,0,8,1,_maxLT),INDEX(elecInMx,1,5)*allOnes,tpSurvInMx)</f>
        <v>3282.0428082959434</v>
      </c>
      <c r="N134" s="39">
        <f ca="1">SUMPRODUCT(OFFSET(tConvElecInMx,0,9,1,_maxLT),INDEX(elecInMx,1,5)*allOnes,tpSurvInMx)</f>
        <v>3275.2879428560941</v>
      </c>
      <c r="O134" s="39">
        <f ca="1">SUMPRODUCT(OFFSET(tConvElecInMx,0,10,1,_maxLT),INDEX(elecInMx,1,5)*allOnes,tpSurvInMx)</f>
        <v>3270.2899861008714</v>
      </c>
      <c r="P134" s="39">
        <f ca="1">SUMPRODUCT(OFFSET(tConvElecInMx,0,11,1,_maxLT),INDEX(elecInMx,1,5)*allOnes,tpSurvInMx)</f>
        <v>3266.0376926913959</v>
      </c>
      <c r="Q134" s="39">
        <f ca="1">SUMPRODUCT(OFFSET(tConvElecInMx,0,12,1,_maxLT),INDEX(elecInMx,1,5)*allOnes,tpSurvInMx)</f>
        <v>3262.8535028974352</v>
      </c>
      <c r="R134" s="39">
        <f ca="1">SUMPRODUCT(OFFSET(tConvElecInMx,0,13,1,_maxLT),INDEX(elecInMx,1,5)*allOnes,tpSurvInMx)</f>
        <v>3260.381406638965</v>
      </c>
      <c r="S134" s="39">
        <f ca="1">SUMPRODUCT(OFFSET(tConvElecInMx,0,14,1,_maxLT),INDEX(elecInMx,1,5)*allOnes,tpSurvInMx)</f>
        <v>3259.9049537444557</v>
      </c>
      <c r="T134" s="39">
        <f ca="1">SUMPRODUCT(OFFSET(tConvElecInMx,0,15,1,_maxLT),INDEX(elecInMx,1,5)*allOnes,tpSurvInMx)</f>
        <v>3260.3368779133752</v>
      </c>
      <c r="U134" s="39">
        <f ca="1">SUMPRODUCT(OFFSET(tConvElecInMx,0,16,1,_maxLT),INDEX(elecInMx,1,5)*allOnes,tpSurvInMx)</f>
        <v>3261.06814987707</v>
      </c>
      <c r="V134" s="39">
        <f ca="1">SUMPRODUCT(OFFSET(tConvElecInMx,0,17,1,_maxLT),INDEX(elecInMx,1,5)*allOnes,tpSurvInMx)</f>
        <v>3262.1824243250776</v>
      </c>
      <c r="W134" s="39">
        <f ca="1">SUMPRODUCT(OFFSET(tConvElecInMx,0,18,1,_maxLT),INDEX(elecInMx,1,5)*allOnes,tpSurvInMx)</f>
        <v>3263.24919436133</v>
      </c>
      <c r="X134" s="39">
        <f ca="1">SUMPRODUCT(OFFSET(tConvElecInMx,0,19,1,_maxLT),INDEX(elecInMx,1,5)*allOnes,tpSurvInMx)</f>
        <v>3264.1331179975746</v>
      </c>
      <c r="Y134" s="39">
        <f ca="1">SUMPRODUCT(OFFSET(tConvElecInMx,0,20,1,_maxLT),INDEX(elecInMx,1,5)*allOnes,tpSurvInMx)</f>
        <v>3264.7258527034483</v>
      </c>
      <c r="Z134" s="39">
        <f ca="1">SUMPRODUCT(OFFSET(tConvElecInMx,0,21,1,_maxLT),INDEX(elecInMx,1,5)*allOnes,tpSurvInMx)</f>
        <v>3265.1345242869515</v>
      </c>
      <c r="AA134" s="39">
        <f ca="1">SUMPRODUCT(OFFSET(tConvElecInMx,0,22,1,_maxLT),INDEX(elecInMx,1,5)*allOnes,tpSurvInMx)</f>
        <v>3265.1345242869515</v>
      </c>
      <c r="AB134" s="39">
        <f ca="1">SUMPRODUCT(OFFSET(tConvElecInMx,0,23,1,_maxLT),INDEX(elecInMx,1,5)*allOnes,tpSurvInMx)</f>
        <v>3265.1345242869515</v>
      </c>
      <c r="AC134" s="39">
        <f ca="1">SUMPRODUCT(OFFSET(tConvElecInMx,0,24,1,_maxLT),INDEX(elecInMx,1,5)*allOnes,tpSurvInMx)</f>
        <v>3265.1345242869515</v>
      </c>
      <c r="AD134" s="39">
        <f ca="1">SUMPRODUCT(OFFSET(tConvElecInMx,0,25,1,_maxLT),INDEX(elecInMx,1,5)*allOnes,tpSurvInMx)</f>
        <v>3265.1345242869515</v>
      </c>
      <c r="AE134" s="39">
        <f ca="1">SUMPRODUCT(OFFSET(tConvElecInMx,0,26,1,_maxLT),INDEX(elecInMx,1,5)*allOnes,tpSurvInMx)</f>
        <v>3265.1345242869515</v>
      </c>
      <c r="AF134" s="39">
        <f ca="1">SUMPRODUCT(OFFSET(tConvElecInMx,0,27,1,_maxLT),INDEX(elecInMx,1,5)*allOnes,tpSurvInMx)</f>
        <v>3265.1345242869515</v>
      </c>
      <c r="AG134" s="39">
        <f ca="1">SUMPRODUCT(OFFSET(tConvElecInMx,0,28,1,_maxLT),INDEX(elecInMx,1,5)*allOnes,tpSurvInMx)</f>
        <v>3265.1345242869515</v>
      </c>
      <c r="AH134" s="39">
        <f ca="1">SUMPRODUCT(OFFSET(tConvElecInMx,0,29,1,_maxLT),INDEX(elecInMx,1,5)*allOnes,tpSurvInMx)</f>
        <v>3265.1345242869515</v>
      </c>
      <c r="AI134" s="39">
        <f ca="1">SUMPRODUCT(OFFSET(tConvElecInMx,0,30,1,_maxLT),INDEX(elecInMx,1,5)*allOnes,tpSurvInMx)</f>
        <v>3265.1345242869515</v>
      </c>
      <c r="AJ134" s="39">
        <f ca="1">SUMPRODUCT(OFFSET(tConvElecInMx,0,31,1,_maxLT),INDEX(elecInMx,1,5)*allOnes,tpSurvInMx)</f>
        <v>3265.1345242869515</v>
      </c>
      <c r="AK134" s="39">
        <f ca="1">SUMPRODUCT(OFFSET(tConvElecInMx,0,32,1,_maxLT),INDEX(elecInMx,1,5)*allOnes,tpSurvInMx)</f>
        <v>3265.1345242869515</v>
      </c>
      <c r="AL134" s="40">
        <f ca="1">SUMPRODUCT(OFFSET(tConvElecInMx,0,33,1,_maxLT),INDEX(elecInMx,1,5)*allOnes,tpSurvInMx)</f>
        <v>3265.1345242869515</v>
      </c>
      <c r="AM134" s="10"/>
    </row>
    <row r="135" spans="2:39">
      <c r="B135" s="10"/>
      <c r="C135" s="57" t="str">
        <f>"EL 5: " &amp; INDEX(_doName,5,6)</f>
        <v>EL 5: EL 5</v>
      </c>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3"/>
      <c r="AM135" s="10"/>
    </row>
    <row r="136" spans="2:39">
      <c r="B136" s="10"/>
      <c r="C136" s="16" t="s">
        <v>69</v>
      </c>
      <c r="D136" s="12" t="str">
        <f>_yearDol &amp; "$"</f>
        <v>2015$</v>
      </c>
      <c r="E136" s="13">
        <f t="array" ref="E136:AL136">INDEX(mspInMx,1,6)*tPIdxAll + INDEX(instInMx,1,6) + IF(bESav,SUMPRODUCT(dFactor,tpSurvInMx,INDEX(mrInMx,1,6)*allOnes),0)</f>
        <v>4732.2143233830202</v>
      </c>
      <c r="F136" s="13">
        <v>4732.2143233830202</v>
      </c>
      <c r="G136" s="13">
        <v>4732.2143233830202</v>
      </c>
      <c r="H136" s="13">
        <v>4732.2143233830202</v>
      </c>
      <c r="I136" s="13">
        <v>4732.2143233830202</v>
      </c>
      <c r="J136" s="13">
        <v>4732.2143233830202</v>
      </c>
      <c r="K136" s="13">
        <v>4732.2143233830202</v>
      </c>
      <c r="L136" s="13">
        <v>4732.2143233830202</v>
      </c>
      <c r="M136" s="13">
        <v>4732.2143233830202</v>
      </c>
      <c r="N136" s="13">
        <v>4732.2143233830202</v>
      </c>
      <c r="O136" s="13">
        <v>4732.2143233830202</v>
      </c>
      <c r="P136" s="13">
        <v>4732.2143233830202</v>
      </c>
      <c r="Q136" s="13">
        <v>4732.2143233830202</v>
      </c>
      <c r="R136" s="13">
        <v>4732.2143233830202</v>
      </c>
      <c r="S136" s="13">
        <v>4732.2143233830202</v>
      </c>
      <c r="T136" s="13">
        <v>4732.2143233830202</v>
      </c>
      <c r="U136" s="13">
        <v>4732.2143233830202</v>
      </c>
      <c r="V136" s="13">
        <v>4732.2143233830202</v>
      </c>
      <c r="W136" s="13">
        <v>4732.2143233830202</v>
      </c>
      <c r="X136" s="13">
        <v>4732.2143233830202</v>
      </c>
      <c r="Y136" s="13">
        <v>4732.2143233830202</v>
      </c>
      <c r="Z136" s="13">
        <v>4732.2143233830202</v>
      </c>
      <c r="AA136" s="13">
        <v>4732.2143233830202</v>
      </c>
      <c r="AB136" s="13">
        <v>4732.2143233830202</v>
      </c>
      <c r="AC136" s="13">
        <v>4732.2143233830202</v>
      </c>
      <c r="AD136" s="13">
        <v>4732.2143233830202</v>
      </c>
      <c r="AE136" s="13">
        <v>4732.2143233830202</v>
      </c>
      <c r="AF136" s="13">
        <v>4732.2143233830202</v>
      </c>
      <c r="AG136" s="13">
        <v>4732.2143233830202</v>
      </c>
      <c r="AH136" s="13">
        <v>4732.2143233830202</v>
      </c>
      <c r="AI136" s="13">
        <v>4732.2143233830202</v>
      </c>
      <c r="AJ136" s="13">
        <v>4732.2143233830202</v>
      </c>
      <c r="AK136" s="13">
        <v>4732.2143233830202</v>
      </c>
      <c r="AL136" s="56">
        <v>4732.2143233830202</v>
      </c>
      <c r="AM136" s="10"/>
    </row>
    <row r="137" spans="2:39">
      <c r="B137" s="10"/>
      <c r="C137" s="16" t="str">
        <f>zEO&amp;" Costs"</f>
        <v>Operating Costs</v>
      </c>
      <c r="D137" s="12" t="str">
        <f>_yearDol &amp; "$"</f>
        <v>2015$</v>
      </c>
      <c r="E137" s="13">
        <f t="array" aca="1" ref="E137:AL137" ca="1">(tlccEFuElecbc5) + IF(bOSav,SUMPRODUCT(dFactor,tpSurvInMx,INDEX(mrInMx,1,6)*allOnes),0)</f>
        <v>41167.697255738807</v>
      </c>
      <c r="F137" s="13">
        <f ca="1"/>
        <v>41503.775677738202</v>
      </c>
      <c r="G137" s="13">
        <f ca="1"/>
        <v>41829.526619108146</v>
      </c>
      <c r="H137" s="13">
        <f ca="1"/>
        <v>42122.69879466635</v>
      </c>
      <c r="I137" s="13">
        <f ca="1"/>
        <v>42388.0054447109</v>
      </c>
      <c r="J137" s="13">
        <f ca="1"/>
        <v>42655.018716098835</v>
      </c>
      <c r="K137" s="13">
        <f ca="1"/>
        <v>42923.749846659033</v>
      </c>
      <c r="L137" s="13">
        <f ca="1"/>
        <v>43194.21015007497</v>
      </c>
      <c r="M137" s="13">
        <f ca="1"/>
        <v>43466.411016409671</v>
      </c>
      <c r="N137" s="13">
        <f ca="1"/>
        <v>43740.363912634581</v>
      </c>
      <c r="O137" s="13">
        <f ca="1"/>
        <v>44016.08038316176</v>
      </c>
      <c r="P137" s="13">
        <f ca="1"/>
        <v>44293.572050380302</v>
      </c>
      <c r="Q137" s="13">
        <f ca="1"/>
        <v>44572.85061519617</v>
      </c>
      <c r="R137" s="13">
        <f ca="1"/>
        <v>44853.92785757612</v>
      </c>
      <c r="S137" s="13">
        <f ca="1"/>
        <v>45136.815637095438</v>
      </c>
      <c r="T137" s="13">
        <f ca="1"/>
        <v>45421.525893489321</v>
      </c>
      <c r="U137" s="13">
        <f ca="1"/>
        <v>45708.070647208631</v>
      </c>
      <c r="V137" s="13">
        <f ca="1"/>
        <v>45996.461999979249</v>
      </c>
      <c r="W137" s="13">
        <f ca="1"/>
        <v>46286.712135365313</v>
      </c>
      <c r="X137" s="13">
        <f ca="1"/>
        <v>46578.833319336969</v>
      </c>
      <c r="Y137" s="13">
        <f ca="1"/>
        <v>46872.837900841376</v>
      </c>
      <c r="Z137" s="13">
        <f ca="1"/>
        <v>47168.738312378649</v>
      </c>
      <c r="AA137" s="13">
        <f ca="1"/>
        <v>47466.547070581059</v>
      </c>
      <c r="AB137" s="13">
        <f ca="1"/>
        <v>47766.276776797</v>
      </c>
      <c r="AC137" s="13">
        <f ca="1"/>
        <v>48067.940117678707</v>
      </c>
      <c r="AD137" s="13">
        <f ca="1"/>
        <v>48371.549865774388</v>
      </c>
      <c r="AE137" s="13">
        <f ca="1"/>
        <v>48677.118880124253</v>
      </c>
      <c r="AF137" s="13">
        <f ca="1"/>
        <v>48984.660106861251</v>
      </c>
      <c r="AG137" s="13">
        <f ca="1"/>
        <v>49294.186579815585</v>
      </c>
      <c r="AH137" s="13">
        <f ca="1"/>
        <v>49605.711421123873</v>
      </c>
      <c r="AI137" s="13">
        <f ca="1"/>
        <v>49919.24784184256</v>
      </c>
      <c r="AJ137" s="13">
        <f ca="1"/>
        <v>50234.8091425655</v>
      </c>
      <c r="AK137" s="13">
        <f ca="1"/>
        <v>50552.408714046171</v>
      </c>
      <c r="AL137" s="56">
        <f ca="1"/>
        <v>50872.060037824354</v>
      </c>
      <c r="AM137" s="10"/>
    </row>
    <row r="138" spans="2:39">
      <c r="B138" s="10"/>
      <c r="C138" s="28" t="str">
        <f>INDEX(_fuel,1)</f>
        <v>Electricity</v>
      </c>
      <c r="D138" s="12" t="str">
        <f>_yearDol &amp; "$"</f>
        <v>2015$</v>
      </c>
      <c r="E138" s="13">
        <f ca="1">SUMPRODUCT(dFactor,tpSurvInMx,INDEX(elecInMx,1,6)*allOnes,OFFSET(tPrcElec,0,0,1,_maxLT))</f>
        <v>41167.697255738807</v>
      </c>
      <c r="F138" s="13">
        <f ca="1">SUMPRODUCT(dFactor,tpSurvInMx,INDEX(elecInMx,1,6)*allOnes,OFFSET(tPrcElec,0,1,1,_maxLT))</f>
        <v>41503.775677738202</v>
      </c>
      <c r="G138" s="13">
        <f ca="1">SUMPRODUCT(dFactor,tpSurvInMx,INDEX(elecInMx,1,6)*allOnes,OFFSET(tPrcElec,0,2,1,_maxLT))</f>
        <v>41829.526619108146</v>
      </c>
      <c r="H138" s="13">
        <f ca="1">SUMPRODUCT(dFactor,tpSurvInMx,INDEX(elecInMx,1,6)*allOnes,OFFSET(tPrcElec,0,3,1,_maxLT))</f>
        <v>42122.69879466635</v>
      </c>
      <c r="I138" s="13">
        <f ca="1">SUMPRODUCT(dFactor,tpSurvInMx,INDEX(elecInMx,1,6)*allOnes,OFFSET(tPrcElec,0,4,1,_maxLT))</f>
        <v>42388.0054447109</v>
      </c>
      <c r="J138" s="13">
        <f ca="1">SUMPRODUCT(dFactor,tpSurvInMx,INDEX(elecInMx,1,6)*allOnes,OFFSET(tPrcElec,0,5,1,_maxLT))</f>
        <v>42655.018716098835</v>
      </c>
      <c r="K138" s="13">
        <f ca="1">SUMPRODUCT(dFactor,tpSurvInMx,INDEX(elecInMx,1,6)*allOnes,OFFSET(tPrcElec,0,6,1,_maxLT))</f>
        <v>42923.749846659033</v>
      </c>
      <c r="L138" s="13">
        <f ca="1">SUMPRODUCT(dFactor,tpSurvInMx,INDEX(elecInMx,1,6)*allOnes,OFFSET(tPrcElec,0,7,1,_maxLT))</f>
        <v>43194.21015007497</v>
      </c>
      <c r="M138" s="13">
        <f ca="1">SUMPRODUCT(dFactor,tpSurvInMx,INDEX(elecInMx,1,6)*allOnes,OFFSET(tPrcElec,0,8,1,_maxLT))</f>
        <v>43466.411016409671</v>
      </c>
      <c r="N138" s="13">
        <f ca="1">SUMPRODUCT(dFactor,tpSurvInMx,INDEX(elecInMx,1,6)*allOnes,OFFSET(tPrcElec,0,9,1,_maxLT))</f>
        <v>43740.363912634581</v>
      </c>
      <c r="O138" s="13">
        <f ca="1">SUMPRODUCT(dFactor,tpSurvInMx,INDEX(elecInMx,1,6)*allOnes,OFFSET(tPrcElec,0,10,1,_maxLT))</f>
        <v>44016.08038316176</v>
      </c>
      <c r="P138" s="13">
        <f ca="1">SUMPRODUCT(dFactor,tpSurvInMx,INDEX(elecInMx,1,6)*allOnes,OFFSET(tPrcElec,0,11,1,_maxLT))</f>
        <v>44293.572050380302</v>
      </c>
      <c r="Q138" s="13">
        <f ca="1">SUMPRODUCT(dFactor,tpSurvInMx,INDEX(elecInMx,1,6)*allOnes,OFFSET(tPrcElec,0,12,1,_maxLT))</f>
        <v>44572.85061519617</v>
      </c>
      <c r="R138" s="13">
        <f ca="1">SUMPRODUCT(dFactor,tpSurvInMx,INDEX(elecInMx,1,6)*allOnes,OFFSET(tPrcElec,0,13,1,_maxLT))</f>
        <v>44853.92785757612</v>
      </c>
      <c r="S138" s="13">
        <f ca="1">SUMPRODUCT(dFactor,tpSurvInMx,INDEX(elecInMx,1,6)*allOnes,OFFSET(tPrcElec,0,14,1,_maxLT))</f>
        <v>45136.815637095438</v>
      </c>
      <c r="T138" s="13">
        <f ca="1">SUMPRODUCT(dFactor,tpSurvInMx,INDEX(elecInMx,1,6)*allOnes,OFFSET(tPrcElec,0,15,1,_maxLT))</f>
        <v>45421.525893489321</v>
      </c>
      <c r="U138" s="13">
        <f ca="1">SUMPRODUCT(dFactor,tpSurvInMx,INDEX(elecInMx,1,6)*allOnes,OFFSET(tPrcElec,0,16,1,_maxLT))</f>
        <v>45708.070647208631</v>
      </c>
      <c r="V138" s="13">
        <f ca="1">SUMPRODUCT(dFactor,tpSurvInMx,INDEX(elecInMx,1,6)*allOnes,OFFSET(tPrcElec,0,17,1,_maxLT))</f>
        <v>45996.461999979249</v>
      </c>
      <c r="W138" s="13">
        <f ca="1">SUMPRODUCT(dFactor,tpSurvInMx,INDEX(elecInMx,1,6)*allOnes,OFFSET(tPrcElec,0,18,1,_maxLT))</f>
        <v>46286.712135365313</v>
      </c>
      <c r="X138" s="13">
        <f ca="1">SUMPRODUCT(dFactor,tpSurvInMx,INDEX(elecInMx,1,6)*allOnes,OFFSET(tPrcElec,0,19,1,_maxLT))</f>
        <v>46578.833319336969</v>
      </c>
      <c r="Y138" s="13">
        <f ca="1">SUMPRODUCT(dFactor,tpSurvInMx,INDEX(elecInMx,1,6)*allOnes,OFFSET(tPrcElec,0,20,1,_maxLT))</f>
        <v>46872.837900841376</v>
      </c>
      <c r="Z138" s="13">
        <f ca="1">SUMPRODUCT(dFactor,tpSurvInMx,INDEX(elecInMx,1,6)*allOnes,OFFSET(tPrcElec,0,21,1,_maxLT))</f>
        <v>47168.738312378649</v>
      </c>
      <c r="AA138" s="13">
        <f ca="1">SUMPRODUCT(dFactor,tpSurvInMx,INDEX(elecInMx,1,6)*allOnes,OFFSET(tPrcElec,0,22,1,_maxLT))</f>
        <v>47466.547070581059</v>
      </c>
      <c r="AB138" s="13">
        <f ca="1">SUMPRODUCT(dFactor,tpSurvInMx,INDEX(elecInMx,1,6)*allOnes,OFFSET(tPrcElec,0,23,1,_maxLT))</f>
        <v>47766.276776797</v>
      </c>
      <c r="AC138" s="13">
        <f ca="1">SUMPRODUCT(dFactor,tpSurvInMx,INDEX(elecInMx,1,6)*allOnes,OFFSET(tPrcElec,0,24,1,_maxLT))</f>
        <v>48067.940117678707</v>
      </c>
      <c r="AD138" s="13">
        <f ca="1">SUMPRODUCT(dFactor,tpSurvInMx,INDEX(elecInMx,1,6)*allOnes,OFFSET(tPrcElec,0,25,1,_maxLT))</f>
        <v>48371.549865774388</v>
      </c>
      <c r="AE138" s="13">
        <f ca="1">SUMPRODUCT(dFactor,tpSurvInMx,INDEX(elecInMx,1,6)*allOnes,OFFSET(tPrcElec,0,26,1,_maxLT))</f>
        <v>48677.118880124253</v>
      </c>
      <c r="AF138" s="13">
        <f ca="1">SUMPRODUCT(dFactor,tpSurvInMx,INDEX(elecInMx,1,6)*allOnes,OFFSET(tPrcElec,0,27,1,_maxLT))</f>
        <v>48984.660106861251</v>
      </c>
      <c r="AG138" s="13">
        <f ca="1">SUMPRODUCT(dFactor,tpSurvInMx,INDEX(elecInMx,1,6)*allOnes,OFFSET(tPrcElec,0,28,1,_maxLT))</f>
        <v>49294.186579815585</v>
      </c>
      <c r="AH138" s="13">
        <f ca="1">SUMPRODUCT(dFactor,tpSurvInMx,INDEX(elecInMx,1,6)*allOnes,OFFSET(tPrcElec,0,29,1,_maxLT))</f>
        <v>49605.711421123873</v>
      </c>
      <c r="AI138" s="13">
        <f ca="1">SUMPRODUCT(dFactor,tpSurvInMx,INDEX(elecInMx,1,6)*allOnes,OFFSET(tPrcElec,0,30,1,_maxLT))</f>
        <v>49919.24784184256</v>
      </c>
      <c r="AJ138" s="13">
        <f ca="1">SUMPRODUCT(dFactor,tpSurvInMx,INDEX(elecInMx,1,6)*allOnes,OFFSET(tPrcElec,0,31,1,_maxLT))</f>
        <v>50234.8091425655</v>
      </c>
      <c r="AK138" s="13">
        <f ca="1">SUMPRODUCT(dFactor,tpSurvInMx,INDEX(elecInMx,1,6)*allOnes,OFFSET(tPrcElec,0,32,1,_maxLT))</f>
        <v>50552.408714046171</v>
      </c>
      <c r="AL138" s="56">
        <f ca="1">SUMPRODUCT(dFactor,tpSurvInMx,INDEX(elecInMx,1,6)*allOnes,OFFSET(tPrcElec,0,33,1,_maxLT))</f>
        <v>50872.060037824354</v>
      </c>
      <c r="AM138" s="10"/>
    </row>
    <row r="139" spans="2:39">
      <c r="B139" s="10"/>
      <c r="C139" s="16" t="s">
        <v>79</v>
      </c>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5"/>
      <c r="AM139" s="10"/>
    </row>
    <row r="140" spans="2:39">
      <c r="B140" s="10"/>
      <c r="C140" s="28" t="str">
        <f>INDEX(_fuel,1)</f>
        <v>Electricity</v>
      </c>
      <c r="D140" s="12" t="s">
        <v>83</v>
      </c>
      <c r="E140" s="39">
        <f ca="1">SUMPRODUCT(OFFSET(tConvElecInMx,0,0,1,_maxLT),INDEX(elecInMx,1,6)*allOnes,tpSurvInMx)</f>
        <v>8158.5008728218045</v>
      </c>
      <c r="F140" s="39">
        <f ca="1">SUMPRODUCT(OFFSET(tConvElecInMx,0,1,1,_maxLT),INDEX(elecInMx,1,6)*allOnes,tpSurvInMx)</f>
        <v>8099.2527096856911</v>
      </c>
      <c r="G140" s="39">
        <f ca="1">SUMPRODUCT(OFFSET(tConvElecInMx,0,2,1,_maxLT),INDEX(elecInMx,1,6)*allOnes,tpSurvInMx)</f>
        <v>8046.9489277805214</v>
      </c>
      <c r="H140" s="39">
        <f ca="1">SUMPRODUCT(OFFSET(tConvElecInMx,0,3,1,_maxLT),INDEX(elecInMx,1,6)*allOnes,tpSurvInMx)</f>
        <v>7997.2313794776255</v>
      </c>
      <c r="I140" s="39">
        <f ca="1">SUMPRODUCT(OFFSET(tConvElecInMx,0,4,1,_maxLT),INDEX(elecInMx,1,6)*allOnes,tpSurvInMx)</f>
        <v>7953.6714851687639</v>
      </c>
      <c r="J140" s="39">
        <f ca="1">SUMPRODUCT(OFFSET(tConvElecInMx,0,5,1,_maxLT),INDEX(elecInMx,1,6)*allOnes,tpSurvInMx)</f>
        <v>7919.6705322608195</v>
      </c>
      <c r="K140" s="39">
        <f ca="1">SUMPRODUCT(OFFSET(tConvElecInMx,0,6,1,_maxLT),INDEX(elecInMx,1,6)*allOnes,tpSurvInMx)</f>
        <v>7891.2533980682274</v>
      </c>
      <c r="L140" s="39">
        <f ca="1">SUMPRODUCT(OFFSET(tConvElecInMx,0,7,1,_maxLT),INDEX(elecInMx,1,6)*allOnes,tpSurvInMx)</f>
        <v>7862.6697848810791</v>
      </c>
      <c r="M140" s="39">
        <f ca="1">SUMPRODUCT(OFFSET(tConvElecInMx,0,8,1,_maxLT),INDEX(elecInMx,1,6)*allOnes,tpSurvInMx)</f>
        <v>7839.6302734593164</v>
      </c>
      <c r="N140" s="39">
        <f ca="1">SUMPRODUCT(OFFSET(tConvElecInMx,0,9,1,_maxLT),INDEX(elecInMx,1,6)*allOnes,tpSurvInMx)</f>
        <v>7823.4953079245797</v>
      </c>
      <c r="O140" s="39">
        <f ca="1">SUMPRODUCT(OFFSET(tConvElecInMx,0,10,1,_maxLT),INDEX(elecInMx,1,6)*allOnes,tpSurvInMx)</f>
        <v>7811.5569709276806</v>
      </c>
      <c r="P140" s="39">
        <f ca="1">SUMPRODUCT(OFFSET(tConvElecInMx,0,11,1,_maxLT),INDEX(elecInMx,1,6)*allOnes,tpSurvInMx)</f>
        <v>7801.3997578467643</v>
      </c>
      <c r="Q140" s="39">
        <f ca="1">SUMPRODUCT(OFFSET(tConvElecInMx,0,12,1,_maxLT),INDEX(elecInMx,1,6)*allOnes,tpSurvInMx)</f>
        <v>7793.7938635415239</v>
      </c>
      <c r="R140" s="39">
        <f ca="1">SUMPRODUCT(OFFSET(tConvElecInMx,0,13,1,_maxLT),INDEX(elecInMx,1,6)*allOnes,tpSurvInMx)</f>
        <v>7787.8889068426579</v>
      </c>
      <c r="S140" s="39">
        <f ca="1">SUMPRODUCT(OFFSET(tConvElecInMx,0,14,1,_maxLT),INDEX(elecInMx,1,6)*allOnes,tpSurvInMx)</f>
        <v>7786.7508307254811</v>
      </c>
      <c r="T140" s="39">
        <f ca="1">SUMPRODUCT(OFFSET(tConvElecInMx,0,15,1,_maxLT),INDEX(elecInMx,1,6)*allOnes,tpSurvInMx)</f>
        <v>7787.782543590999</v>
      </c>
      <c r="U140" s="39">
        <f ca="1">SUMPRODUCT(OFFSET(tConvElecInMx,0,16,1,_maxLT),INDEX(elecInMx,1,6)*allOnes,tpSurvInMx)</f>
        <v>7789.529291625553</v>
      </c>
      <c r="V140" s="39">
        <f ca="1">SUMPRODUCT(OFFSET(tConvElecInMx,0,17,1,_maxLT),INDEX(elecInMx,1,6)*allOnes,tpSurvInMx)</f>
        <v>7792.1908960608962</v>
      </c>
      <c r="W140" s="39">
        <f ca="1">SUMPRODUCT(OFFSET(tConvElecInMx,0,18,1,_maxLT),INDEX(elecInMx,1,6)*allOnes,tpSurvInMx)</f>
        <v>7794.7390293911139</v>
      </c>
      <c r="X140" s="39">
        <f ca="1">SUMPRODUCT(OFFSET(tConvElecInMx,0,19,1,_maxLT),INDEX(elecInMx,1,6)*allOnes,tpSurvInMx)</f>
        <v>7796.8504078535207</v>
      </c>
      <c r="Y140" s="39">
        <f ca="1">SUMPRODUCT(OFFSET(tConvElecInMx,0,20,1,_maxLT),INDEX(elecInMx,1,6)*allOnes,tpSurvInMx)</f>
        <v>7798.2662397654476</v>
      </c>
      <c r="Z140" s="39">
        <f ca="1">SUMPRODUCT(OFFSET(tConvElecInMx,0,21,1,_maxLT),INDEX(elecInMx,1,6)*allOnes,tpSurvInMx)</f>
        <v>7799.242410493579</v>
      </c>
      <c r="AA140" s="39">
        <f ca="1">SUMPRODUCT(OFFSET(tConvElecInMx,0,22,1,_maxLT),INDEX(elecInMx,1,6)*allOnes,tpSurvInMx)</f>
        <v>7799.242410493579</v>
      </c>
      <c r="AB140" s="39">
        <f ca="1">SUMPRODUCT(OFFSET(tConvElecInMx,0,23,1,_maxLT),INDEX(elecInMx,1,6)*allOnes,tpSurvInMx)</f>
        <v>7799.242410493579</v>
      </c>
      <c r="AC140" s="39">
        <f ca="1">SUMPRODUCT(OFFSET(tConvElecInMx,0,24,1,_maxLT),INDEX(elecInMx,1,6)*allOnes,tpSurvInMx)</f>
        <v>7799.242410493579</v>
      </c>
      <c r="AD140" s="39">
        <f ca="1">SUMPRODUCT(OFFSET(tConvElecInMx,0,25,1,_maxLT),INDEX(elecInMx,1,6)*allOnes,tpSurvInMx)</f>
        <v>7799.242410493579</v>
      </c>
      <c r="AE140" s="39">
        <f ca="1">SUMPRODUCT(OFFSET(tConvElecInMx,0,26,1,_maxLT),INDEX(elecInMx,1,6)*allOnes,tpSurvInMx)</f>
        <v>7799.242410493579</v>
      </c>
      <c r="AF140" s="39">
        <f ca="1">SUMPRODUCT(OFFSET(tConvElecInMx,0,27,1,_maxLT),INDEX(elecInMx,1,6)*allOnes,tpSurvInMx)</f>
        <v>7799.242410493579</v>
      </c>
      <c r="AG140" s="39">
        <f ca="1">SUMPRODUCT(OFFSET(tConvElecInMx,0,28,1,_maxLT),INDEX(elecInMx,1,6)*allOnes,tpSurvInMx)</f>
        <v>7799.242410493579</v>
      </c>
      <c r="AH140" s="39">
        <f ca="1">SUMPRODUCT(OFFSET(tConvElecInMx,0,29,1,_maxLT),INDEX(elecInMx,1,6)*allOnes,tpSurvInMx)</f>
        <v>7799.242410493579</v>
      </c>
      <c r="AI140" s="39">
        <f ca="1">SUMPRODUCT(OFFSET(tConvElecInMx,0,30,1,_maxLT),INDEX(elecInMx,1,6)*allOnes,tpSurvInMx)</f>
        <v>7799.242410493579</v>
      </c>
      <c r="AJ140" s="39">
        <f ca="1">SUMPRODUCT(OFFSET(tConvElecInMx,0,31,1,_maxLT),INDEX(elecInMx,1,6)*allOnes,tpSurvInMx)</f>
        <v>7799.242410493579</v>
      </c>
      <c r="AK140" s="39">
        <f ca="1">SUMPRODUCT(OFFSET(tConvElecInMx,0,32,1,_maxLT),INDEX(elecInMx,1,6)*allOnes,tpSurvInMx)</f>
        <v>7799.242410493579</v>
      </c>
      <c r="AL140" s="40">
        <f ca="1">SUMPRODUCT(OFFSET(tConvElecInMx,0,33,1,_maxLT),INDEX(elecInMx,1,6)*allOnes,tpSurvInMx)</f>
        <v>7799.242410493579</v>
      </c>
      <c r="AM140" s="10"/>
    </row>
    <row r="141" spans="2:39">
      <c r="B141" s="10"/>
      <c r="C141" s="57" t="str">
        <f>"EL 6: " &amp; INDEX(_doName,5,7)</f>
        <v>EL 6: EL 6</v>
      </c>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3"/>
      <c r="AM141" s="10"/>
    </row>
    <row r="142" spans="2:39">
      <c r="B142" s="10"/>
      <c r="C142" s="16" t="s">
        <v>69</v>
      </c>
      <c r="D142" s="12" t="str">
        <f>_yearDol &amp; "$"</f>
        <v>2015$</v>
      </c>
      <c r="E142" s="13">
        <f t="array" ref="E142:AL142">INDEX(mspInMx,1,7)*tPIdxAll + INDEX(instInMx,1,7) + IF(bESav,SUMPRODUCT(dFactor,tpSurvInMx,INDEX(mrInMx,1,7)*allOnes),0)</f>
        <v>5262.6649260700196</v>
      </c>
      <c r="F142" s="13">
        <v>5262.6649260700196</v>
      </c>
      <c r="G142" s="13">
        <v>5262.6649260700196</v>
      </c>
      <c r="H142" s="13">
        <v>5262.6649260700196</v>
      </c>
      <c r="I142" s="13">
        <v>5262.6649260700196</v>
      </c>
      <c r="J142" s="13">
        <v>5262.6649260700196</v>
      </c>
      <c r="K142" s="13">
        <v>5262.6649260700196</v>
      </c>
      <c r="L142" s="13">
        <v>5262.6649260700196</v>
      </c>
      <c r="M142" s="13">
        <v>5262.6649260700196</v>
      </c>
      <c r="N142" s="13">
        <v>5262.6649260700196</v>
      </c>
      <c r="O142" s="13">
        <v>5262.6649260700196</v>
      </c>
      <c r="P142" s="13">
        <v>5262.6649260700196</v>
      </c>
      <c r="Q142" s="13">
        <v>5262.6649260700196</v>
      </c>
      <c r="R142" s="13">
        <v>5262.6649260700196</v>
      </c>
      <c r="S142" s="13">
        <v>5262.6649260700196</v>
      </c>
      <c r="T142" s="13">
        <v>5262.6649260700196</v>
      </c>
      <c r="U142" s="13">
        <v>5262.6649260700196</v>
      </c>
      <c r="V142" s="13">
        <v>5262.6649260700196</v>
      </c>
      <c r="W142" s="13">
        <v>5262.6649260700196</v>
      </c>
      <c r="X142" s="13">
        <v>5262.6649260700196</v>
      </c>
      <c r="Y142" s="13">
        <v>5262.6649260700196</v>
      </c>
      <c r="Z142" s="13">
        <v>5262.6649260700196</v>
      </c>
      <c r="AA142" s="13">
        <v>5262.6649260700196</v>
      </c>
      <c r="AB142" s="13">
        <v>5262.6649260700196</v>
      </c>
      <c r="AC142" s="13">
        <v>5262.6649260700196</v>
      </c>
      <c r="AD142" s="13">
        <v>5262.6649260700196</v>
      </c>
      <c r="AE142" s="13">
        <v>5262.6649260700196</v>
      </c>
      <c r="AF142" s="13">
        <v>5262.6649260700196</v>
      </c>
      <c r="AG142" s="13">
        <v>5262.6649260700196</v>
      </c>
      <c r="AH142" s="13">
        <v>5262.6649260700196</v>
      </c>
      <c r="AI142" s="13">
        <v>5262.6649260700196</v>
      </c>
      <c r="AJ142" s="13">
        <v>5262.6649260700196</v>
      </c>
      <c r="AK142" s="13">
        <v>5262.6649260700196</v>
      </c>
      <c r="AL142" s="56">
        <v>5262.6649260700196</v>
      </c>
      <c r="AM142" s="10"/>
    </row>
    <row r="143" spans="2:39">
      <c r="B143" s="10"/>
      <c r="C143" s="16" t="str">
        <f>zEO&amp;" Costs"</f>
        <v>Operating Costs</v>
      </c>
      <c r="D143" s="12" t="str">
        <f>_yearDol &amp; "$"</f>
        <v>2015$</v>
      </c>
      <c r="E143" s="13">
        <f t="array" aca="1" ref="E143:AL143" ca="1">(tlccEFuElecbc6) + IF(bOSav,SUMPRODUCT(dFactor,tpSurvInMx,INDEX(mrInMx,1,7)*allOnes),0)</f>
        <v>21804.025159934259</v>
      </c>
      <c r="F143" s="13">
        <f ca="1"/>
        <v>21982.025457678981</v>
      </c>
      <c r="G143" s="13">
        <f ca="1"/>
        <v>22154.555917116144</v>
      </c>
      <c r="H143" s="13">
        <f ca="1"/>
        <v>22309.831385946785</v>
      </c>
      <c r="I143" s="13">
        <f ca="1"/>
        <v>22450.348180868139</v>
      </c>
      <c r="J143" s="13">
        <f ca="1"/>
        <v>22591.768869307751</v>
      </c>
      <c r="K143" s="13">
        <f ca="1"/>
        <v>22734.099403259952</v>
      </c>
      <c r="L143" s="13">
        <f ca="1"/>
        <v>22877.345774894748</v>
      </c>
      <c r="M143" s="13">
        <f ca="1"/>
        <v>23021.514016835703</v>
      </c>
      <c r="N143" s="13">
        <f ca="1"/>
        <v>23166.610202440115</v>
      </c>
      <c r="O143" s="13">
        <f ca="1"/>
        <v>23312.640446080837</v>
      </c>
      <c r="P143" s="13">
        <f ca="1"/>
        <v>23459.610903430435</v>
      </c>
      <c r="Q143" s="13">
        <f ca="1"/>
        <v>23607.527771747053</v>
      </c>
      <c r="R143" s="13">
        <f ca="1"/>
        <v>23756.397290162553</v>
      </c>
      <c r="S143" s="13">
        <f ca="1"/>
        <v>23906.225739972586</v>
      </c>
      <c r="T143" s="13">
        <f ca="1"/>
        <v>24057.019444928697</v>
      </c>
      <c r="U143" s="13">
        <f ca="1"/>
        <v>24208.784771532486</v>
      </c>
      <c r="V143" s="13">
        <f ca="1"/>
        <v>24361.528129332048</v>
      </c>
      <c r="W143" s="13">
        <f ca="1"/>
        <v>24515.255971220278</v>
      </c>
      <c r="X143" s="13">
        <f ca="1"/>
        <v>24669.974793735419</v>
      </c>
      <c r="Y143" s="13">
        <f ca="1"/>
        <v>24825.691137363669</v>
      </c>
      <c r="Z143" s="13">
        <f ca="1"/>
        <v>24982.411586844071</v>
      </c>
      <c r="AA143" s="13">
        <f ca="1"/>
        <v>25140.142771475475</v>
      </c>
      <c r="AB143" s="13">
        <f ca="1"/>
        <v>25298.89136542557</v>
      </c>
      <c r="AC143" s="13">
        <f ca="1"/>
        <v>25458.66408804242</v>
      </c>
      <c r="AD143" s="13">
        <f ca="1"/>
        <v>25619.46770416783</v>
      </c>
      <c r="AE143" s="13">
        <f ca="1"/>
        <v>25781.309024453287</v>
      </c>
      <c r="AF143" s="13">
        <f ca="1"/>
        <v>25944.19490567793</v>
      </c>
      <c r="AG143" s="13">
        <f ca="1"/>
        <v>26108.132251068833</v>
      </c>
      <c r="AH143" s="13">
        <f ca="1"/>
        <v>26273.128010623586</v>
      </c>
      <c r="AI143" s="13">
        <f ca="1"/>
        <v>26439.189181435195</v>
      </c>
      <c r="AJ143" s="13">
        <f ca="1"/>
        <v>26606.322808019198</v>
      </c>
      <c r="AK143" s="13">
        <f ca="1"/>
        <v>26774.535982643254</v>
      </c>
      <c r="AL143" s="56">
        <f ca="1"/>
        <v>26943.835845658879</v>
      </c>
      <c r="AM143" s="10"/>
    </row>
    <row r="144" spans="2:39">
      <c r="B144" s="10"/>
      <c r="C144" s="28" t="str">
        <f>INDEX(_fuel,1)</f>
        <v>Electricity</v>
      </c>
      <c r="D144" s="12" t="str">
        <f>_yearDol &amp; "$"</f>
        <v>2015$</v>
      </c>
      <c r="E144" s="13">
        <f ca="1">SUMPRODUCT(dFactor,tpSurvInMx,INDEX(elecInMx,1,7)*allOnes,OFFSET(tPrcElec,0,0,1,_maxLT))</f>
        <v>21804.025159934259</v>
      </c>
      <c r="F144" s="13">
        <f ca="1">SUMPRODUCT(dFactor,tpSurvInMx,INDEX(elecInMx,1,7)*allOnes,OFFSET(tPrcElec,0,1,1,_maxLT))</f>
        <v>21982.025457678981</v>
      </c>
      <c r="G144" s="13">
        <f ca="1">SUMPRODUCT(dFactor,tpSurvInMx,INDEX(elecInMx,1,7)*allOnes,OFFSET(tPrcElec,0,2,1,_maxLT))</f>
        <v>22154.555917116144</v>
      </c>
      <c r="H144" s="13">
        <f ca="1">SUMPRODUCT(dFactor,tpSurvInMx,INDEX(elecInMx,1,7)*allOnes,OFFSET(tPrcElec,0,3,1,_maxLT))</f>
        <v>22309.831385946785</v>
      </c>
      <c r="I144" s="13">
        <f ca="1">SUMPRODUCT(dFactor,tpSurvInMx,INDEX(elecInMx,1,7)*allOnes,OFFSET(tPrcElec,0,4,1,_maxLT))</f>
        <v>22450.348180868139</v>
      </c>
      <c r="J144" s="13">
        <f ca="1">SUMPRODUCT(dFactor,tpSurvInMx,INDEX(elecInMx,1,7)*allOnes,OFFSET(tPrcElec,0,5,1,_maxLT))</f>
        <v>22591.768869307751</v>
      </c>
      <c r="K144" s="13">
        <f ca="1">SUMPRODUCT(dFactor,tpSurvInMx,INDEX(elecInMx,1,7)*allOnes,OFFSET(tPrcElec,0,6,1,_maxLT))</f>
        <v>22734.099403259952</v>
      </c>
      <c r="L144" s="13">
        <f ca="1">SUMPRODUCT(dFactor,tpSurvInMx,INDEX(elecInMx,1,7)*allOnes,OFFSET(tPrcElec,0,7,1,_maxLT))</f>
        <v>22877.345774894748</v>
      </c>
      <c r="M144" s="13">
        <f ca="1">SUMPRODUCT(dFactor,tpSurvInMx,INDEX(elecInMx,1,7)*allOnes,OFFSET(tPrcElec,0,8,1,_maxLT))</f>
        <v>23021.514016835703</v>
      </c>
      <c r="N144" s="13">
        <f ca="1">SUMPRODUCT(dFactor,tpSurvInMx,INDEX(elecInMx,1,7)*allOnes,OFFSET(tPrcElec,0,9,1,_maxLT))</f>
        <v>23166.610202440115</v>
      </c>
      <c r="O144" s="13">
        <f ca="1">SUMPRODUCT(dFactor,tpSurvInMx,INDEX(elecInMx,1,7)*allOnes,OFFSET(tPrcElec,0,10,1,_maxLT))</f>
        <v>23312.640446080837</v>
      </c>
      <c r="P144" s="13">
        <f ca="1">SUMPRODUCT(dFactor,tpSurvInMx,INDEX(elecInMx,1,7)*allOnes,OFFSET(tPrcElec,0,11,1,_maxLT))</f>
        <v>23459.610903430435</v>
      </c>
      <c r="Q144" s="13">
        <f ca="1">SUMPRODUCT(dFactor,tpSurvInMx,INDEX(elecInMx,1,7)*allOnes,OFFSET(tPrcElec,0,12,1,_maxLT))</f>
        <v>23607.527771747053</v>
      </c>
      <c r="R144" s="13">
        <f ca="1">SUMPRODUCT(dFactor,tpSurvInMx,INDEX(elecInMx,1,7)*allOnes,OFFSET(tPrcElec,0,13,1,_maxLT))</f>
        <v>23756.397290162553</v>
      </c>
      <c r="S144" s="13">
        <f ca="1">SUMPRODUCT(dFactor,tpSurvInMx,INDEX(elecInMx,1,7)*allOnes,OFFSET(tPrcElec,0,14,1,_maxLT))</f>
        <v>23906.225739972586</v>
      </c>
      <c r="T144" s="13">
        <f ca="1">SUMPRODUCT(dFactor,tpSurvInMx,INDEX(elecInMx,1,7)*allOnes,OFFSET(tPrcElec,0,15,1,_maxLT))</f>
        <v>24057.019444928697</v>
      </c>
      <c r="U144" s="13">
        <f ca="1">SUMPRODUCT(dFactor,tpSurvInMx,INDEX(elecInMx,1,7)*allOnes,OFFSET(tPrcElec,0,16,1,_maxLT))</f>
        <v>24208.784771532486</v>
      </c>
      <c r="V144" s="13">
        <f ca="1">SUMPRODUCT(dFactor,tpSurvInMx,INDEX(elecInMx,1,7)*allOnes,OFFSET(tPrcElec,0,17,1,_maxLT))</f>
        <v>24361.528129332048</v>
      </c>
      <c r="W144" s="13">
        <f ca="1">SUMPRODUCT(dFactor,tpSurvInMx,INDEX(elecInMx,1,7)*allOnes,OFFSET(tPrcElec,0,18,1,_maxLT))</f>
        <v>24515.255971220278</v>
      </c>
      <c r="X144" s="13">
        <f ca="1">SUMPRODUCT(dFactor,tpSurvInMx,INDEX(elecInMx,1,7)*allOnes,OFFSET(tPrcElec,0,19,1,_maxLT))</f>
        <v>24669.974793735419</v>
      </c>
      <c r="Y144" s="13">
        <f ca="1">SUMPRODUCT(dFactor,tpSurvInMx,INDEX(elecInMx,1,7)*allOnes,OFFSET(tPrcElec,0,20,1,_maxLT))</f>
        <v>24825.691137363669</v>
      </c>
      <c r="Z144" s="13">
        <f ca="1">SUMPRODUCT(dFactor,tpSurvInMx,INDEX(elecInMx,1,7)*allOnes,OFFSET(tPrcElec,0,21,1,_maxLT))</f>
        <v>24982.411586844071</v>
      </c>
      <c r="AA144" s="13">
        <f ca="1">SUMPRODUCT(dFactor,tpSurvInMx,INDEX(elecInMx,1,7)*allOnes,OFFSET(tPrcElec,0,22,1,_maxLT))</f>
        <v>25140.142771475475</v>
      </c>
      <c r="AB144" s="13">
        <f ca="1">SUMPRODUCT(dFactor,tpSurvInMx,INDEX(elecInMx,1,7)*allOnes,OFFSET(tPrcElec,0,23,1,_maxLT))</f>
        <v>25298.89136542557</v>
      </c>
      <c r="AC144" s="13">
        <f ca="1">SUMPRODUCT(dFactor,tpSurvInMx,INDEX(elecInMx,1,7)*allOnes,OFFSET(tPrcElec,0,24,1,_maxLT))</f>
        <v>25458.66408804242</v>
      </c>
      <c r="AD144" s="13">
        <f ca="1">SUMPRODUCT(dFactor,tpSurvInMx,INDEX(elecInMx,1,7)*allOnes,OFFSET(tPrcElec,0,25,1,_maxLT))</f>
        <v>25619.46770416783</v>
      </c>
      <c r="AE144" s="13">
        <f ca="1">SUMPRODUCT(dFactor,tpSurvInMx,INDEX(elecInMx,1,7)*allOnes,OFFSET(tPrcElec,0,26,1,_maxLT))</f>
        <v>25781.309024453287</v>
      </c>
      <c r="AF144" s="13">
        <f ca="1">SUMPRODUCT(dFactor,tpSurvInMx,INDEX(elecInMx,1,7)*allOnes,OFFSET(tPrcElec,0,27,1,_maxLT))</f>
        <v>25944.19490567793</v>
      </c>
      <c r="AG144" s="13">
        <f ca="1">SUMPRODUCT(dFactor,tpSurvInMx,INDEX(elecInMx,1,7)*allOnes,OFFSET(tPrcElec,0,28,1,_maxLT))</f>
        <v>26108.132251068833</v>
      </c>
      <c r="AH144" s="13">
        <f ca="1">SUMPRODUCT(dFactor,tpSurvInMx,INDEX(elecInMx,1,7)*allOnes,OFFSET(tPrcElec,0,29,1,_maxLT))</f>
        <v>26273.128010623586</v>
      </c>
      <c r="AI144" s="13">
        <f ca="1">SUMPRODUCT(dFactor,tpSurvInMx,INDEX(elecInMx,1,7)*allOnes,OFFSET(tPrcElec,0,30,1,_maxLT))</f>
        <v>26439.189181435195</v>
      </c>
      <c r="AJ144" s="13">
        <f ca="1">SUMPRODUCT(dFactor,tpSurvInMx,INDEX(elecInMx,1,7)*allOnes,OFFSET(tPrcElec,0,31,1,_maxLT))</f>
        <v>26606.322808019198</v>
      </c>
      <c r="AK144" s="13">
        <f ca="1">SUMPRODUCT(dFactor,tpSurvInMx,INDEX(elecInMx,1,7)*allOnes,OFFSET(tPrcElec,0,32,1,_maxLT))</f>
        <v>26774.535982643254</v>
      </c>
      <c r="AL144" s="56">
        <f ca="1">SUMPRODUCT(dFactor,tpSurvInMx,INDEX(elecInMx,1,7)*allOnes,OFFSET(tPrcElec,0,33,1,_maxLT))</f>
        <v>26943.835845658879</v>
      </c>
      <c r="AM144" s="10"/>
    </row>
    <row r="145" spans="2:39">
      <c r="B145" s="10"/>
      <c r="C145" s="16" t="s">
        <v>79</v>
      </c>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5"/>
      <c r="AM145" s="10"/>
    </row>
    <row r="146" spans="2:39">
      <c r="B146" s="10"/>
      <c r="C146" s="28" t="str">
        <f>INDEX(_fuel,1)</f>
        <v>Electricity</v>
      </c>
      <c r="D146" s="12" t="s">
        <v>83</v>
      </c>
      <c r="E146" s="39">
        <f ca="1">SUMPRODUCT(OFFSET(tConvElecInMx,0,0,1,_maxLT),INDEX(elecInMx,1,7)*allOnes,tpSurvInMx)</f>
        <v>4321.0616613625216</v>
      </c>
      <c r="F146" s="39">
        <f ca="1">SUMPRODUCT(OFFSET(tConvElecInMx,0,1,1,_maxLT),INDEX(elecInMx,1,7)*allOnes,tpSurvInMx)</f>
        <v>4289.6815131925978</v>
      </c>
      <c r="G146" s="39">
        <f ca="1">SUMPRODUCT(OFFSET(tConvElecInMx,0,2,1,_maxLT),INDEX(elecInMx,1,7)*allOnes,tpSurvInMx)</f>
        <v>4261.97938136007</v>
      </c>
      <c r="H146" s="39">
        <f ca="1">SUMPRODUCT(OFFSET(tConvElecInMx,0,3,1,_maxLT),INDEX(elecInMx,1,7)*allOnes,tpSurvInMx)</f>
        <v>4235.6470201557895</v>
      </c>
      <c r="I146" s="39">
        <f ca="1">SUMPRODUCT(OFFSET(tConvElecInMx,0,4,1,_maxLT),INDEX(elecInMx,1,7)*allOnes,tpSurvInMx)</f>
        <v>4212.5759937251805</v>
      </c>
      <c r="J146" s="39">
        <f ca="1">SUMPRODUCT(OFFSET(tConvElecInMx,0,5,1,_maxLT),INDEX(elecInMx,1,7)*allOnes,tpSurvInMx)</f>
        <v>4194.5677571201277</v>
      </c>
      <c r="K146" s="39">
        <f ca="1">SUMPRODUCT(OFFSET(tConvElecInMx,0,6,1,_maxLT),INDEX(elecInMx,1,7)*allOnes,tpSurvInMx)</f>
        <v>4179.5169296458735</v>
      </c>
      <c r="L146" s="39">
        <f ca="1">SUMPRODUCT(OFFSET(tConvElecInMx,0,7,1,_maxLT),INDEX(elecInMx,1,7)*allOnes,tpSurvInMx)</f>
        <v>4164.3779283744934</v>
      </c>
      <c r="M146" s="39">
        <f ca="1">SUMPRODUCT(OFFSET(tConvElecInMx,0,8,1,_maxLT),INDEX(elecInMx,1,7)*allOnes,tpSurvInMx)</f>
        <v>4152.175300581348</v>
      </c>
      <c r="N146" s="39">
        <f ca="1">SUMPRODUCT(OFFSET(tConvElecInMx,0,9,1,_maxLT),INDEX(elecInMx,1,7)*allOnes,tpSurvInMx)</f>
        <v>4143.629590766961</v>
      </c>
      <c r="O146" s="39">
        <f ca="1">SUMPRODUCT(OFFSET(tConvElecInMx,0,10,1,_maxLT),INDEX(elecInMx,1,7)*allOnes,tpSurvInMx)</f>
        <v>4137.3065798239122</v>
      </c>
      <c r="P146" s="39">
        <f ca="1">SUMPRODUCT(OFFSET(tConvElecInMx,0,11,1,_maxLT),INDEX(elecInMx,1,7)*allOnes,tpSurvInMx)</f>
        <v>4131.9269218800791</v>
      </c>
      <c r="Q146" s="39">
        <f ca="1">SUMPRODUCT(OFFSET(tConvElecInMx,0,12,1,_maxLT),INDEX(elecInMx,1,7)*allOnes,tpSurvInMx)</f>
        <v>4127.8985423045824</v>
      </c>
      <c r="R146" s="39">
        <f ca="1">SUMPRODUCT(OFFSET(tConvElecInMx,0,13,1,_maxLT),INDEX(elecInMx,1,7)*allOnes,tpSurvInMx)</f>
        <v>4124.771045917535</v>
      </c>
      <c r="S146" s="39">
        <f ca="1">SUMPRODUCT(OFFSET(tConvElecInMx,0,14,1,_maxLT),INDEX(elecInMx,1,7)*allOnes,tpSurvInMx)</f>
        <v>4124.168276223163</v>
      </c>
      <c r="T146" s="39">
        <f ca="1">SUMPRODUCT(OFFSET(tConvElecInMx,0,15,1,_maxLT),INDEX(elecInMx,1,7)*allOnes,tpSurvInMx)</f>
        <v>4124.7147117728091</v>
      </c>
      <c r="U146" s="39">
        <f ca="1">SUMPRODUCT(OFFSET(tConvElecInMx,0,16,1,_maxLT),INDEX(elecInMx,1,7)*allOnes,tpSurvInMx)</f>
        <v>4125.6398579585884</v>
      </c>
      <c r="V146" s="39">
        <f ca="1">SUMPRODUCT(OFFSET(tConvElecInMx,0,17,1,_maxLT),INDEX(elecInMx,1,7)*allOnes,tpSurvInMx)</f>
        <v>4127.0495479325864</v>
      </c>
      <c r="W146" s="39">
        <f ca="1">SUMPRODUCT(OFFSET(tConvElecInMx,0,18,1,_maxLT),INDEX(elecInMx,1,7)*allOnes,tpSurvInMx)</f>
        <v>4128.3991391642212</v>
      </c>
      <c r="X146" s="39">
        <f ca="1">SUMPRODUCT(OFFSET(tConvElecInMx,0,19,1,_maxLT),INDEX(elecInMx,1,7)*allOnes,tpSurvInMx)</f>
        <v>4129.5174079085346</v>
      </c>
      <c r="Y146" s="39">
        <f ca="1">SUMPRODUCT(OFFSET(tConvElecInMx,0,20,1,_maxLT),INDEX(elecInMx,1,7)*allOnes,tpSurvInMx)</f>
        <v>4130.2672879525435</v>
      </c>
      <c r="Z146" s="39">
        <f ca="1">SUMPRODUCT(OFFSET(tConvElecInMx,0,21,1,_maxLT),INDEX(elecInMx,1,7)*allOnes,tpSurvInMx)</f>
        <v>4130.7843062104348</v>
      </c>
      <c r="AA146" s="39">
        <f ca="1">SUMPRODUCT(OFFSET(tConvElecInMx,0,22,1,_maxLT),INDEX(elecInMx,1,7)*allOnes,tpSurvInMx)</f>
        <v>4130.7843062104348</v>
      </c>
      <c r="AB146" s="39">
        <f ca="1">SUMPRODUCT(OFFSET(tConvElecInMx,0,23,1,_maxLT),INDEX(elecInMx,1,7)*allOnes,tpSurvInMx)</f>
        <v>4130.7843062104348</v>
      </c>
      <c r="AC146" s="39">
        <f ca="1">SUMPRODUCT(OFFSET(tConvElecInMx,0,24,1,_maxLT),INDEX(elecInMx,1,7)*allOnes,tpSurvInMx)</f>
        <v>4130.7843062104348</v>
      </c>
      <c r="AD146" s="39">
        <f ca="1">SUMPRODUCT(OFFSET(tConvElecInMx,0,25,1,_maxLT),INDEX(elecInMx,1,7)*allOnes,tpSurvInMx)</f>
        <v>4130.7843062104348</v>
      </c>
      <c r="AE146" s="39">
        <f ca="1">SUMPRODUCT(OFFSET(tConvElecInMx,0,26,1,_maxLT),INDEX(elecInMx,1,7)*allOnes,tpSurvInMx)</f>
        <v>4130.7843062104348</v>
      </c>
      <c r="AF146" s="39">
        <f ca="1">SUMPRODUCT(OFFSET(tConvElecInMx,0,27,1,_maxLT),INDEX(elecInMx,1,7)*allOnes,tpSurvInMx)</f>
        <v>4130.7843062104348</v>
      </c>
      <c r="AG146" s="39">
        <f ca="1">SUMPRODUCT(OFFSET(tConvElecInMx,0,28,1,_maxLT),INDEX(elecInMx,1,7)*allOnes,tpSurvInMx)</f>
        <v>4130.7843062104348</v>
      </c>
      <c r="AH146" s="39">
        <f ca="1">SUMPRODUCT(OFFSET(tConvElecInMx,0,29,1,_maxLT),INDEX(elecInMx,1,7)*allOnes,tpSurvInMx)</f>
        <v>4130.7843062104348</v>
      </c>
      <c r="AI146" s="39">
        <f ca="1">SUMPRODUCT(OFFSET(tConvElecInMx,0,30,1,_maxLT),INDEX(elecInMx,1,7)*allOnes,tpSurvInMx)</f>
        <v>4130.7843062104348</v>
      </c>
      <c r="AJ146" s="39">
        <f ca="1">SUMPRODUCT(OFFSET(tConvElecInMx,0,31,1,_maxLT),INDEX(elecInMx,1,7)*allOnes,tpSurvInMx)</f>
        <v>4130.7843062104348</v>
      </c>
      <c r="AK146" s="39">
        <f ca="1">SUMPRODUCT(OFFSET(tConvElecInMx,0,32,1,_maxLT),INDEX(elecInMx,1,7)*allOnes,tpSurvInMx)</f>
        <v>4130.7843062104348</v>
      </c>
      <c r="AL146" s="40">
        <f ca="1">SUMPRODUCT(OFFSET(tConvElecInMx,0,33,1,_maxLT),INDEX(elecInMx,1,7)*allOnes,tpSurvInMx)</f>
        <v>4130.7843062104348</v>
      </c>
      <c r="AM146" s="10"/>
    </row>
    <row r="147" spans="2:39">
      <c r="B147" s="10"/>
      <c r="C147" s="41" t="str">
        <f ca="1">"Std (CSL " &amp; stdCSL &amp; "): " &amp; INDEX(_doName,5,stdCSL+1)</f>
        <v>Std (CSL 5): EL 5</v>
      </c>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3"/>
      <c r="AM147" s="10"/>
    </row>
    <row r="148" spans="2:39">
      <c r="B148" s="10"/>
      <c r="C148" s="57" t="str">
        <f>"EL 0: " &amp; INDEX(_doName,5,1)</f>
        <v>EL 0: EL 4</v>
      </c>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3"/>
      <c r="AM148" s="10"/>
    </row>
    <row r="149" spans="2:39">
      <c r="B149" s="10"/>
      <c r="C149" s="16" t="s">
        <v>69</v>
      </c>
      <c r="D149" s="12" t="str">
        <f>_yearDol &amp; "$"</f>
        <v>2015$</v>
      </c>
      <c r="E149" s="13">
        <f t="array" aca="1" ref="E149:AL149" ca="1">INDEX(mspInMx,stdCSL+1,1)*tPIdxAll + INDEX(instInMx,stdCSL+1,1) + IF(bESav,SUMPRODUCT(dFactor,tpSurvInMx,INDEX(mrInMx,stdCSL+1,1)*allOnes),0)</f>
        <v>0</v>
      </c>
      <c r="F149" s="13">
        <f ca="1"/>
        <v>0</v>
      </c>
      <c r="G149" s="13">
        <f ca="1"/>
        <v>0</v>
      </c>
      <c r="H149" s="13">
        <f ca="1"/>
        <v>0</v>
      </c>
      <c r="I149" s="13">
        <f ca="1"/>
        <v>0</v>
      </c>
      <c r="J149" s="13">
        <f ca="1"/>
        <v>0</v>
      </c>
      <c r="K149" s="13">
        <f ca="1"/>
        <v>0</v>
      </c>
      <c r="L149" s="13">
        <f ca="1"/>
        <v>0</v>
      </c>
      <c r="M149" s="13">
        <f ca="1"/>
        <v>0</v>
      </c>
      <c r="N149" s="13">
        <f ca="1"/>
        <v>0</v>
      </c>
      <c r="O149" s="13">
        <f ca="1"/>
        <v>0</v>
      </c>
      <c r="P149" s="13">
        <f ca="1"/>
        <v>0</v>
      </c>
      <c r="Q149" s="13">
        <f ca="1"/>
        <v>0</v>
      </c>
      <c r="R149" s="13">
        <f ca="1"/>
        <v>0</v>
      </c>
      <c r="S149" s="13">
        <f ca="1"/>
        <v>0</v>
      </c>
      <c r="T149" s="13">
        <f ca="1"/>
        <v>0</v>
      </c>
      <c r="U149" s="13">
        <f ca="1"/>
        <v>0</v>
      </c>
      <c r="V149" s="13">
        <f ca="1"/>
        <v>0</v>
      </c>
      <c r="W149" s="13">
        <f ca="1"/>
        <v>0</v>
      </c>
      <c r="X149" s="13">
        <f ca="1"/>
        <v>0</v>
      </c>
      <c r="Y149" s="13">
        <f ca="1"/>
        <v>0</v>
      </c>
      <c r="Z149" s="13">
        <f ca="1"/>
        <v>0</v>
      </c>
      <c r="AA149" s="13">
        <f ca="1"/>
        <v>0</v>
      </c>
      <c r="AB149" s="13">
        <f ca="1"/>
        <v>0</v>
      </c>
      <c r="AC149" s="13">
        <f ca="1"/>
        <v>0</v>
      </c>
      <c r="AD149" s="13">
        <f ca="1"/>
        <v>0</v>
      </c>
      <c r="AE149" s="13">
        <f ca="1"/>
        <v>0</v>
      </c>
      <c r="AF149" s="13">
        <f ca="1"/>
        <v>0</v>
      </c>
      <c r="AG149" s="13">
        <f ca="1"/>
        <v>0</v>
      </c>
      <c r="AH149" s="13">
        <f ca="1"/>
        <v>0</v>
      </c>
      <c r="AI149" s="13">
        <f ca="1"/>
        <v>0</v>
      </c>
      <c r="AJ149" s="13">
        <f ca="1"/>
        <v>0</v>
      </c>
      <c r="AK149" s="13">
        <f ca="1"/>
        <v>0</v>
      </c>
      <c r="AL149" s="56">
        <f ca="1"/>
        <v>0</v>
      </c>
      <c r="AM149" s="10"/>
    </row>
    <row r="150" spans="2:39">
      <c r="B150" s="10"/>
      <c r="C150" s="16" t="str">
        <f>zEO&amp;" Costs"</f>
        <v>Operating Costs</v>
      </c>
      <c r="D150" s="12" t="str">
        <f>_yearDol &amp; "$"</f>
        <v>2015$</v>
      </c>
      <c r="E150" s="13">
        <f t="array" aca="1" ref="E150:AL150" ca="1">(tlccEFuElecpol0) + IF(bOSav,SUMPRODUCT(dFactor,tpSurvInMx,INDEX(mrInMx,stdCSL+1,1)*allOnes),0)</f>
        <v>0</v>
      </c>
      <c r="F150" s="13">
        <f ca="1"/>
        <v>0</v>
      </c>
      <c r="G150" s="13">
        <f ca="1"/>
        <v>0</v>
      </c>
      <c r="H150" s="13">
        <f ca="1"/>
        <v>0</v>
      </c>
      <c r="I150" s="13">
        <f ca="1"/>
        <v>0</v>
      </c>
      <c r="J150" s="13">
        <f ca="1"/>
        <v>0</v>
      </c>
      <c r="K150" s="13">
        <f ca="1"/>
        <v>0</v>
      </c>
      <c r="L150" s="13">
        <f ca="1"/>
        <v>0</v>
      </c>
      <c r="M150" s="13">
        <f ca="1"/>
        <v>0</v>
      </c>
      <c r="N150" s="13">
        <f ca="1"/>
        <v>0</v>
      </c>
      <c r="O150" s="13">
        <f ca="1"/>
        <v>0</v>
      </c>
      <c r="P150" s="13">
        <f ca="1"/>
        <v>0</v>
      </c>
      <c r="Q150" s="13">
        <f ca="1"/>
        <v>0</v>
      </c>
      <c r="R150" s="13">
        <f ca="1"/>
        <v>0</v>
      </c>
      <c r="S150" s="13">
        <f ca="1"/>
        <v>0</v>
      </c>
      <c r="T150" s="13">
        <f ca="1"/>
        <v>0</v>
      </c>
      <c r="U150" s="13">
        <f ca="1"/>
        <v>0</v>
      </c>
      <c r="V150" s="13">
        <f ca="1"/>
        <v>0</v>
      </c>
      <c r="W150" s="13">
        <f ca="1"/>
        <v>0</v>
      </c>
      <c r="X150" s="13">
        <f ca="1"/>
        <v>0</v>
      </c>
      <c r="Y150" s="13">
        <f ca="1"/>
        <v>0</v>
      </c>
      <c r="Z150" s="13">
        <f ca="1"/>
        <v>0</v>
      </c>
      <c r="AA150" s="13">
        <f ca="1"/>
        <v>0</v>
      </c>
      <c r="AB150" s="13">
        <f ca="1"/>
        <v>0</v>
      </c>
      <c r="AC150" s="13">
        <f ca="1"/>
        <v>0</v>
      </c>
      <c r="AD150" s="13">
        <f ca="1"/>
        <v>0</v>
      </c>
      <c r="AE150" s="13">
        <f ca="1"/>
        <v>0</v>
      </c>
      <c r="AF150" s="13">
        <f ca="1"/>
        <v>0</v>
      </c>
      <c r="AG150" s="13">
        <f ca="1"/>
        <v>0</v>
      </c>
      <c r="AH150" s="13">
        <f ca="1"/>
        <v>0</v>
      </c>
      <c r="AI150" s="13">
        <f ca="1"/>
        <v>0</v>
      </c>
      <c r="AJ150" s="13">
        <f ca="1"/>
        <v>0</v>
      </c>
      <c r="AK150" s="13">
        <f ca="1"/>
        <v>0</v>
      </c>
      <c r="AL150" s="56">
        <f ca="1"/>
        <v>0</v>
      </c>
      <c r="AM150" s="10"/>
    </row>
    <row r="151" spans="2:39">
      <c r="B151" s="10"/>
      <c r="C151" s="28" t="str">
        <f>INDEX(_fuel,1)</f>
        <v>Electricity</v>
      </c>
      <c r="D151" s="12" t="str">
        <f>_yearDol &amp; "$"</f>
        <v>2015$</v>
      </c>
      <c r="E151" s="13">
        <f ca="1">SUMPRODUCT(dFactor,tpSurvInMx,INDEX(elecInMx,stdCSL+1,1)*allOnes,OFFSET(tPrcElec,0,0,1,_maxLT))</f>
        <v>0</v>
      </c>
      <c r="F151" s="13">
        <f ca="1">SUMPRODUCT(dFactor,tpSurvInMx,INDEX(elecInMx,stdCSL+1,1)*allOnes,OFFSET(tPrcElec,0,1,1,_maxLT))</f>
        <v>0</v>
      </c>
      <c r="G151" s="13">
        <f ca="1">SUMPRODUCT(dFactor,tpSurvInMx,INDEX(elecInMx,stdCSL+1,1)*allOnes,OFFSET(tPrcElec,0,2,1,_maxLT))</f>
        <v>0</v>
      </c>
      <c r="H151" s="13">
        <f ca="1">SUMPRODUCT(dFactor,tpSurvInMx,INDEX(elecInMx,stdCSL+1,1)*allOnes,OFFSET(tPrcElec,0,3,1,_maxLT))</f>
        <v>0</v>
      </c>
      <c r="I151" s="13">
        <f ca="1">SUMPRODUCT(dFactor,tpSurvInMx,INDEX(elecInMx,stdCSL+1,1)*allOnes,OFFSET(tPrcElec,0,4,1,_maxLT))</f>
        <v>0</v>
      </c>
      <c r="J151" s="13">
        <f ca="1">SUMPRODUCT(dFactor,tpSurvInMx,INDEX(elecInMx,stdCSL+1,1)*allOnes,OFFSET(tPrcElec,0,5,1,_maxLT))</f>
        <v>0</v>
      </c>
      <c r="K151" s="13">
        <f ca="1">SUMPRODUCT(dFactor,tpSurvInMx,INDEX(elecInMx,stdCSL+1,1)*allOnes,OFFSET(tPrcElec,0,6,1,_maxLT))</f>
        <v>0</v>
      </c>
      <c r="L151" s="13">
        <f ca="1">SUMPRODUCT(dFactor,tpSurvInMx,INDEX(elecInMx,stdCSL+1,1)*allOnes,OFFSET(tPrcElec,0,7,1,_maxLT))</f>
        <v>0</v>
      </c>
      <c r="M151" s="13">
        <f ca="1">SUMPRODUCT(dFactor,tpSurvInMx,INDEX(elecInMx,stdCSL+1,1)*allOnes,OFFSET(tPrcElec,0,8,1,_maxLT))</f>
        <v>0</v>
      </c>
      <c r="N151" s="13">
        <f ca="1">SUMPRODUCT(dFactor,tpSurvInMx,INDEX(elecInMx,stdCSL+1,1)*allOnes,OFFSET(tPrcElec,0,9,1,_maxLT))</f>
        <v>0</v>
      </c>
      <c r="O151" s="13">
        <f ca="1">SUMPRODUCT(dFactor,tpSurvInMx,INDEX(elecInMx,stdCSL+1,1)*allOnes,OFFSET(tPrcElec,0,10,1,_maxLT))</f>
        <v>0</v>
      </c>
      <c r="P151" s="13">
        <f ca="1">SUMPRODUCT(dFactor,tpSurvInMx,INDEX(elecInMx,stdCSL+1,1)*allOnes,OFFSET(tPrcElec,0,11,1,_maxLT))</f>
        <v>0</v>
      </c>
      <c r="Q151" s="13">
        <f ca="1">SUMPRODUCT(dFactor,tpSurvInMx,INDEX(elecInMx,stdCSL+1,1)*allOnes,OFFSET(tPrcElec,0,12,1,_maxLT))</f>
        <v>0</v>
      </c>
      <c r="R151" s="13">
        <f ca="1">SUMPRODUCT(dFactor,tpSurvInMx,INDEX(elecInMx,stdCSL+1,1)*allOnes,OFFSET(tPrcElec,0,13,1,_maxLT))</f>
        <v>0</v>
      </c>
      <c r="S151" s="13">
        <f ca="1">SUMPRODUCT(dFactor,tpSurvInMx,INDEX(elecInMx,stdCSL+1,1)*allOnes,OFFSET(tPrcElec,0,14,1,_maxLT))</f>
        <v>0</v>
      </c>
      <c r="T151" s="13">
        <f ca="1">SUMPRODUCT(dFactor,tpSurvInMx,INDEX(elecInMx,stdCSL+1,1)*allOnes,OFFSET(tPrcElec,0,15,1,_maxLT))</f>
        <v>0</v>
      </c>
      <c r="U151" s="13">
        <f ca="1">SUMPRODUCT(dFactor,tpSurvInMx,INDEX(elecInMx,stdCSL+1,1)*allOnes,OFFSET(tPrcElec,0,16,1,_maxLT))</f>
        <v>0</v>
      </c>
      <c r="V151" s="13">
        <f ca="1">SUMPRODUCT(dFactor,tpSurvInMx,INDEX(elecInMx,stdCSL+1,1)*allOnes,OFFSET(tPrcElec,0,17,1,_maxLT))</f>
        <v>0</v>
      </c>
      <c r="W151" s="13">
        <f ca="1">SUMPRODUCT(dFactor,tpSurvInMx,INDEX(elecInMx,stdCSL+1,1)*allOnes,OFFSET(tPrcElec,0,18,1,_maxLT))</f>
        <v>0</v>
      </c>
      <c r="X151" s="13">
        <f ca="1">SUMPRODUCT(dFactor,tpSurvInMx,INDEX(elecInMx,stdCSL+1,1)*allOnes,OFFSET(tPrcElec,0,19,1,_maxLT))</f>
        <v>0</v>
      </c>
      <c r="Y151" s="13">
        <f ca="1">SUMPRODUCT(dFactor,tpSurvInMx,INDEX(elecInMx,stdCSL+1,1)*allOnes,OFFSET(tPrcElec,0,20,1,_maxLT))</f>
        <v>0</v>
      </c>
      <c r="Z151" s="13">
        <f ca="1">SUMPRODUCT(dFactor,tpSurvInMx,INDEX(elecInMx,stdCSL+1,1)*allOnes,OFFSET(tPrcElec,0,21,1,_maxLT))</f>
        <v>0</v>
      </c>
      <c r="AA151" s="13">
        <f ca="1">SUMPRODUCT(dFactor,tpSurvInMx,INDEX(elecInMx,stdCSL+1,1)*allOnes,OFFSET(tPrcElec,0,22,1,_maxLT))</f>
        <v>0</v>
      </c>
      <c r="AB151" s="13">
        <f ca="1">SUMPRODUCT(dFactor,tpSurvInMx,INDEX(elecInMx,stdCSL+1,1)*allOnes,OFFSET(tPrcElec,0,23,1,_maxLT))</f>
        <v>0</v>
      </c>
      <c r="AC151" s="13">
        <f ca="1">SUMPRODUCT(dFactor,tpSurvInMx,INDEX(elecInMx,stdCSL+1,1)*allOnes,OFFSET(tPrcElec,0,24,1,_maxLT))</f>
        <v>0</v>
      </c>
      <c r="AD151" s="13">
        <f ca="1">SUMPRODUCT(dFactor,tpSurvInMx,INDEX(elecInMx,stdCSL+1,1)*allOnes,OFFSET(tPrcElec,0,25,1,_maxLT))</f>
        <v>0</v>
      </c>
      <c r="AE151" s="13">
        <f ca="1">SUMPRODUCT(dFactor,tpSurvInMx,INDEX(elecInMx,stdCSL+1,1)*allOnes,OFFSET(tPrcElec,0,26,1,_maxLT))</f>
        <v>0</v>
      </c>
      <c r="AF151" s="13">
        <f ca="1">SUMPRODUCT(dFactor,tpSurvInMx,INDEX(elecInMx,stdCSL+1,1)*allOnes,OFFSET(tPrcElec,0,27,1,_maxLT))</f>
        <v>0</v>
      </c>
      <c r="AG151" s="13">
        <f ca="1">SUMPRODUCT(dFactor,tpSurvInMx,INDEX(elecInMx,stdCSL+1,1)*allOnes,OFFSET(tPrcElec,0,28,1,_maxLT))</f>
        <v>0</v>
      </c>
      <c r="AH151" s="13">
        <f ca="1">SUMPRODUCT(dFactor,tpSurvInMx,INDEX(elecInMx,stdCSL+1,1)*allOnes,OFFSET(tPrcElec,0,29,1,_maxLT))</f>
        <v>0</v>
      </c>
      <c r="AI151" s="13">
        <f ca="1">SUMPRODUCT(dFactor,tpSurvInMx,INDEX(elecInMx,stdCSL+1,1)*allOnes,OFFSET(tPrcElec,0,30,1,_maxLT))</f>
        <v>0</v>
      </c>
      <c r="AJ151" s="13">
        <f ca="1">SUMPRODUCT(dFactor,tpSurvInMx,INDEX(elecInMx,stdCSL+1,1)*allOnes,OFFSET(tPrcElec,0,31,1,_maxLT))</f>
        <v>0</v>
      </c>
      <c r="AK151" s="13">
        <f ca="1">SUMPRODUCT(dFactor,tpSurvInMx,INDEX(elecInMx,stdCSL+1,1)*allOnes,OFFSET(tPrcElec,0,32,1,_maxLT))</f>
        <v>0</v>
      </c>
      <c r="AL151" s="56">
        <f ca="1">SUMPRODUCT(dFactor,tpSurvInMx,INDEX(elecInMx,stdCSL+1,1)*allOnes,OFFSET(tPrcElec,0,33,1,_maxLT))</f>
        <v>0</v>
      </c>
      <c r="AM151" s="10"/>
    </row>
    <row r="152" spans="2:39">
      <c r="B152" s="10"/>
      <c r="C152" s="16" t="s">
        <v>79</v>
      </c>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5"/>
      <c r="AM152" s="10"/>
    </row>
    <row r="153" spans="2:39">
      <c r="B153" s="10"/>
      <c r="C153" s="28" t="str">
        <f>INDEX(_fuel,1)</f>
        <v>Electricity</v>
      </c>
      <c r="D153" s="12" t="s">
        <v>83</v>
      </c>
      <c r="E153" s="39">
        <f ca="1">SUMPRODUCT(OFFSET(tConvElecInMx,0,0,1,_maxLT),INDEX(elecInMx,stdCSL+1,1)*allOnes,tpSurvInMx)</f>
        <v>0</v>
      </c>
      <c r="F153" s="39">
        <f ca="1">SUMPRODUCT(OFFSET(tConvElecInMx,0,1,1,_maxLT),INDEX(elecInMx,stdCSL+1,1)*allOnes,tpSurvInMx)</f>
        <v>0</v>
      </c>
      <c r="G153" s="39">
        <f ca="1">SUMPRODUCT(OFFSET(tConvElecInMx,0,2,1,_maxLT),INDEX(elecInMx,stdCSL+1,1)*allOnes,tpSurvInMx)</f>
        <v>0</v>
      </c>
      <c r="H153" s="39">
        <f ca="1">SUMPRODUCT(OFFSET(tConvElecInMx,0,3,1,_maxLT),INDEX(elecInMx,stdCSL+1,1)*allOnes,tpSurvInMx)</f>
        <v>0</v>
      </c>
      <c r="I153" s="39">
        <f ca="1">SUMPRODUCT(OFFSET(tConvElecInMx,0,4,1,_maxLT),INDEX(elecInMx,stdCSL+1,1)*allOnes,tpSurvInMx)</f>
        <v>0</v>
      </c>
      <c r="J153" s="39">
        <f ca="1">SUMPRODUCT(OFFSET(tConvElecInMx,0,5,1,_maxLT),INDEX(elecInMx,stdCSL+1,1)*allOnes,tpSurvInMx)</f>
        <v>0</v>
      </c>
      <c r="K153" s="39">
        <f ca="1">SUMPRODUCT(OFFSET(tConvElecInMx,0,6,1,_maxLT),INDEX(elecInMx,stdCSL+1,1)*allOnes,tpSurvInMx)</f>
        <v>0</v>
      </c>
      <c r="L153" s="39">
        <f ca="1">SUMPRODUCT(OFFSET(tConvElecInMx,0,7,1,_maxLT),INDEX(elecInMx,stdCSL+1,1)*allOnes,tpSurvInMx)</f>
        <v>0</v>
      </c>
      <c r="M153" s="39">
        <f ca="1">SUMPRODUCT(OFFSET(tConvElecInMx,0,8,1,_maxLT),INDEX(elecInMx,stdCSL+1,1)*allOnes,tpSurvInMx)</f>
        <v>0</v>
      </c>
      <c r="N153" s="39">
        <f ca="1">SUMPRODUCT(OFFSET(tConvElecInMx,0,9,1,_maxLT),INDEX(elecInMx,stdCSL+1,1)*allOnes,tpSurvInMx)</f>
        <v>0</v>
      </c>
      <c r="O153" s="39">
        <f ca="1">SUMPRODUCT(OFFSET(tConvElecInMx,0,10,1,_maxLT),INDEX(elecInMx,stdCSL+1,1)*allOnes,tpSurvInMx)</f>
        <v>0</v>
      </c>
      <c r="P153" s="39">
        <f ca="1">SUMPRODUCT(OFFSET(tConvElecInMx,0,11,1,_maxLT),INDEX(elecInMx,stdCSL+1,1)*allOnes,tpSurvInMx)</f>
        <v>0</v>
      </c>
      <c r="Q153" s="39">
        <f ca="1">SUMPRODUCT(OFFSET(tConvElecInMx,0,12,1,_maxLT),INDEX(elecInMx,stdCSL+1,1)*allOnes,tpSurvInMx)</f>
        <v>0</v>
      </c>
      <c r="R153" s="39">
        <f ca="1">SUMPRODUCT(OFFSET(tConvElecInMx,0,13,1,_maxLT),INDEX(elecInMx,stdCSL+1,1)*allOnes,tpSurvInMx)</f>
        <v>0</v>
      </c>
      <c r="S153" s="39">
        <f ca="1">SUMPRODUCT(OFFSET(tConvElecInMx,0,14,1,_maxLT),INDEX(elecInMx,stdCSL+1,1)*allOnes,tpSurvInMx)</f>
        <v>0</v>
      </c>
      <c r="T153" s="39">
        <f ca="1">SUMPRODUCT(OFFSET(tConvElecInMx,0,15,1,_maxLT),INDEX(elecInMx,stdCSL+1,1)*allOnes,tpSurvInMx)</f>
        <v>0</v>
      </c>
      <c r="U153" s="39">
        <f ca="1">SUMPRODUCT(OFFSET(tConvElecInMx,0,16,1,_maxLT),INDEX(elecInMx,stdCSL+1,1)*allOnes,tpSurvInMx)</f>
        <v>0</v>
      </c>
      <c r="V153" s="39">
        <f ca="1">SUMPRODUCT(OFFSET(tConvElecInMx,0,17,1,_maxLT),INDEX(elecInMx,stdCSL+1,1)*allOnes,tpSurvInMx)</f>
        <v>0</v>
      </c>
      <c r="W153" s="39">
        <f ca="1">SUMPRODUCT(OFFSET(tConvElecInMx,0,18,1,_maxLT),INDEX(elecInMx,stdCSL+1,1)*allOnes,tpSurvInMx)</f>
        <v>0</v>
      </c>
      <c r="X153" s="39">
        <f ca="1">SUMPRODUCT(OFFSET(tConvElecInMx,0,19,1,_maxLT),INDEX(elecInMx,stdCSL+1,1)*allOnes,tpSurvInMx)</f>
        <v>0</v>
      </c>
      <c r="Y153" s="39">
        <f ca="1">SUMPRODUCT(OFFSET(tConvElecInMx,0,20,1,_maxLT),INDEX(elecInMx,stdCSL+1,1)*allOnes,tpSurvInMx)</f>
        <v>0</v>
      </c>
      <c r="Z153" s="39">
        <f ca="1">SUMPRODUCT(OFFSET(tConvElecInMx,0,21,1,_maxLT),INDEX(elecInMx,stdCSL+1,1)*allOnes,tpSurvInMx)</f>
        <v>0</v>
      </c>
      <c r="AA153" s="39">
        <f ca="1">SUMPRODUCT(OFFSET(tConvElecInMx,0,22,1,_maxLT),INDEX(elecInMx,stdCSL+1,1)*allOnes,tpSurvInMx)</f>
        <v>0</v>
      </c>
      <c r="AB153" s="39">
        <f ca="1">SUMPRODUCT(OFFSET(tConvElecInMx,0,23,1,_maxLT),INDEX(elecInMx,stdCSL+1,1)*allOnes,tpSurvInMx)</f>
        <v>0</v>
      </c>
      <c r="AC153" s="39">
        <f ca="1">SUMPRODUCT(OFFSET(tConvElecInMx,0,24,1,_maxLT),INDEX(elecInMx,stdCSL+1,1)*allOnes,tpSurvInMx)</f>
        <v>0</v>
      </c>
      <c r="AD153" s="39">
        <f ca="1">SUMPRODUCT(OFFSET(tConvElecInMx,0,25,1,_maxLT),INDEX(elecInMx,stdCSL+1,1)*allOnes,tpSurvInMx)</f>
        <v>0</v>
      </c>
      <c r="AE153" s="39">
        <f ca="1">SUMPRODUCT(OFFSET(tConvElecInMx,0,26,1,_maxLT),INDEX(elecInMx,stdCSL+1,1)*allOnes,tpSurvInMx)</f>
        <v>0</v>
      </c>
      <c r="AF153" s="39">
        <f ca="1">SUMPRODUCT(OFFSET(tConvElecInMx,0,27,1,_maxLT),INDEX(elecInMx,stdCSL+1,1)*allOnes,tpSurvInMx)</f>
        <v>0</v>
      </c>
      <c r="AG153" s="39">
        <f ca="1">SUMPRODUCT(OFFSET(tConvElecInMx,0,28,1,_maxLT),INDEX(elecInMx,stdCSL+1,1)*allOnes,tpSurvInMx)</f>
        <v>0</v>
      </c>
      <c r="AH153" s="39">
        <f ca="1">SUMPRODUCT(OFFSET(tConvElecInMx,0,29,1,_maxLT),INDEX(elecInMx,stdCSL+1,1)*allOnes,tpSurvInMx)</f>
        <v>0</v>
      </c>
      <c r="AI153" s="39">
        <f ca="1">SUMPRODUCT(OFFSET(tConvElecInMx,0,30,1,_maxLT),INDEX(elecInMx,stdCSL+1,1)*allOnes,tpSurvInMx)</f>
        <v>0</v>
      </c>
      <c r="AJ153" s="39">
        <f ca="1">SUMPRODUCT(OFFSET(tConvElecInMx,0,31,1,_maxLT),INDEX(elecInMx,stdCSL+1,1)*allOnes,tpSurvInMx)</f>
        <v>0</v>
      </c>
      <c r="AK153" s="39">
        <f ca="1">SUMPRODUCT(OFFSET(tConvElecInMx,0,32,1,_maxLT),INDEX(elecInMx,stdCSL+1,1)*allOnes,tpSurvInMx)</f>
        <v>0</v>
      </c>
      <c r="AL153" s="40">
        <f ca="1">SUMPRODUCT(OFFSET(tConvElecInMx,0,33,1,_maxLT),INDEX(elecInMx,stdCSL+1,1)*allOnes,tpSurvInMx)</f>
        <v>0</v>
      </c>
      <c r="AM153" s="10"/>
    </row>
    <row r="154" spans="2:39">
      <c r="B154" s="10"/>
      <c r="C154" s="57" t="str">
        <f>"EL 1: " &amp; INDEX(_doName,5,2)</f>
        <v>EL 1: EL 1</v>
      </c>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3"/>
      <c r="AM154" s="10"/>
    </row>
    <row r="155" spans="2:39">
      <c r="B155" s="10"/>
      <c r="C155" s="16" t="s">
        <v>69</v>
      </c>
      <c r="D155" s="12" t="str">
        <f>_yearDol &amp; "$"</f>
        <v>2015$</v>
      </c>
      <c r="E155" s="13">
        <f t="array" aca="1" ref="E155:AL155" ca="1">INDEX(mspInMx,stdCSL+1,2)*tPIdxAll + INDEX(instInMx,stdCSL+1,2) + IF(bESav,SUMPRODUCT(dFactor,tpSurvInMx,INDEX(mrInMx,stdCSL+1,2)*allOnes),0)</f>
        <v>0</v>
      </c>
      <c r="F155" s="13">
        <f ca="1"/>
        <v>0</v>
      </c>
      <c r="G155" s="13">
        <f ca="1"/>
        <v>0</v>
      </c>
      <c r="H155" s="13">
        <f ca="1"/>
        <v>0</v>
      </c>
      <c r="I155" s="13">
        <f ca="1"/>
        <v>0</v>
      </c>
      <c r="J155" s="13">
        <f ca="1"/>
        <v>0</v>
      </c>
      <c r="K155" s="13">
        <f ca="1"/>
        <v>0</v>
      </c>
      <c r="L155" s="13">
        <f ca="1"/>
        <v>0</v>
      </c>
      <c r="M155" s="13">
        <f ca="1"/>
        <v>0</v>
      </c>
      <c r="N155" s="13">
        <f ca="1"/>
        <v>0</v>
      </c>
      <c r="O155" s="13">
        <f ca="1"/>
        <v>0</v>
      </c>
      <c r="P155" s="13">
        <f ca="1"/>
        <v>0</v>
      </c>
      <c r="Q155" s="13">
        <f ca="1"/>
        <v>0</v>
      </c>
      <c r="R155" s="13">
        <f ca="1"/>
        <v>0</v>
      </c>
      <c r="S155" s="13">
        <f ca="1"/>
        <v>0</v>
      </c>
      <c r="T155" s="13">
        <f ca="1"/>
        <v>0</v>
      </c>
      <c r="U155" s="13">
        <f ca="1"/>
        <v>0</v>
      </c>
      <c r="V155" s="13">
        <f ca="1"/>
        <v>0</v>
      </c>
      <c r="W155" s="13">
        <f ca="1"/>
        <v>0</v>
      </c>
      <c r="X155" s="13">
        <f ca="1"/>
        <v>0</v>
      </c>
      <c r="Y155" s="13">
        <f ca="1"/>
        <v>0</v>
      </c>
      <c r="Z155" s="13">
        <f ca="1"/>
        <v>0</v>
      </c>
      <c r="AA155" s="13">
        <f ca="1"/>
        <v>0</v>
      </c>
      <c r="AB155" s="13">
        <f ca="1"/>
        <v>0</v>
      </c>
      <c r="AC155" s="13">
        <f ca="1"/>
        <v>0</v>
      </c>
      <c r="AD155" s="13">
        <f ca="1"/>
        <v>0</v>
      </c>
      <c r="AE155" s="13">
        <f ca="1"/>
        <v>0</v>
      </c>
      <c r="AF155" s="13">
        <f ca="1"/>
        <v>0</v>
      </c>
      <c r="AG155" s="13">
        <f ca="1"/>
        <v>0</v>
      </c>
      <c r="AH155" s="13">
        <f ca="1"/>
        <v>0</v>
      </c>
      <c r="AI155" s="13">
        <f ca="1"/>
        <v>0</v>
      </c>
      <c r="AJ155" s="13">
        <f ca="1"/>
        <v>0</v>
      </c>
      <c r="AK155" s="13">
        <f ca="1"/>
        <v>0</v>
      </c>
      <c r="AL155" s="56">
        <f ca="1"/>
        <v>0</v>
      </c>
      <c r="AM155" s="10"/>
    </row>
    <row r="156" spans="2:39">
      <c r="B156" s="10"/>
      <c r="C156" s="16" t="str">
        <f>zEO&amp;" Costs"</f>
        <v>Operating Costs</v>
      </c>
      <c r="D156" s="12" t="str">
        <f>_yearDol &amp; "$"</f>
        <v>2015$</v>
      </c>
      <c r="E156" s="13">
        <f t="array" aca="1" ref="E156:AL156" ca="1">(tlccEFuElecpol1) + IF(bOSav,SUMPRODUCT(dFactor,tpSurvInMx,INDEX(mrInMx,stdCSL+1,2)*allOnes),0)</f>
        <v>0</v>
      </c>
      <c r="F156" s="13">
        <f ca="1"/>
        <v>0</v>
      </c>
      <c r="G156" s="13">
        <f ca="1"/>
        <v>0</v>
      </c>
      <c r="H156" s="13">
        <f ca="1"/>
        <v>0</v>
      </c>
      <c r="I156" s="13">
        <f ca="1"/>
        <v>0</v>
      </c>
      <c r="J156" s="13">
        <f ca="1"/>
        <v>0</v>
      </c>
      <c r="K156" s="13">
        <f ca="1"/>
        <v>0</v>
      </c>
      <c r="L156" s="13">
        <f ca="1"/>
        <v>0</v>
      </c>
      <c r="M156" s="13">
        <f ca="1"/>
        <v>0</v>
      </c>
      <c r="N156" s="13">
        <f ca="1"/>
        <v>0</v>
      </c>
      <c r="O156" s="13">
        <f ca="1"/>
        <v>0</v>
      </c>
      <c r="P156" s="13">
        <f ca="1"/>
        <v>0</v>
      </c>
      <c r="Q156" s="13">
        <f ca="1"/>
        <v>0</v>
      </c>
      <c r="R156" s="13">
        <f ca="1"/>
        <v>0</v>
      </c>
      <c r="S156" s="13">
        <f ca="1"/>
        <v>0</v>
      </c>
      <c r="T156" s="13">
        <f ca="1"/>
        <v>0</v>
      </c>
      <c r="U156" s="13">
        <f ca="1"/>
        <v>0</v>
      </c>
      <c r="V156" s="13">
        <f ca="1"/>
        <v>0</v>
      </c>
      <c r="W156" s="13">
        <f ca="1"/>
        <v>0</v>
      </c>
      <c r="X156" s="13">
        <f ca="1"/>
        <v>0</v>
      </c>
      <c r="Y156" s="13">
        <f ca="1"/>
        <v>0</v>
      </c>
      <c r="Z156" s="13">
        <f ca="1"/>
        <v>0</v>
      </c>
      <c r="AA156" s="13">
        <f ca="1"/>
        <v>0</v>
      </c>
      <c r="AB156" s="13">
        <f ca="1"/>
        <v>0</v>
      </c>
      <c r="AC156" s="13">
        <f ca="1"/>
        <v>0</v>
      </c>
      <c r="AD156" s="13">
        <f ca="1"/>
        <v>0</v>
      </c>
      <c r="AE156" s="13">
        <f ca="1"/>
        <v>0</v>
      </c>
      <c r="AF156" s="13">
        <f ca="1"/>
        <v>0</v>
      </c>
      <c r="AG156" s="13">
        <f ca="1"/>
        <v>0</v>
      </c>
      <c r="AH156" s="13">
        <f ca="1"/>
        <v>0</v>
      </c>
      <c r="AI156" s="13">
        <f ca="1"/>
        <v>0</v>
      </c>
      <c r="AJ156" s="13">
        <f ca="1"/>
        <v>0</v>
      </c>
      <c r="AK156" s="13">
        <f ca="1"/>
        <v>0</v>
      </c>
      <c r="AL156" s="56">
        <f ca="1"/>
        <v>0</v>
      </c>
      <c r="AM156" s="10"/>
    </row>
    <row r="157" spans="2:39">
      <c r="B157" s="10"/>
      <c r="C157" s="28" t="str">
        <f>INDEX(_fuel,1)</f>
        <v>Electricity</v>
      </c>
      <c r="D157" s="12" t="str">
        <f>_yearDol &amp; "$"</f>
        <v>2015$</v>
      </c>
      <c r="E157" s="13">
        <f ca="1">SUMPRODUCT(dFactor,tpSurvInMx,INDEX(elecInMx,stdCSL+1,2)*allOnes,OFFSET(tPrcElec,0,0,1,_maxLT))</f>
        <v>0</v>
      </c>
      <c r="F157" s="13">
        <f ca="1">SUMPRODUCT(dFactor,tpSurvInMx,INDEX(elecInMx,stdCSL+1,2)*allOnes,OFFSET(tPrcElec,0,1,1,_maxLT))</f>
        <v>0</v>
      </c>
      <c r="G157" s="13">
        <f ca="1">SUMPRODUCT(dFactor,tpSurvInMx,INDEX(elecInMx,stdCSL+1,2)*allOnes,OFFSET(tPrcElec,0,2,1,_maxLT))</f>
        <v>0</v>
      </c>
      <c r="H157" s="13">
        <f ca="1">SUMPRODUCT(dFactor,tpSurvInMx,INDEX(elecInMx,stdCSL+1,2)*allOnes,OFFSET(tPrcElec,0,3,1,_maxLT))</f>
        <v>0</v>
      </c>
      <c r="I157" s="13">
        <f ca="1">SUMPRODUCT(dFactor,tpSurvInMx,INDEX(elecInMx,stdCSL+1,2)*allOnes,OFFSET(tPrcElec,0,4,1,_maxLT))</f>
        <v>0</v>
      </c>
      <c r="J157" s="13">
        <f ca="1">SUMPRODUCT(dFactor,tpSurvInMx,INDEX(elecInMx,stdCSL+1,2)*allOnes,OFFSET(tPrcElec,0,5,1,_maxLT))</f>
        <v>0</v>
      </c>
      <c r="K157" s="13">
        <f ca="1">SUMPRODUCT(dFactor,tpSurvInMx,INDEX(elecInMx,stdCSL+1,2)*allOnes,OFFSET(tPrcElec,0,6,1,_maxLT))</f>
        <v>0</v>
      </c>
      <c r="L157" s="13">
        <f ca="1">SUMPRODUCT(dFactor,tpSurvInMx,INDEX(elecInMx,stdCSL+1,2)*allOnes,OFFSET(tPrcElec,0,7,1,_maxLT))</f>
        <v>0</v>
      </c>
      <c r="M157" s="13">
        <f ca="1">SUMPRODUCT(dFactor,tpSurvInMx,INDEX(elecInMx,stdCSL+1,2)*allOnes,OFFSET(tPrcElec,0,8,1,_maxLT))</f>
        <v>0</v>
      </c>
      <c r="N157" s="13">
        <f ca="1">SUMPRODUCT(dFactor,tpSurvInMx,INDEX(elecInMx,stdCSL+1,2)*allOnes,OFFSET(tPrcElec,0,9,1,_maxLT))</f>
        <v>0</v>
      </c>
      <c r="O157" s="13">
        <f ca="1">SUMPRODUCT(dFactor,tpSurvInMx,INDEX(elecInMx,stdCSL+1,2)*allOnes,OFFSET(tPrcElec,0,10,1,_maxLT))</f>
        <v>0</v>
      </c>
      <c r="P157" s="13">
        <f ca="1">SUMPRODUCT(dFactor,tpSurvInMx,INDEX(elecInMx,stdCSL+1,2)*allOnes,OFFSET(tPrcElec,0,11,1,_maxLT))</f>
        <v>0</v>
      </c>
      <c r="Q157" s="13">
        <f ca="1">SUMPRODUCT(dFactor,tpSurvInMx,INDEX(elecInMx,stdCSL+1,2)*allOnes,OFFSET(tPrcElec,0,12,1,_maxLT))</f>
        <v>0</v>
      </c>
      <c r="R157" s="13">
        <f ca="1">SUMPRODUCT(dFactor,tpSurvInMx,INDEX(elecInMx,stdCSL+1,2)*allOnes,OFFSET(tPrcElec,0,13,1,_maxLT))</f>
        <v>0</v>
      </c>
      <c r="S157" s="13">
        <f ca="1">SUMPRODUCT(dFactor,tpSurvInMx,INDEX(elecInMx,stdCSL+1,2)*allOnes,OFFSET(tPrcElec,0,14,1,_maxLT))</f>
        <v>0</v>
      </c>
      <c r="T157" s="13">
        <f ca="1">SUMPRODUCT(dFactor,tpSurvInMx,INDEX(elecInMx,stdCSL+1,2)*allOnes,OFFSET(tPrcElec,0,15,1,_maxLT))</f>
        <v>0</v>
      </c>
      <c r="U157" s="13">
        <f ca="1">SUMPRODUCT(dFactor,tpSurvInMx,INDEX(elecInMx,stdCSL+1,2)*allOnes,OFFSET(tPrcElec,0,16,1,_maxLT))</f>
        <v>0</v>
      </c>
      <c r="V157" s="13">
        <f ca="1">SUMPRODUCT(dFactor,tpSurvInMx,INDEX(elecInMx,stdCSL+1,2)*allOnes,OFFSET(tPrcElec,0,17,1,_maxLT))</f>
        <v>0</v>
      </c>
      <c r="W157" s="13">
        <f ca="1">SUMPRODUCT(dFactor,tpSurvInMx,INDEX(elecInMx,stdCSL+1,2)*allOnes,OFFSET(tPrcElec,0,18,1,_maxLT))</f>
        <v>0</v>
      </c>
      <c r="X157" s="13">
        <f ca="1">SUMPRODUCT(dFactor,tpSurvInMx,INDEX(elecInMx,stdCSL+1,2)*allOnes,OFFSET(tPrcElec,0,19,1,_maxLT))</f>
        <v>0</v>
      </c>
      <c r="Y157" s="13">
        <f ca="1">SUMPRODUCT(dFactor,tpSurvInMx,INDEX(elecInMx,stdCSL+1,2)*allOnes,OFFSET(tPrcElec,0,20,1,_maxLT))</f>
        <v>0</v>
      </c>
      <c r="Z157" s="13">
        <f ca="1">SUMPRODUCT(dFactor,tpSurvInMx,INDEX(elecInMx,stdCSL+1,2)*allOnes,OFFSET(tPrcElec,0,21,1,_maxLT))</f>
        <v>0</v>
      </c>
      <c r="AA157" s="13">
        <f ca="1">SUMPRODUCT(dFactor,tpSurvInMx,INDEX(elecInMx,stdCSL+1,2)*allOnes,OFFSET(tPrcElec,0,22,1,_maxLT))</f>
        <v>0</v>
      </c>
      <c r="AB157" s="13">
        <f ca="1">SUMPRODUCT(dFactor,tpSurvInMx,INDEX(elecInMx,stdCSL+1,2)*allOnes,OFFSET(tPrcElec,0,23,1,_maxLT))</f>
        <v>0</v>
      </c>
      <c r="AC157" s="13">
        <f ca="1">SUMPRODUCT(dFactor,tpSurvInMx,INDEX(elecInMx,stdCSL+1,2)*allOnes,OFFSET(tPrcElec,0,24,1,_maxLT))</f>
        <v>0</v>
      </c>
      <c r="AD157" s="13">
        <f ca="1">SUMPRODUCT(dFactor,tpSurvInMx,INDEX(elecInMx,stdCSL+1,2)*allOnes,OFFSET(tPrcElec,0,25,1,_maxLT))</f>
        <v>0</v>
      </c>
      <c r="AE157" s="13">
        <f ca="1">SUMPRODUCT(dFactor,tpSurvInMx,INDEX(elecInMx,stdCSL+1,2)*allOnes,OFFSET(tPrcElec,0,26,1,_maxLT))</f>
        <v>0</v>
      </c>
      <c r="AF157" s="13">
        <f ca="1">SUMPRODUCT(dFactor,tpSurvInMx,INDEX(elecInMx,stdCSL+1,2)*allOnes,OFFSET(tPrcElec,0,27,1,_maxLT))</f>
        <v>0</v>
      </c>
      <c r="AG157" s="13">
        <f ca="1">SUMPRODUCT(dFactor,tpSurvInMx,INDEX(elecInMx,stdCSL+1,2)*allOnes,OFFSET(tPrcElec,0,28,1,_maxLT))</f>
        <v>0</v>
      </c>
      <c r="AH157" s="13">
        <f ca="1">SUMPRODUCT(dFactor,tpSurvInMx,INDEX(elecInMx,stdCSL+1,2)*allOnes,OFFSET(tPrcElec,0,29,1,_maxLT))</f>
        <v>0</v>
      </c>
      <c r="AI157" s="13">
        <f ca="1">SUMPRODUCT(dFactor,tpSurvInMx,INDEX(elecInMx,stdCSL+1,2)*allOnes,OFFSET(tPrcElec,0,30,1,_maxLT))</f>
        <v>0</v>
      </c>
      <c r="AJ157" s="13">
        <f ca="1">SUMPRODUCT(dFactor,tpSurvInMx,INDEX(elecInMx,stdCSL+1,2)*allOnes,OFFSET(tPrcElec,0,31,1,_maxLT))</f>
        <v>0</v>
      </c>
      <c r="AK157" s="13">
        <f ca="1">SUMPRODUCT(dFactor,tpSurvInMx,INDEX(elecInMx,stdCSL+1,2)*allOnes,OFFSET(tPrcElec,0,32,1,_maxLT))</f>
        <v>0</v>
      </c>
      <c r="AL157" s="56">
        <f ca="1">SUMPRODUCT(dFactor,tpSurvInMx,INDEX(elecInMx,stdCSL+1,2)*allOnes,OFFSET(tPrcElec,0,33,1,_maxLT))</f>
        <v>0</v>
      </c>
      <c r="AM157" s="10"/>
    </row>
    <row r="158" spans="2:39">
      <c r="B158" s="10"/>
      <c r="C158" s="16" t="s">
        <v>79</v>
      </c>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5"/>
      <c r="AM158" s="10"/>
    </row>
    <row r="159" spans="2:39">
      <c r="B159" s="10"/>
      <c r="C159" s="28" t="str">
        <f>INDEX(_fuel,1)</f>
        <v>Electricity</v>
      </c>
      <c r="D159" s="12" t="s">
        <v>83</v>
      </c>
      <c r="E159" s="39">
        <f ca="1">SUMPRODUCT(OFFSET(tConvElecInMx,0,0,1,_maxLT),INDEX(elecInMx,stdCSL+1,2)*allOnes,tpSurvInMx)</f>
        <v>0</v>
      </c>
      <c r="F159" s="39">
        <f ca="1">SUMPRODUCT(OFFSET(tConvElecInMx,0,1,1,_maxLT),INDEX(elecInMx,stdCSL+1,2)*allOnes,tpSurvInMx)</f>
        <v>0</v>
      </c>
      <c r="G159" s="39">
        <f ca="1">SUMPRODUCT(OFFSET(tConvElecInMx,0,2,1,_maxLT),INDEX(elecInMx,stdCSL+1,2)*allOnes,tpSurvInMx)</f>
        <v>0</v>
      </c>
      <c r="H159" s="39">
        <f ca="1">SUMPRODUCT(OFFSET(tConvElecInMx,0,3,1,_maxLT),INDEX(elecInMx,stdCSL+1,2)*allOnes,tpSurvInMx)</f>
        <v>0</v>
      </c>
      <c r="I159" s="39">
        <f ca="1">SUMPRODUCT(OFFSET(tConvElecInMx,0,4,1,_maxLT),INDEX(elecInMx,stdCSL+1,2)*allOnes,tpSurvInMx)</f>
        <v>0</v>
      </c>
      <c r="J159" s="39">
        <f ca="1">SUMPRODUCT(OFFSET(tConvElecInMx,0,5,1,_maxLT),INDEX(elecInMx,stdCSL+1,2)*allOnes,tpSurvInMx)</f>
        <v>0</v>
      </c>
      <c r="K159" s="39">
        <f ca="1">SUMPRODUCT(OFFSET(tConvElecInMx,0,6,1,_maxLT),INDEX(elecInMx,stdCSL+1,2)*allOnes,tpSurvInMx)</f>
        <v>0</v>
      </c>
      <c r="L159" s="39">
        <f ca="1">SUMPRODUCT(OFFSET(tConvElecInMx,0,7,1,_maxLT),INDEX(elecInMx,stdCSL+1,2)*allOnes,tpSurvInMx)</f>
        <v>0</v>
      </c>
      <c r="M159" s="39">
        <f ca="1">SUMPRODUCT(OFFSET(tConvElecInMx,0,8,1,_maxLT),INDEX(elecInMx,stdCSL+1,2)*allOnes,tpSurvInMx)</f>
        <v>0</v>
      </c>
      <c r="N159" s="39">
        <f ca="1">SUMPRODUCT(OFFSET(tConvElecInMx,0,9,1,_maxLT),INDEX(elecInMx,stdCSL+1,2)*allOnes,tpSurvInMx)</f>
        <v>0</v>
      </c>
      <c r="O159" s="39">
        <f ca="1">SUMPRODUCT(OFFSET(tConvElecInMx,0,10,1,_maxLT),INDEX(elecInMx,stdCSL+1,2)*allOnes,tpSurvInMx)</f>
        <v>0</v>
      </c>
      <c r="P159" s="39">
        <f ca="1">SUMPRODUCT(OFFSET(tConvElecInMx,0,11,1,_maxLT),INDEX(elecInMx,stdCSL+1,2)*allOnes,tpSurvInMx)</f>
        <v>0</v>
      </c>
      <c r="Q159" s="39">
        <f ca="1">SUMPRODUCT(OFFSET(tConvElecInMx,0,12,1,_maxLT),INDEX(elecInMx,stdCSL+1,2)*allOnes,tpSurvInMx)</f>
        <v>0</v>
      </c>
      <c r="R159" s="39">
        <f ca="1">SUMPRODUCT(OFFSET(tConvElecInMx,0,13,1,_maxLT),INDEX(elecInMx,stdCSL+1,2)*allOnes,tpSurvInMx)</f>
        <v>0</v>
      </c>
      <c r="S159" s="39">
        <f ca="1">SUMPRODUCT(OFFSET(tConvElecInMx,0,14,1,_maxLT),INDEX(elecInMx,stdCSL+1,2)*allOnes,tpSurvInMx)</f>
        <v>0</v>
      </c>
      <c r="T159" s="39">
        <f ca="1">SUMPRODUCT(OFFSET(tConvElecInMx,0,15,1,_maxLT),INDEX(elecInMx,stdCSL+1,2)*allOnes,tpSurvInMx)</f>
        <v>0</v>
      </c>
      <c r="U159" s="39">
        <f ca="1">SUMPRODUCT(OFFSET(tConvElecInMx,0,16,1,_maxLT),INDEX(elecInMx,stdCSL+1,2)*allOnes,tpSurvInMx)</f>
        <v>0</v>
      </c>
      <c r="V159" s="39">
        <f ca="1">SUMPRODUCT(OFFSET(tConvElecInMx,0,17,1,_maxLT),INDEX(elecInMx,stdCSL+1,2)*allOnes,tpSurvInMx)</f>
        <v>0</v>
      </c>
      <c r="W159" s="39">
        <f ca="1">SUMPRODUCT(OFFSET(tConvElecInMx,0,18,1,_maxLT),INDEX(elecInMx,stdCSL+1,2)*allOnes,tpSurvInMx)</f>
        <v>0</v>
      </c>
      <c r="X159" s="39">
        <f ca="1">SUMPRODUCT(OFFSET(tConvElecInMx,0,19,1,_maxLT),INDEX(elecInMx,stdCSL+1,2)*allOnes,tpSurvInMx)</f>
        <v>0</v>
      </c>
      <c r="Y159" s="39">
        <f ca="1">SUMPRODUCT(OFFSET(tConvElecInMx,0,20,1,_maxLT),INDEX(elecInMx,stdCSL+1,2)*allOnes,tpSurvInMx)</f>
        <v>0</v>
      </c>
      <c r="Z159" s="39">
        <f ca="1">SUMPRODUCT(OFFSET(tConvElecInMx,0,21,1,_maxLT),INDEX(elecInMx,stdCSL+1,2)*allOnes,tpSurvInMx)</f>
        <v>0</v>
      </c>
      <c r="AA159" s="39">
        <f ca="1">SUMPRODUCT(OFFSET(tConvElecInMx,0,22,1,_maxLT),INDEX(elecInMx,stdCSL+1,2)*allOnes,tpSurvInMx)</f>
        <v>0</v>
      </c>
      <c r="AB159" s="39">
        <f ca="1">SUMPRODUCT(OFFSET(tConvElecInMx,0,23,1,_maxLT),INDEX(elecInMx,stdCSL+1,2)*allOnes,tpSurvInMx)</f>
        <v>0</v>
      </c>
      <c r="AC159" s="39">
        <f ca="1">SUMPRODUCT(OFFSET(tConvElecInMx,0,24,1,_maxLT),INDEX(elecInMx,stdCSL+1,2)*allOnes,tpSurvInMx)</f>
        <v>0</v>
      </c>
      <c r="AD159" s="39">
        <f ca="1">SUMPRODUCT(OFFSET(tConvElecInMx,0,25,1,_maxLT),INDEX(elecInMx,stdCSL+1,2)*allOnes,tpSurvInMx)</f>
        <v>0</v>
      </c>
      <c r="AE159" s="39">
        <f ca="1">SUMPRODUCT(OFFSET(tConvElecInMx,0,26,1,_maxLT),INDEX(elecInMx,stdCSL+1,2)*allOnes,tpSurvInMx)</f>
        <v>0</v>
      </c>
      <c r="AF159" s="39">
        <f ca="1">SUMPRODUCT(OFFSET(tConvElecInMx,0,27,1,_maxLT),INDEX(elecInMx,stdCSL+1,2)*allOnes,tpSurvInMx)</f>
        <v>0</v>
      </c>
      <c r="AG159" s="39">
        <f ca="1">SUMPRODUCT(OFFSET(tConvElecInMx,0,28,1,_maxLT),INDEX(elecInMx,stdCSL+1,2)*allOnes,tpSurvInMx)</f>
        <v>0</v>
      </c>
      <c r="AH159" s="39">
        <f ca="1">SUMPRODUCT(OFFSET(tConvElecInMx,0,29,1,_maxLT),INDEX(elecInMx,stdCSL+1,2)*allOnes,tpSurvInMx)</f>
        <v>0</v>
      </c>
      <c r="AI159" s="39">
        <f ca="1">SUMPRODUCT(OFFSET(tConvElecInMx,0,30,1,_maxLT),INDEX(elecInMx,stdCSL+1,2)*allOnes,tpSurvInMx)</f>
        <v>0</v>
      </c>
      <c r="AJ159" s="39">
        <f ca="1">SUMPRODUCT(OFFSET(tConvElecInMx,0,31,1,_maxLT),INDEX(elecInMx,stdCSL+1,2)*allOnes,tpSurvInMx)</f>
        <v>0</v>
      </c>
      <c r="AK159" s="39">
        <f ca="1">SUMPRODUCT(OFFSET(tConvElecInMx,0,32,1,_maxLT),INDEX(elecInMx,stdCSL+1,2)*allOnes,tpSurvInMx)</f>
        <v>0</v>
      </c>
      <c r="AL159" s="40">
        <f ca="1">SUMPRODUCT(OFFSET(tConvElecInMx,0,33,1,_maxLT),INDEX(elecInMx,stdCSL+1,2)*allOnes,tpSurvInMx)</f>
        <v>0</v>
      </c>
      <c r="AM159" s="10"/>
    </row>
    <row r="160" spans="2:39">
      <c r="B160" s="10"/>
      <c r="C160" s="57" t="str">
        <f>"EL 2: " &amp; INDEX(_doName,5,3)</f>
        <v>EL 2: EL 2</v>
      </c>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3"/>
      <c r="AM160" s="10"/>
    </row>
    <row r="161" spans="2:39">
      <c r="B161" s="10"/>
      <c r="C161" s="16" t="s">
        <v>69</v>
      </c>
      <c r="D161" s="12" t="str">
        <f>_yearDol &amp; "$"</f>
        <v>2015$</v>
      </c>
      <c r="E161" s="13">
        <f t="array" aca="1" ref="E161:AL161" ca="1">INDEX(mspInMx,stdCSL+1,3)*tPIdxAll + INDEX(instInMx,stdCSL+1,3) + IF(bESav,SUMPRODUCT(dFactor,tpSurvInMx,INDEX(mrInMx,stdCSL+1,3)*allOnes),0)</f>
        <v>0</v>
      </c>
      <c r="F161" s="13">
        <f ca="1"/>
        <v>0</v>
      </c>
      <c r="G161" s="13">
        <f ca="1"/>
        <v>0</v>
      </c>
      <c r="H161" s="13">
        <f ca="1"/>
        <v>0</v>
      </c>
      <c r="I161" s="13">
        <f ca="1"/>
        <v>0</v>
      </c>
      <c r="J161" s="13">
        <f ca="1"/>
        <v>0</v>
      </c>
      <c r="K161" s="13">
        <f ca="1"/>
        <v>0</v>
      </c>
      <c r="L161" s="13">
        <f ca="1"/>
        <v>0</v>
      </c>
      <c r="M161" s="13">
        <f ca="1"/>
        <v>0</v>
      </c>
      <c r="N161" s="13">
        <f ca="1"/>
        <v>0</v>
      </c>
      <c r="O161" s="13">
        <f ca="1"/>
        <v>0</v>
      </c>
      <c r="P161" s="13">
        <f ca="1"/>
        <v>0</v>
      </c>
      <c r="Q161" s="13">
        <f ca="1"/>
        <v>0</v>
      </c>
      <c r="R161" s="13">
        <f ca="1"/>
        <v>0</v>
      </c>
      <c r="S161" s="13">
        <f ca="1"/>
        <v>0</v>
      </c>
      <c r="T161" s="13">
        <f ca="1"/>
        <v>0</v>
      </c>
      <c r="U161" s="13">
        <f ca="1"/>
        <v>0</v>
      </c>
      <c r="V161" s="13">
        <f ca="1"/>
        <v>0</v>
      </c>
      <c r="W161" s="13">
        <f ca="1"/>
        <v>0</v>
      </c>
      <c r="X161" s="13">
        <f ca="1"/>
        <v>0</v>
      </c>
      <c r="Y161" s="13">
        <f ca="1"/>
        <v>0</v>
      </c>
      <c r="Z161" s="13">
        <f ca="1"/>
        <v>0</v>
      </c>
      <c r="AA161" s="13">
        <f ca="1"/>
        <v>0</v>
      </c>
      <c r="AB161" s="13">
        <f ca="1"/>
        <v>0</v>
      </c>
      <c r="AC161" s="13">
        <f ca="1"/>
        <v>0</v>
      </c>
      <c r="AD161" s="13">
        <f ca="1"/>
        <v>0</v>
      </c>
      <c r="AE161" s="13">
        <f ca="1"/>
        <v>0</v>
      </c>
      <c r="AF161" s="13">
        <f ca="1"/>
        <v>0</v>
      </c>
      <c r="AG161" s="13">
        <f ca="1"/>
        <v>0</v>
      </c>
      <c r="AH161" s="13">
        <f ca="1"/>
        <v>0</v>
      </c>
      <c r="AI161" s="13">
        <f ca="1"/>
        <v>0</v>
      </c>
      <c r="AJ161" s="13">
        <f ca="1"/>
        <v>0</v>
      </c>
      <c r="AK161" s="13">
        <f ca="1"/>
        <v>0</v>
      </c>
      <c r="AL161" s="56">
        <f ca="1"/>
        <v>0</v>
      </c>
      <c r="AM161" s="10"/>
    </row>
    <row r="162" spans="2:39">
      <c r="B162" s="10"/>
      <c r="C162" s="16" t="str">
        <f>zEO&amp;" Costs"</f>
        <v>Operating Costs</v>
      </c>
      <c r="D162" s="12" t="str">
        <f>_yearDol &amp; "$"</f>
        <v>2015$</v>
      </c>
      <c r="E162" s="13">
        <f t="array" aca="1" ref="E162:AL162" ca="1">(tlccEFuElecpol2) + IF(bOSav,SUMPRODUCT(dFactor,tpSurvInMx,INDEX(mrInMx,stdCSL+1,3)*allOnes),0)</f>
        <v>0</v>
      </c>
      <c r="F162" s="13">
        <f ca="1"/>
        <v>0</v>
      </c>
      <c r="G162" s="13">
        <f ca="1"/>
        <v>0</v>
      </c>
      <c r="H162" s="13">
        <f ca="1"/>
        <v>0</v>
      </c>
      <c r="I162" s="13">
        <f ca="1"/>
        <v>0</v>
      </c>
      <c r="J162" s="13">
        <f ca="1"/>
        <v>0</v>
      </c>
      <c r="K162" s="13">
        <f ca="1"/>
        <v>0</v>
      </c>
      <c r="L162" s="13">
        <f ca="1"/>
        <v>0</v>
      </c>
      <c r="M162" s="13">
        <f ca="1"/>
        <v>0</v>
      </c>
      <c r="N162" s="13">
        <f ca="1"/>
        <v>0</v>
      </c>
      <c r="O162" s="13">
        <f ca="1"/>
        <v>0</v>
      </c>
      <c r="P162" s="13">
        <f ca="1"/>
        <v>0</v>
      </c>
      <c r="Q162" s="13">
        <f ca="1"/>
        <v>0</v>
      </c>
      <c r="R162" s="13">
        <f ca="1"/>
        <v>0</v>
      </c>
      <c r="S162" s="13">
        <f ca="1"/>
        <v>0</v>
      </c>
      <c r="T162" s="13">
        <f ca="1"/>
        <v>0</v>
      </c>
      <c r="U162" s="13">
        <f ca="1"/>
        <v>0</v>
      </c>
      <c r="V162" s="13">
        <f ca="1"/>
        <v>0</v>
      </c>
      <c r="W162" s="13">
        <f ca="1"/>
        <v>0</v>
      </c>
      <c r="X162" s="13">
        <f ca="1"/>
        <v>0</v>
      </c>
      <c r="Y162" s="13">
        <f ca="1"/>
        <v>0</v>
      </c>
      <c r="Z162" s="13">
        <f ca="1"/>
        <v>0</v>
      </c>
      <c r="AA162" s="13">
        <f ca="1"/>
        <v>0</v>
      </c>
      <c r="AB162" s="13">
        <f ca="1"/>
        <v>0</v>
      </c>
      <c r="AC162" s="13">
        <f ca="1"/>
        <v>0</v>
      </c>
      <c r="AD162" s="13">
        <f ca="1"/>
        <v>0</v>
      </c>
      <c r="AE162" s="13">
        <f ca="1"/>
        <v>0</v>
      </c>
      <c r="AF162" s="13">
        <f ca="1"/>
        <v>0</v>
      </c>
      <c r="AG162" s="13">
        <f ca="1"/>
        <v>0</v>
      </c>
      <c r="AH162" s="13">
        <f ca="1"/>
        <v>0</v>
      </c>
      <c r="AI162" s="13">
        <f ca="1"/>
        <v>0</v>
      </c>
      <c r="AJ162" s="13">
        <f ca="1"/>
        <v>0</v>
      </c>
      <c r="AK162" s="13">
        <f ca="1"/>
        <v>0</v>
      </c>
      <c r="AL162" s="56">
        <f ca="1"/>
        <v>0</v>
      </c>
      <c r="AM162" s="10"/>
    </row>
    <row r="163" spans="2:39">
      <c r="B163" s="10"/>
      <c r="C163" s="28" t="str">
        <f>INDEX(_fuel,1)</f>
        <v>Electricity</v>
      </c>
      <c r="D163" s="12" t="str">
        <f>_yearDol &amp; "$"</f>
        <v>2015$</v>
      </c>
      <c r="E163" s="13">
        <f ca="1">SUMPRODUCT(dFactor,tpSurvInMx,INDEX(elecInMx,stdCSL+1,3)*allOnes,OFFSET(tPrcElec,0,0,1,_maxLT))</f>
        <v>0</v>
      </c>
      <c r="F163" s="13">
        <f ca="1">SUMPRODUCT(dFactor,tpSurvInMx,INDEX(elecInMx,stdCSL+1,3)*allOnes,OFFSET(tPrcElec,0,1,1,_maxLT))</f>
        <v>0</v>
      </c>
      <c r="G163" s="13">
        <f ca="1">SUMPRODUCT(dFactor,tpSurvInMx,INDEX(elecInMx,stdCSL+1,3)*allOnes,OFFSET(tPrcElec,0,2,1,_maxLT))</f>
        <v>0</v>
      </c>
      <c r="H163" s="13">
        <f ca="1">SUMPRODUCT(dFactor,tpSurvInMx,INDEX(elecInMx,stdCSL+1,3)*allOnes,OFFSET(tPrcElec,0,3,1,_maxLT))</f>
        <v>0</v>
      </c>
      <c r="I163" s="13">
        <f ca="1">SUMPRODUCT(dFactor,tpSurvInMx,INDEX(elecInMx,stdCSL+1,3)*allOnes,OFFSET(tPrcElec,0,4,1,_maxLT))</f>
        <v>0</v>
      </c>
      <c r="J163" s="13">
        <f ca="1">SUMPRODUCT(dFactor,tpSurvInMx,INDEX(elecInMx,stdCSL+1,3)*allOnes,OFFSET(tPrcElec,0,5,1,_maxLT))</f>
        <v>0</v>
      </c>
      <c r="K163" s="13">
        <f ca="1">SUMPRODUCT(dFactor,tpSurvInMx,INDEX(elecInMx,stdCSL+1,3)*allOnes,OFFSET(tPrcElec,0,6,1,_maxLT))</f>
        <v>0</v>
      </c>
      <c r="L163" s="13">
        <f ca="1">SUMPRODUCT(dFactor,tpSurvInMx,INDEX(elecInMx,stdCSL+1,3)*allOnes,OFFSET(tPrcElec,0,7,1,_maxLT))</f>
        <v>0</v>
      </c>
      <c r="M163" s="13">
        <f ca="1">SUMPRODUCT(dFactor,tpSurvInMx,INDEX(elecInMx,stdCSL+1,3)*allOnes,OFFSET(tPrcElec,0,8,1,_maxLT))</f>
        <v>0</v>
      </c>
      <c r="N163" s="13">
        <f ca="1">SUMPRODUCT(dFactor,tpSurvInMx,INDEX(elecInMx,stdCSL+1,3)*allOnes,OFFSET(tPrcElec,0,9,1,_maxLT))</f>
        <v>0</v>
      </c>
      <c r="O163" s="13">
        <f ca="1">SUMPRODUCT(dFactor,tpSurvInMx,INDEX(elecInMx,stdCSL+1,3)*allOnes,OFFSET(tPrcElec,0,10,1,_maxLT))</f>
        <v>0</v>
      </c>
      <c r="P163" s="13">
        <f ca="1">SUMPRODUCT(dFactor,tpSurvInMx,INDEX(elecInMx,stdCSL+1,3)*allOnes,OFFSET(tPrcElec,0,11,1,_maxLT))</f>
        <v>0</v>
      </c>
      <c r="Q163" s="13">
        <f ca="1">SUMPRODUCT(dFactor,tpSurvInMx,INDEX(elecInMx,stdCSL+1,3)*allOnes,OFFSET(tPrcElec,0,12,1,_maxLT))</f>
        <v>0</v>
      </c>
      <c r="R163" s="13">
        <f ca="1">SUMPRODUCT(dFactor,tpSurvInMx,INDEX(elecInMx,stdCSL+1,3)*allOnes,OFFSET(tPrcElec,0,13,1,_maxLT))</f>
        <v>0</v>
      </c>
      <c r="S163" s="13">
        <f ca="1">SUMPRODUCT(dFactor,tpSurvInMx,INDEX(elecInMx,stdCSL+1,3)*allOnes,OFFSET(tPrcElec,0,14,1,_maxLT))</f>
        <v>0</v>
      </c>
      <c r="T163" s="13">
        <f ca="1">SUMPRODUCT(dFactor,tpSurvInMx,INDEX(elecInMx,stdCSL+1,3)*allOnes,OFFSET(tPrcElec,0,15,1,_maxLT))</f>
        <v>0</v>
      </c>
      <c r="U163" s="13">
        <f ca="1">SUMPRODUCT(dFactor,tpSurvInMx,INDEX(elecInMx,stdCSL+1,3)*allOnes,OFFSET(tPrcElec,0,16,1,_maxLT))</f>
        <v>0</v>
      </c>
      <c r="V163" s="13">
        <f ca="1">SUMPRODUCT(dFactor,tpSurvInMx,INDEX(elecInMx,stdCSL+1,3)*allOnes,OFFSET(tPrcElec,0,17,1,_maxLT))</f>
        <v>0</v>
      </c>
      <c r="W163" s="13">
        <f ca="1">SUMPRODUCT(dFactor,tpSurvInMx,INDEX(elecInMx,stdCSL+1,3)*allOnes,OFFSET(tPrcElec,0,18,1,_maxLT))</f>
        <v>0</v>
      </c>
      <c r="X163" s="13">
        <f ca="1">SUMPRODUCT(dFactor,tpSurvInMx,INDEX(elecInMx,stdCSL+1,3)*allOnes,OFFSET(tPrcElec,0,19,1,_maxLT))</f>
        <v>0</v>
      </c>
      <c r="Y163" s="13">
        <f ca="1">SUMPRODUCT(dFactor,tpSurvInMx,INDEX(elecInMx,stdCSL+1,3)*allOnes,OFFSET(tPrcElec,0,20,1,_maxLT))</f>
        <v>0</v>
      </c>
      <c r="Z163" s="13">
        <f ca="1">SUMPRODUCT(dFactor,tpSurvInMx,INDEX(elecInMx,stdCSL+1,3)*allOnes,OFFSET(tPrcElec,0,21,1,_maxLT))</f>
        <v>0</v>
      </c>
      <c r="AA163" s="13">
        <f ca="1">SUMPRODUCT(dFactor,tpSurvInMx,INDEX(elecInMx,stdCSL+1,3)*allOnes,OFFSET(tPrcElec,0,22,1,_maxLT))</f>
        <v>0</v>
      </c>
      <c r="AB163" s="13">
        <f ca="1">SUMPRODUCT(dFactor,tpSurvInMx,INDEX(elecInMx,stdCSL+1,3)*allOnes,OFFSET(tPrcElec,0,23,1,_maxLT))</f>
        <v>0</v>
      </c>
      <c r="AC163" s="13">
        <f ca="1">SUMPRODUCT(dFactor,tpSurvInMx,INDEX(elecInMx,stdCSL+1,3)*allOnes,OFFSET(tPrcElec,0,24,1,_maxLT))</f>
        <v>0</v>
      </c>
      <c r="AD163" s="13">
        <f ca="1">SUMPRODUCT(dFactor,tpSurvInMx,INDEX(elecInMx,stdCSL+1,3)*allOnes,OFFSET(tPrcElec,0,25,1,_maxLT))</f>
        <v>0</v>
      </c>
      <c r="AE163" s="13">
        <f ca="1">SUMPRODUCT(dFactor,tpSurvInMx,INDEX(elecInMx,stdCSL+1,3)*allOnes,OFFSET(tPrcElec,0,26,1,_maxLT))</f>
        <v>0</v>
      </c>
      <c r="AF163" s="13">
        <f ca="1">SUMPRODUCT(dFactor,tpSurvInMx,INDEX(elecInMx,stdCSL+1,3)*allOnes,OFFSET(tPrcElec,0,27,1,_maxLT))</f>
        <v>0</v>
      </c>
      <c r="AG163" s="13">
        <f ca="1">SUMPRODUCT(dFactor,tpSurvInMx,INDEX(elecInMx,stdCSL+1,3)*allOnes,OFFSET(tPrcElec,0,28,1,_maxLT))</f>
        <v>0</v>
      </c>
      <c r="AH163" s="13">
        <f ca="1">SUMPRODUCT(dFactor,tpSurvInMx,INDEX(elecInMx,stdCSL+1,3)*allOnes,OFFSET(tPrcElec,0,29,1,_maxLT))</f>
        <v>0</v>
      </c>
      <c r="AI163" s="13">
        <f ca="1">SUMPRODUCT(dFactor,tpSurvInMx,INDEX(elecInMx,stdCSL+1,3)*allOnes,OFFSET(tPrcElec,0,30,1,_maxLT))</f>
        <v>0</v>
      </c>
      <c r="AJ163" s="13">
        <f ca="1">SUMPRODUCT(dFactor,tpSurvInMx,INDEX(elecInMx,stdCSL+1,3)*allOnes,OFFSET(tPrcElec,0,31,1,_maxLT))</f>
        <v>0</v>
      </c>
      <c r="AK163" s="13">
        <f ca="1">SUMPRODUCT(dFactor,tpSurvInMx,INDEX(elecInMx,stdCSL+1,3)*allOnes,OFFSET(tPrcElec,0,32,1,_maxLT))</f>
        <v>0</v>
      </c>
      <c r="AL163" s="56">
        <f ca="1">SUMPRODUCT(dFactor,tpSurvInMx,INDEX(elecInMx,stdCSL+1,3)*allOnes,OFFSET(tPrcElec,0,33,1,_maxLT))</f>
        <v>0</v>
      </c>
      <c r="AM163" s="10"/>
    </row>
    <row r="164" spans="2:39">
      <c r="B164" s="10"/>
      <c r="C164" s="16" t="s">
        <v>79</v>
      </c>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5"/>
      <c r="AM164" s="10"/>
    </row>
    <row r="165" spans="2:39">
      <c r="B165" s="10"/>
      <c r="C165" s="28" t="str">
        <f>INDEX(_fuel,1)</f>
        <v>Electricity</v>
      </c>
      <c r="D165" s="12" t="s">
        <v>83</v>
      </c>
      <c r="E165" s="39">
        <f ca="1">SUMPRODUCT(OFFSET(tConvElecInMx,0,0,1,_maxLT),INDEX(elecInMx,stdCSL+1,3)*allOnes,tpSurvInMx)</f>
        <v>0</v>
      </c>
      <c r="F165" s="39">
        <f ca="1">SUMPRODUCT(OFFSET(tConvElecInMx,0,1,1,_maxLT),INDEX(elecInMx,stdCSL+1,3)*allOnes,tpSurvInMx)</f>
        <v>0</v>
      </c>
      <c r="G165" s="39">
        <f ca="1">SUMPRODUCT(OFFSET(tConvElecInMx,0,2,1,_maxLT),INDEX(elecInMx,stdCSL+1,3)*allOnes,tpSurvInMx)</f>
        <v>0</v>
      </c>
      <c r="H165" s="39">
        <f ca="1">SUMPRODUCT(OFFSET(tConvElecInMx,0,3,1,_maxLT),INDEX(elecInMx,stdCSL+1,3)*allOnes,tpSurvInMx)</f>
        <v>0</v>
      </c>
      <c r="I165" s="39">
        <f ca="1">SUMPRODUCT(OFFSET(tConvElecInMx,0,4,1,_maxLT),INDEX(elecInMx,stdCSL+1,3)*allOnes,tpSurvInMx)</f>
        <v>0</v>
      </c>
      <c r="J165" s="39">
        <f ca="1">SUMPRODUCT(OFFSET(tConvElecInMx,0,5,1,_maxLT),INDEX(elecInMx,stdCSL+1,3)*allOnes,tpSurvInMx)</f>
        <v>0</v>
      </c>
      <c r="K165" s="39">
        <f ca="1">SUMPRODUCT(OFFSET(tConvElecInMx,0,6,1,_maxLT),INDEX(elecInMx,stdCSL+1,3)*allOnes,tpSurvInMx)</f>
        <v>0</v>
      </c>
      <c r="L165" s="39">
        <f ca="1">SUMPRODUCT(OFFSET(tConvElecInMx,0,7,1,_maxLT),INDEX(elecInMx,stdCSL+1,3)*allOnes,tpSurvInMx)</f>
        <v>0</v>
      </c>
      <c r="M165" s="39">
        <f ca="1">SUMPRODUCT(OFFSET(tConvElecInMx,0,8,1,_maxLT),INDEX(elecInMx,stdCSL+1,3)*allOnes,tpSurvInMx)</f>
        <v>0</v>
      </c>
      <c r="N165" s="39">
        <f ca="1">SUMPRODUCT(OFFSET(tConvElecInMx,0,9,1,_maxLT),INDEX(elecInMx,stdCSL+1,3)*allOnes,tpSurvInMx)</f>
        <v>0</v>
      </c>
      <c r="O165" s="39">
        <f ca="1">SUMPRODUCT(OFFSET(tConvElecInMx,0,10,1,_maxLT),INDEX(elecInMx,stdCSL+1,3)*allOnes,tpSurvInMx)</f>
        <v>0</v>
      </c>
      <c r="P165" s="39">
        <f ca="1">SUMPRODUCT(OFFSET(tConvElecInMx,0,11,1,_maxLT),INDEX(elecInMx,stdCSL+1,3)*allOnes,tpSurvInMx)</f>
        <v>0</v>
      </c>
      <c r="Q165" s="39">
        <f ca="1">SUMPRODUCT(OFFSET(tConvElecInMx,0,12,1,_maxLT),INDEX(elecInMx,stdCSL+1,3)*allOnes,tpSurvInMx)</f>
        <v>0</v>
      </c>
      <c r="R165" s="39">
        <f ca="1">SUMPRODUCT(OFFSET(tConvElecInMx,0,13,1,_maxLT),INDEX(elecInMx,stdCSL+1,3)*allOnes,tpSurvInMx)</f>
        <v>0</v>
      </c>
      <c r="S165" s="39">
        <f ca="1">SUMPRODUCT(OFFSET(tConvElecInMx,0,14,1,_maxLT),INDEX(elecInMx,stdCSL+1,3)*allOnes,tpSurvInMx)</f>
        <v>0</v>
      </c>
      <c r="T165" s="39">
        <f ca="1">SUMPRODUCT(OFFSET(tConvElecInMx,0,15,1,_maxLT),INDEX(elecInMx,stdCSL+1,3)*allOnes,tpSurvInMx)</f>
        <v>0</v>
      </c>
      <c r="U165" s="39">
        <f ca="1">SUMPRODUCT(OFFSET(tConvElecInMx,0,16,1,_maxLT),INDEX(elecInMx,stdCSL+1,3)*allOnes,tpSurvInMx)</f>
        <v>0</v>
      </c>
      <c r="V165" s="39">
        <f ca="1">SUMPRODUCT(OFFSET(tConvElecInMx,0,17,1,_maxLT),INDEX(elecInMx,stdCSL+1,3)*allOnes,tpSurvInMx)</f>
        <v>0</v>
      </c>
      <c r="W165" s="39">
        <f ca="1">SUMPRODUCT(OFFSET(tConvElecInMx,0,18,1,_maxLT),INDEX(elecInMx,stdCSL+1,3)*allOnes,tpSurvInMx)</f>
        <v>0</v>
      </c>
      <c r="X165" s="39">
        <f ca="1">SUMPRODUCT(OFFSET(tConvElecInMx,0,19,1,_maxLT),INDEX(elecInMx,stdCSL+1,3)*allOnes,tpSurvInMx)</f>
        <v>0</v>
      </c>
      <c r="Y165" s="39">
        <f ca="1">SUMPRODUCT(OFFSET(tConvElecInMx,0,20,1,_maxLT),INDEX(elecInMx,stdCSL+1,3)*allOnes,tpSurvInMx)</f>
        <v>0</v>
      </c>
      <c r="Z165" s="39">
        <f ca="1">SUMPRODUCT(OFFSET(tConvElecInMx,0,21,1,_maxLT),INDEX(elecInMx,stdCSL+1,3)*allOnes,tpSurvInMx)</f>
        <v>0</v>
      </c>
      <c r="AA165" s="39">
        <f ca="1">SUMPRODUCT(OFFSET(tConvElecInMx,0,22,1,_maxLT),INDEX(elecInMx,stdCSL+1,3)*allOnes,tpSurvInMx)</f>
        <v>0</v>
      </c>
      <c r="AB165" s="39">
        <f ca="1">SUMPRODUCT(OFFSET(tConvElecInMx,0,23,1,_maxLT),INDEX(elecInMx,stdCSL+1,3)*allOnes,tpSurvInMx)</f>
        <v>0</v>
      </c>
      <c r="AC165" s="39">
        <f ca="1">SUMPRODUCT(OFFSET(tConvElecInMx,0,24,1,_maxLT),INDEX(elecInMx,stdCSL+1,3)*allOnes,tpSurvInMx)</f>
        <v>0</v>
      </c>
      <c r="AD165" s="39">
        <f ca="1">SUMPRODUCT(OFFSET(tConvElecInMx,0,25,1,_maxLT),INDEX(elecInMx,stdCSL+1,3)*allOnes,tpSurvInMx)</f>
        <v>0</v>
      </c>
      <c r="AE165" s="39">
        <f ca="1">SUMPRODUCT(OFFSET(tConvElecInMx,0,26,1,_maxLT),INDEX(elecInMx,stdCSL+1,3)*allOnes,tpSurvInMx)</f>
        <v>0</v>
      </c>
      <c r="AF165" s="39">
        <f ca="1">SUMPRODUCT(OFFSET(tConvElecInMx,0,27,1,_maxLT),INDEX(elecInMx,stdCSL+1,3)*allOnes,tpSurvInMx)</f>
        <v>0</v>
      </c>
      <c r="AG165" s="39">
        <f ca="1">SUMPRODUCT(OFFSET(tConvElecInMx,0,28,1,_maxLT),INDEX(elecInMx,stdCSL+1,3)*allOnes,tpSurvInMx)</f>
        <v>0</v>
      </c>
      <c r="AH165" s="39">
        <f ca="1">SUMPRODUCT(OFFSET(tConvElecInMx,0,29,1,_maxLT),INDEX(elecInMx,stdCSL+1,3)*allOnes,tpSurvInMx)</f>
        <v>0</v>
      </c>
      <c r="AI165" s="39">
        <f ca="1">SUMPRODUCT(OFFSET(tConvElecInMx,0,30,1,_maxLT),INDEX(elecInMx,stdCSL+1,3)*allOnes,tpSurvInMx)</f>
        <v>0</v>
      </c>
      <c r="AJ165" s="39">
        <f ca="1">SUMPRODUCT(OFFSET(tConvElecInMx,0,31,1,_maxLT),INDEX(elecInMx,stdCSL+1,3)*allOnes,tpSurvInMx)</f>
        <v>0</v>
      </c>
      <c r="AK165" s="39">
        <f ca="1">SUMPRODUCT(OFFSET(tConvElecInMx,0,32,1,_maxLT),INDEX(elecInMx,stdCSL+1,3)*allOnes,tpSurvInMx)</f>
        <v>0</v>
      </c>
      <c r="AL165" s="40">
        <f ca="1">SUMPRODUCT(OFFSET(tConvElecInMx,0,33,1,_maxLT),INDEX(elecInMx,stdCSL+1,3)*allOnes,tpSurvInMx)</f>
        <v>0</v>
      </c>
      <c r="AM165" s="10"/>
    </row>
    <row r="166" spans="2:39">
      <c r="B166" s="10"/>
      <c r="C166" s="57" t="str">
        <f>"EL 3: " &amp; INDEX(_doName,5,4)</f>
        <v>EL 3: EL 3</v>
      </c>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3"/>
      <c r="AM166" s="10"/>
    </row>
    <row r="167" spans="2:39">
      <c r="B167" s="10"/>
      <c r="C167" s="16" t="s">
        <v>69</v>
      </c>
      <c r="D167" s="12" t="str">
        <f>_yearDol &amp; "$"</f>
        <v>2015$</v>
      </c>
      <c r="E167" s="13">
        <f t="array" aca="1" ref="E167:AL167" ca="1">INDEX(mspInMx,stdCSL+1,4)*tPIdxAll + INDEX(instInMx,stdCSL+1,4) + IF(bESav,SUMPRODUCT(dFactor,tpSurvInMx,INDEX(mrInMx,stdCSL+1,4)*allOnes),0)</f>
        <v>0</v>
      </c>
      <c r="F167" s="13">
        <f ca="1"/>
        <v>0</v>
      </c>
      <c r="G167" s="13">
        <f ca="1"/>
        <v>0</v>
      </c>
      <c r="H167" s="13">
        <f ca="1"/>
        <v>0</v>
      </c>
      <c r="I167" s="13">
        <f ca="1"/>
        <v>0</v>
      </c>
      <c r="J167" s="13">
        <f ca="1"/>
        <v>0</v>
      </c>
      <c r="K167" s="13">
        <f ca="1"/>
        <v>0</v>
      </c>
      <c r="L167" s="13">
        <f ca="1"/>
        <v>0</v>
      </c>
      <c r="M167" s="13">
        <f ca="1"/>
        <v>0</v>
      </c>
      <c r="N167" s="13">
        <f ca="1"/>
        <v>0</v>
      </c>
      <c r="O167" s="13">
        <f ca="1"/>
        <v>0</v>
      </c>
      <c r="P167" s="13">
        <f ca="1"/>
        <v>0</v>
      </c>
      <c r="Q167" s="13">
        <f ca="1"/>
        <v>0</v>
      </c>
      <c r="R167" s="13">
        <f ca="1"/>
        <v>0</v>
      </c>
      <c r="S167" s="13">
        <f ca="1"/>
        <v>0</v>
      </c>
      <c r="T167" s="13">
        <f ca="1"/>
        <v>0</v>
      </c>
      <c r="U167" s="13">
        <f ca="1"/>
        <v>0</v>
      </c>
      <c r="V167" s="13">
        <f ca="1"/>
        <v>0</v>
      </c>
      <c r="W167" s="13">
        <f ca="1"/>
        <v>0</v>
      </c>
      <c r="X167" s="13">
        <f ca="1"/>
        <v>0</v>
      </c>
      <c r="Y167" s="13">
        <f ca="1"/>
        <v>0</v>
      </c>
      <c r="Z167" s="13">
        <f ca="1"/>
        <v>0</v>
      </c>
      <c r="AA167" s="13">
        <f ca="1"/>
        <v>0</v>
      </c>
      <c r="AB167" s="13">
        <f ca="1"/>
        <v>0</v>
      </c>
      <c r="AC167" s="13">
        <f ca="1"/>
        <v>0</v>
      </c>
      <c r="AD167" s="13">
        <f ca="1"/>
        <v>0</v>
      </c>
      <c r="AE167" s="13">
        <f ca="1"/>
        <v>0</v>
      </c>
      <c r="AF167" s="13">
        <f ca="1"/>
        <v>0</v>
      </c>
      <c r="AG167" s="13">
        <f ca="1"/>
        <v>0</v>
      </c>
      <c r="AH167" s="13">
        <f ca="1"/>
        <v>0</v>
      </c>
      <c r="AI167" s="13">
        <f ca="1"/>
        <v>0</v>
      </c>
      <c r="AJ167" s="13">
        <f ca="1"/>
        <v>0</v>
      </c>
      <c r="AK167" s="13">
        <f ca="1"/>
        <v>0</v>
      </c>
      <c r="AL167" s="56">
        <f ca="1"/>
        <v>0</v>
      </c>
      <c r="AM167" s="10"/>
    </row>
    <row r="168" spans="2:39">
      <c r="B168" s="10"/>
      <c r="C168" s="16" t="str">
        <f>zEO&amp;" Costs"</f>
        <v>Operating Costs</v>
      </c>
      <c r="D168" s="12" t="str">
        <f>_yearDol &amp; "$"</f>
        <v>2015$</v>
      </c>
      <c r="E168" s="13">
        <f t="array" aca="1" ref="E168:AL168" ca="1">(tlccEFuElecpol3) + IF(bOSav,SUMPRODUCT(dFactor,tpSurvInMx,INDEX(mrInMx,stdCSL+1,4)*allOnes),0)</f>
        <v>0</v>
      </c>
      <c r="F168" s="13">
        <f ca="1"/>
        <v>0</v>
      </c>
      <c r="G168" s="13">
        <f ca="1"/>
        <v>0</v>
      </c>
      <c r="H168" s="13">
        <f ca="1"/>
        <v>0</v>
      </c>
      <c r="I168" s="13">
        <f ca="1"/>
        <v>0</v>
      </c>
      <c r="J168" s="13">
        <f ca="1"/>
        <v>0</v>
      </c>
      <c r="K168" s="13">
        <f ca="1"/>
        <v>0</v>
      </c>
      <c r="L168" s="13">
        <f ca="1"/>
        <v>0</v>
      </c>
      <c r="M168" s="13">
        <f ca="1"/>
        <v>0</v>
      </c>
      <c r="N168" s="13">
        <f ca="1"/>
        <v>0</v>
      </c>
      <c r="O168" s="13">
        <f ca="1"/>
        <v>0</v>
      </c>
      <c r="P168" s="13">
        <f ca="1"/>
        <v>0</v>
      </c>
      <c r="Q168" s="13">
        <f ca="1"/>
        <v>0</v>
      </c>
      <c r="R168" s="13">
        <f ca="1"/>
        <v>0</v>
      </c>
      <c r="S168" s="13">
        <f ca="1"/>
        <v>0</v>
      </c>
      <c r="T168" s="13">
        <f ca="1"/>
        <v>0</v>
      </c>
      <c r="U168" s="13">
        <f ca="1"/>
        <v>0</v>
      </c>
      <c r="V168" s="13">
        <f ca="1"/>
        <v>0</v>
      </c>
      <c r="W168" s="13">
        <f ca="1"/>
        <v>0</v>
      </c>
      <c r="X168" s="13">
        <f ca="1"/>
        <v>0</v>
      </c>
      <c r="Y168" s="13">
        <f ca="1"/>
        <v>0</v>
      </c>
      <c r="Z168" s="13">
        <f ca="1"/>
        <v>0</v>
      </c>
      <c r="AA168" s="13">
        <f ca="1"/>
        <v>0</v>
      </c>
      <c r="AB168" s="13">
        <f ca="1"/>
        <v>0</v>
      </c>
      <c r="AC168" s="13">
        <f ca="1"/>
        <v>0</v>
      </c>
      <c r="AD168" s="13">
        <f ca="1"/>
        <v>0</v>
      </c>
      <c r="AE168" s="13">
        <f ca="1"/>
        <v>0</v>
      </c>
      <c r="AF168" s="13">
        <f ca="1"/>
        <v>0</v>
      </c>
      <c r="AG168" s="13">
        <f ca="1"/>
        <v>0</v>
      </c>
      <c r="AH168" s="13">
        <f ca="1"/>
        <v>0</v>
      </c>
      <c r="AI168" s="13">
        <f ca="1"/>
        <v>0</v>
      </c>
      <c r="AJ168" s="13">
        <f ca="1"/>
        <v>0</v>
      </c>
      <c r="AK168" s="13">
        <f ca="1"/>
        <v>0</v>
      </c>
      <c r="AL168" s="56">
        <f ca="1"/>
        <v>0</v>
      </c>
      <c r="AM168" s="10"/>
    </row>
    <row r="169" spans="2:39">
      <c r="B169" s="10"/>
      <c r="C169" s="28" t="str">
        <f>INDEX(_fuel,1)</f>
        <v>Electricity</v>
      </c>
      <c r="D169" s="12" t="str">
        <f>_yearDol &amp; "$"</f>
        <v>2015$</v>
      </c>
      <c r="E169" s="13">
        <f ca="1">SUMPRODUCT(dFactor,tpSurvInMx,INDEX(elecInMx,stdCSL+1,4)*allOnes,OFFSET(tPrcElec,0,0,1,_maxLT))</f>
        <v>0</v>
      </c>
      <c r="F169" s="13">
        <f ca="1">SUMPRODUCT(dFactor,tpSurvInMx,INDEX(elecInMx,stdCSL+1,4)*allOnes,OFFSET(tPrcElec,0,1,1,_maxLT))</f>
        <v>0</v>
      </c>
      <c r="G169" s="13">
        <f ca="1">SUMPRODUCT(dFactor,tpSurvInMx,INDEX(elecInMx,stdCSL+1,4)*allOnes,OFFSET(tPrcElec,0,2,1,_maxLT))</f>
        <v>0</v>
      </c>
      <c r="H169" s="13">
        <f ca="1">SUMPRODUCT(dFactor,tpSurvInMx,INDEX(elecInMx,stdCSL+1,4)*allOnes,OFFSET(tPrcElec,0,3,1,_maxLT))</f>
        <v>0</v>
      </c>
      <c r="I169" s="13">
        <f ca="1">SUMPRODUCT(dFactor,tpSurvInMx,INDEX(elecInMx,stdCSL+1,4)*allOnes,OFFSET(tPrcElec,0,4,1,_maxLT))</f>
        <v>0</v>
      </c>
      <c r="J169" s="13">
        <f ca="1">SUMPRODUCT(dFactor,tpSurvInMx,INDEX(elecInMx,stdCSL+1,4)*allOnes,OFFSET(tPrcElec,0,5,1,_maxLT))</f>
        <v>0</v>
      </c>
      <c r="K169" s="13">
        <f ca="1">SUMPRODUCT(dFactor,tpSurvInMx,INDEX(elecInMx,stdCSL+1,4)*allOnes,OFFSET(tPrcElec,0,6,1,_maxLT))</f>
        <v>0</v>
      </c>
      <c r="L169" s="13">
        <f ca="1">SUMPRODUCT(dFactor,tpSurvInMx,INDEX(elecInMx,stdCSL+1,4)*allOnes,OFFSET(tPrcElec,0,7,1,_maxLT))</f>
        <v>0</v>
      </c>
      <c r="M169" s="13">
        <f ca="1">SUMPRODUCT(dFactor,tpSurvInMx,INDEX(elecInMx,stdCSL+1,4)*allOnes,OFFSET(tPrcElec,0,8,1,_maxLT))</f>
        <v>0</v>
      </c>
      <c r="N169" s="13">
        <f ca="1">SUMPRODUCT(dFactor,tpSurvInMx,INDEX(elecInMx,stdCSL+1,4)*allOnes,OFFSET(tPrcElec,0,9,1,_maxLT))</f>
        <v>0</v>
      </c>
      <c r="O169" s="13">
        <f ca="1">SUMPRODUCT(dFactor,tpSurvInMx,INDEX(elecInMx,stdCSL+1,4)*allOnes,OFFSET(tPrcElec,0,10,1,_maxLT))</f>
        <v>0</v>
      </c>
      <c r="P169" s="13">
        <f ca="1">SUMPRODUCT(dFactor,tpSurvInMx,INDEX(elecInMx,stdCSL+1,4)*allOnes,OFFSET(tPrcElec,0,11,1,_maxLT))</f>
        <v>0</v>
      </c>
      <c r="Q169" s="13">
        <f ca="1">SUMPRODUCT(dFactor,tpSurvInMx,INDEX(elecInMx,stdCSL+1,4)*allOnes,OFFSET(tPrcElec,0,12,1,_maxLT))</f>
        <v>0</v>
      </c>
      <c r="R169" s="13">
        <f ca="1">SUMPRODUCT(dFactor,tpSurvInMx,INDEX(elecInMx,stdCSL+1,4)*allOnes,OFFSET(tPrcElec,0,13,1,_maxLT))</f>
        <v>0</v>
      </c>
      <c r="S169" s="13">
        <f ca="1">SUMPRODUCT(dFactor,tpSurvInMx,INDEX(elecInMx,stdCSL+1,4)*allOnes,OFFSET(tPrcElec,0,14,1,_maxLT))</f>
        <v>0</v>
      </c>
      <c r="T169" s="13">
        <f ca="1">SUMPRODUCT(dFactor,tpSurvInMx,INDEX(elecInMx,stdCSL+1,4)*allOnes,OFFSET(tPrcElec,0,15,1,_maxLT))</f>
        <v>0</v>
      </c>
      <c r="U169" s="13">
        <f ca="1">SUMPRODUCT(dFactor,tpSurvInMx,INDEX(elecInMx,stdCSL+1,4)*allOnes,OFFSET(tPrcElec,0,16,1,_maxLT))</f>
        <v>0</v>
      </c>
      <c r="V169" s="13">
        <f ca="1">SUMPRODUCT(dFactor,tpSurvInMx,INDEX(elecInMx,stdCSL+1,4)*allOnes,OFFSET(tPrcElec,0,17,1,_maxLT))</f>
        <v>0</v>
      </c>
      <c r="W169" s="13">
        <f ca="1">SUMPRODUCT(dFactor,tpSurvInMx,INDEX(elecInMx,stdCSL+1,4)*allOnes,OFFSET(tPrcElec,0,18,1,_maxLT))</f>
        <v>0</v>
      </c>
      <c r="X169" s="13">
        <f ca="1">SUMPRODUCT(dFactor,tpSurvInMx,INDEX(elecInMx,stdCSL+1,4)*allOnes,OFFSET(tPrcElec,0,19,1,_maxLT))</f>
        <v>0</v>
      </c>
      <c r="Y169" s="13">
        <f ca="1">SUMPRODUCT(dFactor,tpSurvInMx,INDEX(elecInMx,stdCSL+1,4)*allOnes,OFFSET(tPrcElec,0,20,1,_maxLT))</f>
        <v>0</v>
      </c>
      <c r="Z169" s="13">
        <f ca="1">SUMPRODUCT(dFactor,tpSurvInMx,INDEX(elecInMx,stdCSL+1,4)*allOnes,OFFSET(tPrcElec,0,21,1,_maxLT))</f>
        <v>0</v>
      </c>
      <c r="AA169" s="13">
        <f ca="1">SUMPRODUCT(dFactor,tpSurvInMx,INDEX(elecInMx,stdCSL+1,4)*allOnes,OFFSET(tPrcElec,0,22,1,_maxLT))</f>
        <v>0</v>
      </c>
      <c r="AB169" s="13">
        <f ca="1">SUMPRODUCT(dFactor,tpSurvInMx,INDEX(elecInMx,stdCSL+1,4)*allOnes,OFFSET(tPrcElec,0,23,1,_maxLT))</f>
        <v>0</v>
      </c>
      <c r="AC169" s="13">
        <f ca="1">SUMPRODUCT(dFactor,tpSurvInMx,INDEX(elecInMx,stdCSL+1,4)*allOnes,OFFSET(tPrcElec,0,24,1,_maxLT))</f>
        <v>0</v>
      </c>
      <c r="AD169" s="13">
        <f ca="1">SUMPRODUCT(dFactor,tpSurvInMx,INDEX(elecInMx,stdCSL+1,4)*allOnes,OFFSET(tPrcElec,0,25,1,_maxLT))</f>
        <v>0</v>
      </c>
      <c r="AE169" s="13">
        <f ca="1">SUMPRODUCT(dFactor,tpSurvInMx,INDEX(elecInMx,stdCSL+1,4)*allOnes,OFFSET(tPrcElec,0,26,1,_maxLT))</f>
        <v>0</v>
      </c>
      <c r="AF169" s="13">
        <f ca="1">SUMPRODUCT(dFactor,tpSurvInMx,INDEX(elecInMx,stdCSL+1,4)*allOnes,OFFSET(tPrcElec,0,27,1,_maxLT))</f>
        <v>0</v>
      </c>
      <c r="AG169" s="13">
        <f ca="1">SUMPRODUCT(dFactor,tpSurvInMx,INDEX(elecInMx,stdCSL+1,4)*allOnes,OFFSET(tPrcElec,0,28,1,_maxLT))</f>
        <v>0</v>
      </c>
      <c r="AH169" s="13">
        <f ca="1">SUMPRODUCT(dFactor,tpSurvInMx,INDEX(elecInMx,stdCSL+1,4)*allOnes,OFFSET(tPrcElec,0,29,1,_maxLT))</f>
        <v>0</v>
      </c>
      <c r="AI169" s="13">
        <f ca="1">SUMPRODUCT(dFactor,tpSurvInMx,INDEX(elecInMx,stdCSL+1,4)*allOnes,OFFSET(tPrcElec,0,30,1,_maxLT))</f>
        <v>0</v>
      </c>
      <c r="AJ169" s="13">
        <f ca="1">SUMPRODUCT(dFactor,tpSurvInMx,INDEX(elecInMx,stdCSL+1,4)*allOnes,OFFSET(tPrcElec,0,31,1,_maxLT))</f>
        <v>0</v>
      </c>
      <c r="AK169" s="13">
        <f ca="1">SUMPRODUCT(dFactor,tpSurvInMx,INDEX(elecInMx,stdCSL+1,4)*allOnes,OFFSET(tPrcElec,0,32,1,_maxLT))</f>
        <v>0</v>
      </c>
      <c r="AL169" s="56">
        <f ca="1">SUMPRODUCT(dFactor,tpSurvInMx,INDEX(elecInMx,stdCSL+1,4)*allOnes,OFFSET(tPrcElec,0,33,1,_maxLT))</f>
        <v>0</v>
      </c>
      <c r="AM169" s="10"/>
    </row>
    <row r="170" spans="2:39">
      <c r="B170" s="10"/>
      <c r="C170" s="16" t="s">
        <v>79</v>
      </c>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5"/>
      <c r="AM170" s="10"/>
    </row>
    <row r="171" spans="2:39">
      <c r="B171" s="10"/>
      <c r="C171" s="28" t="str">
        <f>INDEX(_fuel,1)</f>
        <v>Electricity</v>
      </c>
      <c r="D171" s="12" t="s">
        <v>83</v>
      </c>
      <c r="E171" s="39">
        <f ca="1">SUMPRODUCT(OFFSET(tConvElecInMx,0,0,1,_maxLT),INDEX(elecInMx,stdCSL+1,4)*allOnes,tpSurvInMx)</f>
        <v>0</v>
      </c>
      <c r="F171" s="39">
        <f ca="1">SUMPRODUCT(OFFSET(tConvElecInMx,0,1,1,_maxLT),INDEX(elecInMx,stdCSL+1,4)*allOnes,tpSurvInMx)</f>
        <v>0</v>
      </c>
      <c r="G171" s="39">
        <f ca="1">SUMPRODUCT(OFFSET(tConvElecInMx,0,2,1,_maxLT),INDEX(elecInMx,stdCSL+1,4)*allOnes,tpSurvInMx)</f>
        <v>0</v>
      </c>
      <c r="H171" s="39">
        <f ca="1">SUMPRODUCT(OFFSET(tConvElecInMx,0,3,1,_maxLT),INDEX(elecInMx,stdCSL+1,4)*allOnes,tpSurvInMx)</f>
        <v>0</v>
      </c>
      <c r="I171" s="39">
        <f ca="1">SUMPRODUCT(OFFSET(tConvElecInMx,0,4,1,_maxLT),INDEX(elecInMx,stdCSL+1,4)*allOnes,tpSurvInMx)</f>
        <v>0</v>
      </c>
      <c r="J171" s="39">
        <f ca="1">SUMPRODUCT(OFFSET(tConvElecInMx,0,5,1,_maxLT),INDEX(elecInMx,stdCSL+1,4)*allOnes,tpSurvInMx)</f>
        <v>0</v>
      </c>
      <c r="K171" s="39">
        <f ca="1">SUMPRODUCT(OFFSET(tConvElecInMx,0,6,1,_maxLT),INDEX(elecInMx,stdCSL+1,4)*allOnes,tpSurvInMx)</f>
        <v>0</v>
      </c>
      <c r="L171" s="39">
        <f ca="1">SUMPRODUCT(OFFSET(tConvElecInMx,0,7,1,_maxLT),INDEX(elecInMx,stdCSL+1,4)*allOnes,tpSurvInMx)</f>
        <v>0</v>
      </c>
      <c r="M171" s="39">
        <f ca="1">SUMPRODUCT(OFFSET(tConvElecInMx,0,8,1,_maxLT),INDEX(elecInMx,stdCSL+1,4)*allOnes,tpSurvInMx)</f>
        <v>0</v>
      </c>
      <c r="N171" s="39">
        <f ca="1">SUMPRODUCT(OFFSET(tConvElecInMx,0,9,1,_maxLT),INDEX(elecInMx,stdCSL+1,4)*allOnes,tpSurvInMx)</f>
        <v>0</v>
      </c>
      <c r="O171" s="39">
        <f ca="1">SUMPRODUCT(OFFSET(tConvElecInMx,0,10,1,_maxLT),INDEX(elecInMx,stdCSL+1,4)*allOnes,tpSurvInMx)</f>
        <v>0</v>
      </c>
      <c r="P171" s="39">
        <f ca="1">SUMPRODUCT(OFFSET(tConvElecInMx,0,11,1,_maxLT),INDEX(elecInMx,stdCSL+1,4)*allOnes,tpSurvInMx)</f>
        <v>0</v>
      </c>
      <c r="Q171" s="39">
        <f ca="1">SUMPRODUCT(OFFSET(tConvElecInMx,0,12,1,_maxLT),INDEX(elecInMx,stdCSL+1,4)*allOnes,tpSurvInMx)</f>
        <v>0</v>
      </c>
      <c r="R171" s="39">
        <f ca="1">SUMPRODUCT(OFFSET(tConvElecInMx,0,13,1,_maxLT),INDEX(elecInMx,stdCSL+1,4)*allOnes,tpSurvInMx)</f>
        <v>0</v>
      </c>
      <c r="S171" s="39">
        <f ca="1">SUMPRODUCT(OFFSET(tConvElecInMx,0,14,1,_maxLT),INDEX(elecInMx,stdCSL+1,4)*allOnes,tpSurvInMx)</f>
        <v>0</v>
      </c>
      <c r="T171" s="39">
        <f ca="1">SUMPRODUCT(OFFSET(tConvElecInMx,0,15,1,_maxLT),INDEX(elecInMx,stdCSL+1,4)*allOnes,tpSurvInMx)</f>
        <v>0</v>
      </c>
      <c r="U171" s="39">
        <f ca="1">SUMPRODUCT(OFFSET(tConvElecInMx,0,16,1,_maxLT),INDEX(elecInMx,stdCSL+1,4)*allOnes,tpSurvInMx)</f>
        <v>0</v>
      </c>
      <c r="V171" s="39">
        <f ca="1">SUMPRODUCT(OFFSET(tConvElecInMx,0,17,1,_maxLT),INDEX(elecInMx,stdCSL+1,4)*allOnes,tpSurvInMx)</f>
        <v>0</v>
      </c>
      <c r="W171" s="39">
        <f ca="1">SUMPRODUCT(OFFSET(tConvElecInMx,0,18,1,_maxLT),INDEX(elecInMx,stdCSL+1,4)*allOnes,tpSurvInMx)</f>
        <v>0</v>
      </c>
      <c r="X171" s="39">
        <f ca="1">SUMPRODUCT(OFFSET(tConvElecInMx,0,19,1,_maxLT),INDEX(elecInMx,stdCSL+1,4)*allOnes,tpSurvInMx)</f>
        <v>0</v>
      </c>
      <c r="Y171" s="39">
        <f ca="1">SUMPRODUCT(OFFSET(tConvElecInMx,0,20,1,_maxLT),INDEX(elecInMx,stdCSL+1,4)*allOnes,tpSurvInMx)</f>
        <v>0</v>
      </c>
      <c r="Z171" s="39">
        <f ca="1">SUMPRODUCT(OFFSET(tConvElecInMx,0,21,1,_maxLT),INDEX(elecInMx,stdCSL+1,4)*allOnes,tpSurvInMx)</f>
        <v>0</v>
      </c>
      <c r="AA171" s="39">
        <f ca="1">SUMPRODUCT(OFFSET(tConvElecInMx,0,22,1,_maxLT),INDEX(elecInMx,stdCSL+1,4)*allOnes,tpSurvInMx)</f>
        <v>0</v>
      </c>
      <c r="AB171" s="39">
        <f ca="1">SUMPRODUCT(OFFSET(tConvElecInMx,0,23,1,_maxLT),INDEX(elecInMx,stdCSL+1,4)*allOnes,tpSurvInMx)</f>
        <v>0</v>
      </c>
      <c r="AC171" s="39">
        <f ca="1">SUMPRODUCT(OFFSET(tConvElecInMx,0,24,1,_maxLT),INDEX(elecInMx,stdCSL+1,4)*allOnes,tpSurvInMx)</f>
        <v>0</v>
      </c>
      <c r="AD171" s="39">
        <f ca="1">SUMPRODUCT(OFFSET(tConvElecInMx,0,25,1,_maxLT),INDEX(elecInMx,stdCSL+1,4)*allOnes,tpSurvInMx)</f>
        <v>0</v>
      </c>
      <c r="AE171" s="39">
        <f ca="1">SUMPRODUCT(OFFSET(tConvElecInMx,0,26,1,_maxLT),INDEX(elecInMx,stdCSL+1,4)*allOnes,tpSurvInMx)</f>
        <v>0</v>
      </c>
      <c r="AF171" s="39">
        <f ca="1">SUMPRODUCT(OFFSET(tConvElecInMx,0,27,1,_maxLT),INDEX(elecInMx,stdCSL+1,4)*allOnes,tpSurvInMx)</f>
        <v>0</v>
      </c>
      <c r="AG171" s="39">
        <f ca="1">SUMPRODUCT(OFFSET(tConvElecInMx,0,28,1,_maxLT),INDEX(elecInMx,stdCSL+1,4)*allOnes,tpSurvInMx)</f>
        <v>0</v>
      </c>
      <c r="AH171" s="39">
        <f ca="1">SUMPRODUCT(OFFSET(tConvElecInMx,0,29,1,_maxLT),INDEX(elecInMx,stdCSL+1,4)*allOnes,tpSurvInMx)</f>
        <v>0</v>
      </c>
      <c r="AI171" s="39">
        <f ca="1">SUMPRODUCT(OFFSET(tConvElecInMx,0,30,1,_maxLT),INDEX(elecInMx,stdCSL+1,4)*allOnes,tpSurvInMx)</f>
        <v>0</v>
      </c>
      <c r="AJ171" s="39">
        <f ca="1">SUMPRODUCT(OFFSET(tConvElecInMx,0,31,1,_maxLT),INDEX(elecInMx,stdCSL+1,4)*allOnes,tpSurvInMx)</f>
        <v>0</v>
      </c>
      <c r="AK171" s="39">
        <f ca="1">SUMPRODUCT(OFFSET(tConvElecInMx,0,32,1,_maxLT),INDEX(elecInMx,stdCSL+1,4)*allOnes,tpSurvInMx)</f>
        <v>0</v>
      </c>
      <c r="AL171" s="40">
        <f ca="1">SUMPRODUCT(OFFSET(tConvElecInMx,0,33,1,_maxLT),INDEX(elecInMx,stdCSL+1,4)*allOnes,tpSurvInMx)</f>
        <v>0</v>
      </c>
      <c r="AM171" s="10"/>
    </row>
    <row r="172" spans="2:39">
      <c r="B172" s="10"/>
      <c r="C172" s="57" t="str">
        <f>"EL 4: " &amp; INDEX(_doName,5,5)</f>
        <v>EL 4: EL 4</v>
      </c>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3"/>
      <c r="AM172" s="10"/>
    </row>
    <row r="173" spans="2:39">
      <c r="B173" s="10"/>
      <c r="C173" s="16" t="s">
        <v>69</v>
      </c>
      <c r="D173" s="12" t="str">
        <f>_yearDol &amp; "$"</f>
        <v>2015$</v>
      </c>
      <c r="E173" s="13">
        <f t="array" aca="1" ref="E173:AL173" ca="1">INDEX(mspInMx,stdCSL+1,5)*tPIdxAll + INDEX(instInMx,stdCSL+1,5) + IF(bESav,SUMPRODUCT(dFactor,tpSurvInMx,INDEX(mrInMx,stdCSL+1,5)*allOnes),0)</f>
        <v>0</v>
      </c>
      <c r="F173" s="13">
        <f ca="1"/>
        <v>0</v>
      </c>
      <c r="G173" s="13">
        <f ca="1"/>
        <v>0</v>
      </c>
      <c r="H173" s="13">
        <f ca="1"/>
        <v>0</v>
      </c>
      <c r="I173" s="13">
        <f ca="1"/>
        <v>0</v>
      </c>
      <c r="J173" s="13">
        <f ca="1"/>
        <v>0</v>
      </c>
      <c r="K173" s="13">
        <f ca="1"/>
        <v>0</v>
      </c>
      <c r="L173" s="13">
        <f ca="1"/>
        <v>0</v>
      </c>
      <c r="M173" s="13">
        <f ca="1"/>
        <v>0</v>
      </c>
      <c r="N173" s="13">
        <f ca="1"/>
        <v>0</v>
      </c>
      <c r="O173" s="13">
        <f ca="1"/>
        <v>0</v>
      </c>
      <c r="P173" s="13">
        <f ca="1"/>
        <v>0</v>
      </c>
      <c r="Q173" s="13">
        <f ca="1"/>
        <v>0</v>
      </c>
      <c r="R173" s="13">
        <f ca="1"/>
        <v>0</v>
      </c>
      <c r="S173" s="13">
        <f ca="1"/>
        <v>0</v>
      </c>
      <c r="T173" s="13">
        <f ca="1"/>
        <v>0</v>
      </c>
      <c r="U173" s="13">
        <f ca="1"/>
        <v>0</v>
      </c>
      <c r="V173" s="13">
        <f ca="1"/>
        <v>0</v>
      </c>
      <c r="W173" s="13">
        <f ca="1"/>
        <v>0</v>
      </c>
      <c r="X173" s="13">
        <f ca="1"/>
        <v>0</v>
      </c>
      <c r="Y173" s="13">
        <f ca="1"/>
        <v>0</v>
      </c>
      <c r="Z173" s="13">
        <f ca="1"/>
        <v>0</v>
      </c>
      <c r="AA173" s="13">
        <f ca="1"/>
        <v>0</v>
      </c>
      <c r="AB173" s="13">
        <f ca="1"/>
        <v>0</v>
      </c>
      <c r="AC173" s="13">
        <f ca="1"/>
        <v>0</v>
      </c>
      <c r="AD173" s="13">
        <f ca="1"/>
        <v>0</v>
      </c>
      <c r="AE173" s="13">
        <f ca="1"/>
        <v>0</v>
      </c>
      <c r="AF173" s="13">
        <f ca="1"/>
        <v>0</v>
      </c>
      <c r="AG173" s="13">
        <f ca="1"/>
        <v>0</v>
      </c>
      <c r="AH173" s="13">
        <f ca="1"/>
        <v>0</v>
      </c>
      <c r="AI173" s="13">
        <f ca="1"/>
        <v>0</v>
      </c>
      <c r="AJ173" s="13">
        <f ca="1"/>
        <v>0</v>
      </c>
      <c r="AK173" s="13">
        <f ca="1"/>
        <v>0</v>
      </c>
      <c r="AL173" s="56">
        <f ca="1"/>
        <v>0</v>
      </c>
      <c r="AM173" s="10"/>
    </row>
    <row r="174" spans="2:39">
      <c r="B174" s="10"/>
      <c r="C174" s="16" t="str">
        <f>zEO&amp;" Costs"</f>
        <v>Operating Costs</v>
      </c>
      <c r="D174" s="12" t="str">
        <f>_yearDol &amp; "$"</f>
        <v>2015$</v>
      </c>
      <c r="E174" s="13">
        <f t="array" aca="1" ref="E174:AL174" ca="1">(tlccEFuElecpol4) + IF(bOSav,SUMPRODUCT(dFactor,tpSurvInMx,INDEX(mrInMx,stdCSL+1,5)*allOnes),0)</f>
        <v>0</v>
      </c>
      <c r="F174" s="13">
        <f ca="1"/>
        <v>0</v>
      </c>
      <c r="G174" s="13">
        <f ca="1"/>
        <v>0</v>
      </c>
      <c r="H174" s="13">
        <f ca="1"/>
        <v>0</v>
      </c>
      <c r="I174" s="13">
        <f ca="1"/>
        <v>0</v>
      </c>
      <c r="J174" s="13">
        <f ca="1"/>
        <v>0</v>
      </c>
      <c r="K174" s="13">
        <f ca="1"/>
        <v>0</v>
      </c>
      <c r="L174" s="13">
        <f ca="1"/>
        <v>0</v>
      </c>
      <c r="M174" s="13">
        <f ca="1"/>
        <v>0</v>
      </c>
      <c r="N174" s="13">
        <f ca="1"/>
        <v>0</v>
      </c>
      <c r="O174" s="13">
        <f ca="1"/>
        <v>0</v>
      </c>
      <c r="P174" s="13">
        <f ca="1"/>
        <v>0</v>
      </c>
      <c r="Q174" s="13">
        <f ca="1"/>
        <v>0</v>
      </c>
      <c r="R174" s="13">
        <f ca="1"/>
        <v>0</v>
      </c>
      <c r="S174" s="13">
        <f ca="1"/>
        <v>0</v>
      </c>
      <c r="T174" s="13">
        <f ca="1"/>
        <v>0</v>
      </c>
      <c r="U174" s="13">
        <f ca="1"/>
        <v>0</v>
      </c>
      <c r="V174" s="13">
        <f ca="1"/>
        <v>0</v>
      </c>
      <c r="W174" s="13">
        <f ca="1"/>
        <v>0</v>
      </c>
      <c r="X174" s="13">
        <f ca="1"/>
        <v>0</v>
      </c>
      <c r="Y174" s="13">
        <f ca="1"/>
        <v>0</v>
      </c>
      <c r="Z174" s="13">
        <f ca="1"/>
        <v>0</v>
      </c>
      <c r="AA174" s="13">
        <f ca="1"/>
        <v>0</v>
      </c>
      <c r="AB174" s="13">
        <f ca="1"/>
        <v>0</v>
      </c>
      <c r="AC174" s="13">
        <f ca="1"/>
        <v>0</v>
      </c>
      <c r="AD174" s="13">
        <f ca="1"/>
        <v>0</v>
      </c>
      <c r="AE174" s="13">
        <f ca="1"/>
        <v>0</v>
      </c>
      <c r="AF174" s="13">
        <f ca="1"/>
        <v>0</v>
      </c>
      <c r="AG174" s="13">
        <f ca="1"/>
        <v>0</v>
      </c>
      <c r="AH174" s="13">
        <f ca="1"/>
        <v>0</v>
      </c>
      <c r="AI174" s="13">
        <f ca="1"/>
        <v>0</v>
      </c>
      <c r="AJ174" s="13">
        <f ca="1"/>
        <v>0</v>
      </c>
      <c r="AK174" s="13">
        <f ca="1"/>
        <v>0</v>
      </c>
      <c r="AL174" s="56">
        <f ca="1"/>
        <v>0</v>
      </c>
      <c r="AM174" s="10"/>
    </row>
    <row r="175" spans="2:39">
      <c r="B175" s="10"/>
      <c r="C175" s="28" t="str">
        <f>INDEX(_fuel,1)</f>
        <v>Electricity</v>
      </c>
      <c r="D175" s="12" t="str">
        <f>_yearDol &amp; "$"</f>
        <v>2015$</v>
      </c>
      <c r="E175" s="13">
        <f ca="1">SUMPRODUCT(dFactor,tpSurvInMx,INDEX(elecInMx,stdCSL+1,5)*allOnes,OFFSET(tPrcElec,0,0,1,_maxLT))</f>
        <v>0</v>
      </c>
      <c r="F175" s="13">
        <f ca="1">SUMPRODUCT(dFactor,tpSurvInMx,INDEX(elecInMx,stdCSL+1,5)*allOnes,OFFSET(tPrcElec,0,1,1,_maxLT))</f>
        <v>0</v>
      </c>
      <c r="G175" s="13">
        <f ca="1">SUMPRODUCT(dFactor,tpSurvInMx,INDEX(elecInMx,stdCSL+1,5)*allOnes,OFFSET(tPrcElec,0,2,1,_maxLT))</f>
        <v>0</v>
      </c>
      <c r="H175" s="13">
        <f ca="1">SUMPRODUCT(dFactor,tpSurvInMx,INDEX(elecInMx,stdCSL+1,5)*allOnes,OFFSET(tPrcElec,0,3,1,_maxLT))</f>
        <v>0</v>
      </c>
      <c r="I175" s="13">
        <f ca="1">SUMPRODUCT(dFactor,tpSurvInMx,INDEX(elecInMx,stdCSL+1,5)*allOnes,OFFSET(tPrcElec,0,4,1,_maxLT))</f>
        <v>0</v>
      </c>
      <c r="J175" s="13">
        <f ca="1">SUMPRODUCT(dFactor,tpSurvInMx,INDEX(elecInMx,stdCSL+1,5)*allOnes,OFFSET(tPrcElec,0,5,1,_maxLT))</f>
        <v>0</v>
      </c>
      <c r="K175" s="13">
        <f ca="1">SUMPRODUCT(dFactor,tpSurvInMx,INDEX(elecInMx,stdCSL+1,5)*allOnes,OFFSET(tPrcElec,0,6,1,_maxLT))</f>
        <v>0</v>
      </c>
      <c r="L175" s="13">
        <f ca="1">SUMPRODUCT(dFactor,tpSurvInMx,INDEX(elecInMx,stdCSL+1,5)*allOnes,OFFSET(tPrcElec,0,7,1,_maxLT))</f>
        <v>0</v>
      </c>
      <c r="M175" s="13">
        <f ca="1">SUMPRODUCT(dFactor,tpSurvInMx,INDEX(elecInMx,stdCSL+1,5)*allOnes,OFFSET(tPrcElec,0,8,1,_maxLT))</f>
        <v>0</v>
      </c>
      <c r="N175" s="13">
        <f ca="1">SUMPRODUCT(dFactor,tpSurvInMx,INDEX(elecInMx,stdCSL+1,5)*allOnes,OFFSET(tPrcElec,0,9,1,_maxLT))</f>
        <v>0</v>
      </c>
      <c r="O175" s="13">
        <f ca="1">SUMPRODUCT(dFactor,tpSurvInMx,INDEX(elecInMx,stdCSL+1,5)*allOnes,OFFSET(tPrcElec,0,10,1,_maxLT))</f>
        <v>0</v>
      </c>
      <c r="P175" s="13">
        <f ca="1">SUMPRODUCT(dFactor,tpSurvInMx,INDEX(elecInMx,stdCSL+1,5)*allOnes,OFFSET(tPrcElec,0,11,1,_maxLT))</f>
        <v>0</v>
      </c>
      <c r="Q175" s="13">
        <f ca="1">SUMPRODUCT(dFactor,tpSurvInMx,INDEX(elecInMx,stdCSL+1,5)*allOnes,OFFSET(tPrcElec,0,12,1,_maxLT))</f>
        <v>0</v>
      </c>
      <c r="R175" s="13">
        <f ca="1">SUMPRODUCT(dFactor,tpSurvInMx,INDEX(elecInMx,stdCSL+1,5)*allOnes,OFFSET(tPrcElec,0,13,1,_maxLT))</f>
        <v>0</v>
      </c>
      <c r="S175" s="13">
        <f ca="1">SUMPRODUCT(dFactor,tpSurvInMx,INDEX(elecInMx,stdCSL+1,5)*allOnes,OFFSET(tPrcElec,0,14,1,_maxLT))</f>
        <v>0</v>
      </c>
      <c r="T175" s="13">
        <f ca="1">SUMPRODUCT(dFactor,tpSurvInMx,INDEX(elecInMx,stdCSL+1,5)*allOnes,OFFSET(tPrcElec,0,15,1,_maxLT))</f>
        <v>0</v>
      </c>
      <c r="U175" s="13">
        <f ca="1">SUMPRODUCT(dFactor,tpSurvInMx,INDEX(elecInMx,stdCSL+1,5)*allOnes,OFFSET(tPrcElec,0,16,1,_maxLT))</f>
        <v>0</v>
      </c>
      <c r="V175" s="13">
        <f ca="1">SUMPRODUCT(dFactor,tpSurvInMx,INDEX(elecInMx,stdCSL+1,5)*allOnes,OFFSET(tPrcElec,0,17,1,_maxLT))</f>
        <v>0</v>
      </c>
      <c r="W175" s="13">
        <f ca="1">SUMPRODUCT(dFactor,tpSurvInMx,INDEX(elecInMx,stdCSL+1,5)*allOnes,OFFSET(tPrcElec,0,18,1,_maxLT))</f>
        <v>0</v>
      </c>
      <c r="X175" s="13">
        <f ca="1">SUMPRODUCT(dFactor,tpSurvInMx,INDEX(elecInMx,stdCSL+1,5)*allOnes,OFFSET(tPrcElec,0,19,1,_maxLT))</f>
        <v>0</v>
      </c>
      <c r="Y175" s="13">
        <f ca="1">SUMPRODUCT(dFactor,tpSurvInMx,INDEX(elecInMx,stdCSL+1,5)*allOnes,OFFSET(tPrcElec,0,20,1,_maxLT))</f>
        <v>0</v>
      </c>
      <c r="Z175" s="13">
        <f ca="1">SUMPRODUCT(dFactor,tpSurvInMx,INDEX(elecInMx,stdCSL+1,5)*allOnes,OFFSET(tPrcElec,0,21,1,_maxLT))</f>
        <v>0</v>
      </c>
      <c r="AA175" s="13">
        <f ca="1">SUMPRODUCT(dFactor,tpSurvInMx,INDEX(elecInMx,stdCSL+1,5)*allOnes,OFFSET(tPrcElec,0,22,1,_maxLT))</f>
        <v>0</v>
      </c>
      <c r="AB175" s="13">
        <f ca="1">SUMPRODUCT(dFactor,tpSurvInMx,INDEX(elecInMx,stdCSL+1,5)*allOnes,OFFSET(tPrcElec,0,23,1,_maxLT))</f>
        <v>0</v>
      </c>
      <c r="AC175" s="13">
        <f ca="1">SUMPRODUCT(dFactor,tpSurvInMx,INDEX(elecInMx,stdCSL+1,5)*allOnes,OFFSET(tPrcElec,0,24,1,_maxLT))</f>
        <v>0</v>
      </c>
      <c r="AD175" s="13">
        <f ca="1">SUMPRODUCT(dFactor,tpSurvInMx,INDEX(elecInMx,stdCSL+1,5)*allOnes,OFFSET(tPrcElec,0,25,1,_maxLT))</f>
        <v>0</v>
      </c>
      <c r="AE175" s="13">
        <f ca="1">SUMPRODUCT(dFactor,tpSurvInMx,INDEX(elecInMx,stdCSL+1,5)*allOnes,OFFSET(tPrcElec,0,26,1,_maxLT))</f>
        <v>0</v>
      </c>
      <c r="AF175" s="13">
        <f ca="1">SUMPRODUCT(dFactor,tpSurvInMx,INDEX(elecInMx,stdCSL+1,5)*allOnes,OFFSET(tPrcElec,0,27,1,_maxLT))</f>
        <v>0</v>
      </c>
      <c r="AG175" s="13">
        <f ca="1">SUMPRODUCT(dFactor,tpSurvInMx,INDEX(elecInMx,stdCSL+1,5)*allOnes,OFFSET(tPrcElec,0,28,1,_maxLT))</f>
        <v>0</v>
      </c>
      <c r="AH175" s="13">
        <f ca="1">SUMPRODUCT(dFactor,tpSurvInMx,INDEX(elecInMx,stdCSL+1,5)*allOnes,OFFSET(tPrcElec,0,29,1,_maxLT))</f>
        <v>0</v>
      </c>
      <c r="AI175" s="13">
        <f ca="1">SUMPRODUCT(dFactor,tpSurvInMx,INDEX(elecInMx,stdCSL+1,5)*allOnes,OFFSET(tPrcElec,0,30,1,_maxLT))</f>
        <v>0</v>
      </c>
      <c r="AJ175" s="13">
        <f ca="1">SUMPRODUCT(dFactor,tpSurvInMx,INDEX(elecInMx,stdCSL+1,5)*allOnes,OFFSET(tPrcElec,0,31,1,_maxLT))</f>
        <v>0</v>
      </c>
      <c r="AK175" s="13">
        <f ca="1">SUMPRODUCT(dFactor,tpSurvInMx,INDEX(elecInMx,stdCSL+1,5)*allOnes,OFFSET(tPrcElec,0,32,1,_maxLT))</f>
        <v>0</v>
      </c>
      <c r="AL175" s="56">
        <f ca="1">SUMPRODUCT(dFactor,tpSurvInMx,INDEX(elecInMx,stdCSL+1,5)*allOnes,OFFSET(tPrcElec,0,33,1,_maxLT))</f>
        <v>0</v>
      </c>
      <c r="AM175" s="10"/>
    </row>
    <row r="176" spans="2:39">
      <c r="B176" s="10"/>
      <c r="C176" s="16" t="s">
        <v>79</v>
      </c>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5"/>
      <c r="AM176" s="10"/>
    </row>
    <row r="177" spans="2:39">
      <c r="B177" s="10"/>
      <c r="C177" s="28" t="str">
        <f>INDEX(_fuel,1)</f>
        <v>Electricity</v>
      </c>
      <c r="D177" s="12" t="s">
        <v>83</v>
      </c>
      <c r="E177" s="39">
        <f ca="1">SUMPRODUCT(OFFSET(tConvElecInMx,0,0,1,_maxLT),INDEX(elecInMx,stdCSL+1,5)*allOnes,tpSurvInMx)</f>
        <v>0</v>
      </c>
      <c r="F177" s="39">
        <f ca="1">SUMPRODUCT(OFFSET(tConvElecInMx,0,1,1,_maxLT),INDEX(elecInMx,stdCSL+1,5)*allOnes,tpSurvInMx)</f>
        <v>0</v>
      </c>
      <c r="G177" s="39">
        <f ca="1">SUMPRODUCT(OFFSET(tConvElecInMx,0,2,1,_maxLT),INDEX(elecInMx,stdCSL+1,5)*allOnes,tpSurvInMx)</f>
        <v>0</v>
      </c>
      <c r="H177" s="39">
        <f ca="1">SUMPRODUCT(OFFSET(tConvElecInMx,0,3,1,_maxLT),INDEX(elecInMx,stdCSL+1,5)*allOnes,tpSurvInMx)</f>
        <v>0</v>
      </c>
      <c r="I177" s="39">
        <f ca="1">SUMPRODUCT(OFFSET(tConvElecInMx,0,4,1,_maxLT),INDEX(elecInMx,stdCSL+1,5)*allOnes,tpSurvInMx)</f>
        <v>0</v>
      </c>
      <c r="J177" s="39">
        <f ca="1">SUMPRODUCT(OFFSET(tConvElecInMx,0,5,1,_maxLT),INDEX(elecInMx,stdCSL+1,5)*allOnes,tpSurvInMx)</f>
        <v>0</v>
      </c>
      <c r="K177" s="39">
        <f ca="1">SUMPRODUCT(OFFSET(tConvElecInMx,0,6,1,_maxLT),INDEX(elecInMx,stdCSL+1,5)*allOnes,tpSurvInMx)</f>
        <v>0</v>
      </c>
      <c r="L177" s="39">
        <f ca="1">SUMPRODUCT(OFFSET(tConvElecInMx,0,7,1,_maxLT),INDEX(elecInMx,stdCSL+1,5)*allOnes,tpSurvInMx)</f>
        <v>0</v>
      </c>
      <c r="M177" s="39">
        <f ca="1">SUMPRODUCT(OFFSET(tConvElecInMx,0,8,1,_maxLT),INDEX(elecInMx,stdCSL+1,5)*allOnes,tpSurvInMx)</f>
        <v>0</v>
      </c>
      <c r="N177" s="39">
        <f ca="1">SUMPRODUCT(OFFSET(tConvElecInMx,0,9,1,_maxLT),INDEX(elecInMx,stdCSL+1,5)*allOnes,tpSurvInMx)</f>
        <v>0</v>
      </c>
      <c r="O177" s="39">
        <f ca="1">SUMPRODUCT(OFFSET(tConvElecInMx,0,10,1,_maxLT),INDEX(elecInMx,stdCSL+1,5)*allOnes,tpSurvInMx)</f>
        <v>0</v>
      </c>
      <c r="P177" s="39">
        <f ca="1">SUMPRODUCT(OFFSET(tConvElecInMx,0,11,1,_maxLT),INDEX(elecInMx,stdCSL+1,5)*allOnes,tpSurvInMx)</f>
        <v>0</v>
      </c>
      <c r="Q177" s="39">
        <f ca="1">SUMPRODUCT(OFFSET(tConvElecInMx,0,12,1,_maxLT),INDEX(elecInMx,stdCSL+1,5)*allOnes,tpSurvInMx)</f>
        <v>0</v>
      </c>
      <c r="R177" s="39">
        <f ca="1">SUMPRODUCT(OFFSET(tConvElecInMx,0,13,1,_maxLT),INDEX(elecInMx,stdCSL+1,5)*allOnes,tpSurvInMx)</f>
        <v>0</v>
      </c>
      <c r="S177" s="39">
        <f ca="1">SUMPRODUCT(OFFSET(tConvElecInMx,0,14,1,_maxLT),INDEX(elecInMx,stdCSL+1,5)*allOnes,tpSurvInMx)</f>
        <v>0</v>
      </c>
      <c r="T177" s="39">
        <f ca="1">SUMPRODUCT(OFFSET(tConvElecInMx,0,15,1,_maxLT),INDEX(elecInMx,stdCSL+1,5)*allOnes,tpSurvInMx)</f>
        <v>0</v>
      </c>
      <c r="U177" s="39">
        <f ca="1">SUMPRODUCT(OFFSET(tConvElecInMx,0,16,1,_maxLT),INDEX(elecInMx,stdCSL+1,5)*allOnes,tpSurvInMx)</f>
        <v>0</v>
      </c>
      <c r="V177" s="39">
        <f ca="1">SUMPRODUCT(OFFSET(tConvElecInMx,0,17,1,_maxLT),INDEX(elecInMx,stdCSL+1,5)*allOnes,tpSurvInMx)</f>
        <v>0</v>
      </c>
      <c r="W177" s="39">
        <f ca="1">SUMPRODUCT(OFFSET(tConvElecInMx,0,18,1,_maxLT),INDEX(elecInMx,stdCSL+1,5)*allOnes,tpSurvInMx)</f>
        <v>0</v>
      </c>
      <c r="X177" s="39">
        <f ca="1">SUMPRODUCT(OFFSET(tConvElecInMx,0,19,1,_maxLT),INDEX(elecInMx,stdCSL+1,5)*allOnes,tpSurvInMx)</f>
        <v>0</v>
      </c>
      <c r="Y177" s="39">
        <f ca="1">SUMPRODUCT(OFFSET(tConvElecInMx,0,20,1,_maxLT),INDEX(elecInMx,stdCSL+1,5)*allOnes,tpSurvInMx)</f>
        <v>0</v>
      </c>
      <c r="Z177" s="39">
        <f ca="1">SUMPRODUCT(OFFSET(tConvElecInMx,0,21,1,_maxLT),INDEX(elecInMx,stdCSL+1,5)*allOnes,tpSurvInMx)</f>
        <v>0</v>
      </c>
      <c r="AA177" s="39">
        <f ca="1">SUMPRODUCT(OFFSET(tConvElecInMx,0,22,1,_maxLT),INDEX(elecInMx,stdCSL+1,5)*allOnes,tpSurvInMx)</f>
        <v>0</v>
      </c>
      <c r="AB177" s="39">
        <f ca="1">SUMPRODUCT(OFFSET(tConvElecInMx,0,23,1,_maxLT),INDEX(elecInMx,stdCSL+1,5)*allOnes,tpSurvInMx)</f>
        <v>0</v>
      </c>
      <c r="AC177" s="39">
        <f ca="1">SUMPRODUCT(OFFSET(tConvElecInMx,0,24,1,_maxLT),INDEX(elecInMx,stdCSL+1,5)*allOnes,tpSurvInMx)</f>
        <v>0</v>
      </c>
      <c r="AD177" s="39">
        <f ca="1">SUMPRODUCT(OFFSET(tConvElecInMx,0,25,1,_maxLT),INDEX(elecInMx,stdCSL+1,5)*allOnes,tpSurvInMx)</f>
        <v>0</v>
      </c>
      <c r="AE177" s="39">
        <f ca="1">SUMPRODUCT(OFFSET(tConvElecInMx,0,26,1,_maxLT),INDEX(elecInMx,stdCSL+1,5)*allOnes,tpSurvInMx)</f>
        <v>0</v>
      </c>
      <c r="AF177" s="39">
        <f ca="1">SUMPRODUCT(OFFSET(tConvElecInMx,0,27,1,_maxLT),INDEX(elecInMx,stdCSL+1,5)*allOnes,tpSurvInMx)</f>
        <v>0</v>
      </c>
      <c r="AG177" s="39">
        <f ca="1">SUMPRODUCT(OFFSET(tConvElecInMx,0,28,1,_maxLT),INDEX(elecInMx,stdCSL+1,5)*allOnes,tpSurvInMx)</f>
        <v>0</v>
      </c>
      <c r="AH177" s="39">
        <f ca="1">SUMPRODUCT(OFFSET(tConvElecInMx,0,29,1,_maxLT),INDEX(elecInMx,stdCSL+1,5)*allOnes,tpSurvInMx)</f>
        <v>0</v>
      </c>
      <c r="AI177" s="39">
        <f ca="1">SUMPRODUCT(OFFSET(tConvElecInMx,0,30,1,_maxLT),INDEX(elecInMx,stdCSL+1,5)*allOnes,tpSurvInMx)</f>
        <v>0</v>
      </c>
      <c r="AJ177" s="39">
        <f ca="1">SUMPRODUCT(OFFSET(tConvElecInMx,0,31,1,_maxLT),INDEX(elecInMx,stdCSL+1,5)*allOnes,tpSurvInMx)</f>
        <v>0</v>
      </c>
      <c r="AK177" s="39">
        <f ca="1">SUMPRODUCT(OFFSET(tConvElecInMx,0,32,1,_maxLT),INDEX(elecInMx,stdCSL+1,5)*allOnes,tpSurvInMx)</f>
        <v>0</v>
      </c>
      <c r="AL177" s="40">
        <f ca="1">SUMPRODUCT(OFFSET(tConvElecInMx,0,33,1,_maxLT),INDEX(elecInMx,stdCSL+1,5)*allOnes,tpSurvInMx)</f>
        <v>0</v>
      </c>
      <c r="AM177" s="10"/>
    </row>
    <row r="178" spans="2:39">
      <c r="B178" s="10"/>
      <c r="C178" s="57" t="str">
        <f>"EL 5: " &amp; INDEX(_doName,5,6)</f>
        <v>EL 5: EL 5</v>
      </c>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3"/>
      <c r="AM178" s="10"/>
    </row>
    <row r="179" spans="2:39">
      <c r="B179" s="10"/>
      <c r="C179" s="16" t="s">
        <v>69</v>
      </c>
      <c r="D179" s="12" t="str">
        <f>_yearDol &amp; "$"</f>
        <v>2015$</v>
      </c>
      <c r="E179" s="13">
        <f t="array" aca="1" ref="E179:AL179" ca="1">INDEX(mspInMx,stdCSL+1,6)*tPIdxAll + INDEX(instInMx,stdCSL+1,6) + IF(bESav,SUMPRODUCT(dFactor,tpSurvInMx,INDEX(mrInMx,stdCSL+1,6)*allOnes),0)</f>
        <v>4514.6802118466803</v>
      </c>
      <c r="F179" s="13">
        <f ca="1"/>
        <v>4514.6802118466803</v>
      </c>
      <c r="G179" s="13">
        <f ca="1"/>
        <v>4514.6802118466803</v>
      </c>
      <c r="H179" s="13">
        <f ca="1"/>
        <v>4514.6802118466803</v>
      </c>
      <c r="I179" s="13">
        <f ca="1"/>
        <v>4514.6802118466803</v>
      </c>
      <c r="J179" s="13">
        <f ca="1"/>
        <v>4514.6802118466803</v>
      </c>
      <c r="K179" s="13">
        <f ca="1"/>
        <v>4514.6802118466803</v>
      </c>
      <c r="L179" s="13">
        <f ca="1"/>
        <v>4514.6802118466803</v>
      </c>
      <c r="M179" s="13">
        <f ca="1"/>
        <v>4514.6802118466803</v>
      </c>
      <c r="N179" s="13">
        <f ca="1"/>
        <v>4514.6802118466803</v>
      </c>
      <c r="O179" s="13">
        <f ca="1"/>
        <v>4514.6802118466803</v>
      </c>
      <c r="P179" s="13">
        <f ca="1"/>
        <v>4514.6802118466803</v>
      </c>
      <c r="Q179" s="13">
        <f ca="1"/>
        <v>4514.6802118466803</v>
      </c>
      <c r="R179" s="13">
        <f ca="1"/>
        <v>4514.6802118466803</v>
      </c>
      <c r="S179" s="13">
        <f ca="1"/>
        <v>4514.6802118466803</v>
      </c>
      <c r="T179" s="13">
        <f ca="1"/>
        <v>4514.6802118466803</v>
      </c>
      <c r="U179" s="13">
        <f ca="1"/>
        <v>4514.6802118466803</v>
      </c>
      <c r="V179" s="13">
        <f ca="1"/>
        <v>4514.6802118466803</v>
      </c>
      <c r="W179" s="13">
        <f ca="1"/>
        <v>4514.6802118466803</v>
      </c>
      <c r="X179" s="13">
        <f ca="1"/>
        <v>4514.6802118466803</v>
      </c>
      <c r="Y179" s="13">
        <f ca="1"/>
        <v>4514.6802118466803</v>
      </c>
      <c r="Z179" s="13">
        <f ca="1"/>
        <v>4514.6802118466803</v>
      </c>
      <c r="AA179" s="13">
        <f ca="1"/>
        <v>4514.6802118466803</v>
      </c>
      <c r="AB179" s="13">
        <f ca="1"/>
        <v>4514.6802118466803</v>
      </c>
      <c r="AC179" s="13">
        <f ca="1"/>
        <v>4514.6802118466803</v>
      </c>
      <c r="AD179" s="13">
        <f ca="1"/>
        <v>4514.6802118466803</v>
      </c>
      <c r="AE179" s="13">
        <f ca="1"/>
        <v>4514.6802118466803</v>
      </c>
      <c r="AF179" s="13">
        <f ca="1"/>
        <v>4514.6802118466803</v>
      </c>
      <c r="AG179" s="13">
        <f ca="1"/>
        <v>4514.6802118466803</v>
      </c>
      <c r="AH179" s="13">
        <f ca="1"/>
        <v>4514.6802118466803</v>
      </c>
      <c r="AI179" s="13">
        <f ca="1"/>
        <v>4514.6802118466803</v>
      </c>
      <c r="AJ179" s="13">
        <f ca="1"/>
        <v>4514.6802118466803</v>
      </c>
      <c r="AK179" s="13">
        <f ca="1"/>
        <v>4514.6802118466803</v>
      </c>
      <c r="AL179" s="56">
        <f ca="1"/>
        <v>4514.6802118466803</v>
      </c>
      <c r="AM179" s="10"/>
    </row>
    <row r="180" spans="2:39">
      <c r="B180" s="10"/>
      <c r="C180" s="16" t="str">
        <f>zEO&amp;" Costs"</f>
        <v>Operating Costs</v>
      </c>
      <c r="D180" s="12" t="str">
        <f>_yearDol &amp; "$"</f>
        <v>2015$</v>
      </c>
      <c r="E180" s="13">
        <f t="array" aca="1" ref="E180:AL180" ca="1">(tlccEFuElecpol5) + IF(bOSav,SUMPRODUCT(dFactor,tpSurvInMx,INDEX(mrInMx,stdCSL+1,6)*allOnes),0)</f>
        <v>20412.887336446638</v>
      </c>
      <c r="F180" s="13">
        <f ca="1"/>
        <v>20579.530880336573</v>
      </c>
      <c r="G180" s="13">
        <f ca="1"/>
        <v>20741.053571892975</v>
      </c>
      <c r="H180" s="13">
        <f ca="1"/>
        <v>20886.422173704104</v>
      </c>
      <c r="I180" s="13">
        <f ca="1"/>
        <v>21017.973732765728</v>
      </c>
      <c r="J180" s="13">
        <f ca="1"/>
        <v>21150.371515238698</v>
      </c>
      <c r="K180" s="13">
        <f ca="1"/>
        <v>21283.621093368962</v>
      </c>
      <c r="L180" s="13">
        <f ca="1"/>
        <v>21417.728077014744</v>
      </c>
      <c r="M180" s="13">
        <f ca="1"/>
        <v>21552.698113906943</v>
      </c>
      <c r="N180" s="13">
        <f ca="1"/>
        <v>21688.536889911164</v>
      </c>
      <c r="O180" s="13">
        <f ca="1"/>
        <v>21825.250129291806</v>
      </c>
      <c r="P180" s="13">
        <f ca="1"/>
        <v>21962.843594977956</v>
      </c>
      <c r="Q180" s="13">
        <f ca="1"/>
        <v>22101.323088831021</v>
      </c>
      <c r="R180" s="13">
        <f ca="1"/>
        <v>22240.694451914522</v>
      </c>
      <c r="S180" s="13">
        <f ca="1"/>
        <v>22380.963564765614</v>
      </c>
      <c r="T180" s="13">
        <f ca="1"/>
        <v>22522.136347668584</v>
      </c>
      <c r="U180" s="13">
        <f ca="1"/>
        <v>22664.218760930275</v>
      </c>
      <c r="V180" s="13">
        <f ca="1"/>
        <v>22807.21680515755</v>
      </c>
      <c r="W180" s="13">
        <f ca="1"/>
        <v>22951.13652153661</v>
      </c>
      <c r="X180" s="13">
        <f ca="1"/>
        <v>23095.983992114318</v>
      </c>
      <c r="Y180" s="13">
        <f ca="1"/>
        <v>23241.765340081558</v>
      </c>
      <c r="Z180" s="13">
        <f ca="1"/>
        <v>23388.486730058656</v>
      </c>
      <c r="AA180" s="13">
        <f ca="1"/>
        <v>23536.154368382671</v>
      </c>
      <c r="AB180" s="13">
        <f ca="1"/>
        <v>23684.774503396879</v>
      </c>
      <c r="AC180" s="13">
        <f ca="1"/>
        <v>23834.35342574228</v>
      </c>
      <c r="AD180" s="13">
        <f ca="1"/>
        <v>23984.897468651056</v>
      </c>
      <c r="AE180" s="13">
        <f ca="1"/>
        <v>24136.413008242311</v>
      </c>
      <c r="AF180" s="13">
        <f ca="1"/>
        <v>24288.906463819781</v>
      </c>
      <c r="AG180" s="13">
        <f ca="1"/>
        <v>24442.384298171677</v>
      </c>
      <c r="AH180" s="13">
        <f ca="1"/>
        <v>24596.853017872618</v>
      </c>
      <c r="AI180" s="13">
        <f ca="1"/>
        <v>24752.319173587977</v>
      </c>
      <c r="AJ180" s="13">
        <f ca="1"/>
        <v>24908.789360379924</v>
      </c>
      <c r="AK180" s="13">
        <f ca="1"/>
        <v>25066.270218016074</v>
      </c>
      <c r="AL180" s="56">
        <f ca="1"/>
        <v>25224.768431280118</v>
      </c>
      <c r="AM180" s="10"/>
    </row>
    <row r="181" spans="2:39">
      <c r="B181" s="10"/>
      <c r="C181" s="28" t="str">
        <f>INDEX(_fuel,1)</f>
        <v>Electricity</v>
      </c>
      <c r="D181" s="12" t="str">
        <f>_yearDol &amp; "$"</f>
        <v>2015$</v>
      </c>
      <c r="E181" s="13">
        <f ca="1">SUMPRODUCT(dFactor,tpSurvInMx,INDEX(elecInMx,stdCSL+1,6)*allOnes,OFFSET(tPrcElec,0,0,1,_maxLT))</f>
        <v>20412.887336446638</v>
      </c>
      <c r="F181" s="13">
        <f ca="1">SUMPRODUCT(dFactor,tpSurvInMx,INDEX(elecInMx,stdCSL+1,6)*allOnes,OFFSET(tPrcElec,0,1,1,_maxLT))</f>
        <v>20579.530880336573</v>
      </c>
      <c r="G181" s="13">
        <f ca="1">SUMPRODUCT(dFactor,tpSurvInMx,INDEX(elecInMx,stdCSL+1,6)*allOnes,OFFSET(tPrcElec,0,2,1,_maxLT))</f>
        <v>20741.053571892975</v>
      </c>
      <c r="H181" s="13">
        <f ca="1">SUMPRODUCT(dFactor,tpSurvInMx,INDEX(elecInMx,stdCSL+1,6)*allOnes,OFFSET(tPrcElec,0,3,1,_maxLT))</f>
        <v>20886.422173704104</v>
      </c>
      <c r="I181" s="13">
        <f ca="1">SUMPRODUCT(dFactor,tpSurvInMx,INDEX(elecInMx,stdCSL+1,6)*allOnes,OFFSET(tPrcElec,0,4,1,_maxLT))</f>
        <v>21017.973732765728</v>
      </c>
      <c r="J181" s="13">
        <f ca="1">SUMPRODUCT(dFactor,tpSurvInMx,INDEX(elecInMx,stdCSL+1,6)*allOnes,OFFSET(tPrcElec,0,5,1,_maxLT))</f>
        <v>21150.371515238698</v>
      </c>
      <c r="K181" s="13">
        <f ca="1">SUMPRODUCT(dFactor,tpSurvInMx,INDEX(elecInMx,stdCSL+1,6)*allOnes,OFFSET(tPrcElec,0,6,1,_maxLT))</f>
        <v>21283.621093368962</v>
      </c>
      <c r="L181" s="13">
        <f ca="1">SUMPRODUCT(dFactor,tpSurvInMx,INDEX(elecInMx,stdCSL+1,6)*allOnes,OFFSET(tPrcElec,0,7,1,_maxLT))</f>
        <v>21417.728077014744</v>
      </c>
      <c r="M181" s="13">
        <f ca="1">SUMPRODUCT(dFactor,tpSurvInMx,INDEX(elecInMx,stdCSL+1,6)*allOnes,OFFSET(tPrcElec,0,8,1,_maxLT))</f>
        <v>21552.698113906943</v>
      </c>
      <c r="N181" s="13">
        <f ca="1">SUMPRODUCT(dFactor,tpSurvInMx,INDEX(elecInMx,stdCSL+1,6)*allOnes,OFFSET(tPrcElec,0,9,1,_maxLT))</f>
        <v>21688.536889911164</v>
      </c>
      <c r="O181" s="13">
        <f ca="1">SUMPRODUCT(dFactor,tpSurvInMx,INDEX(elecInMx,stdCSL+1,6)*allOnes,OFFSET(tPrcElec,0,10,1,_maxLT))</f>
        <v>21825.250129291806</v>
      </c>
      <c r="P181" s="13">
        <f ca="1">SUMPRODUCT(dFactor,tpSurvInMx,INDEX(elecInMx,stdCSL+1,6)*allOnes,OFFSET(tPrcElec,0,11,1,_maxLT))</f>
        <v>21962.843594977956</v>
      </c>
      <c r="Q181" s="13">
        <f ca="1">SUMPRODUCT(dFactor,tpSurvInMx,INDEX(elecInMx,stdCSL+1,6)*allOnes,OFFSET(tPrcElec,0,12,1,_maxLT))</f>
        <v>22101.323088831021</v>
      </c>
      <c r="R181" s="13">
        <f ca="1">SUMPRODUCT(dFactor,tpSurvInMx,INDEX(elecInMx,stdCSL+1,6)*allOnes,OFFSET(tPrcElec,0,13,1,_maxLT))</f>
        <v>22240.694451914522</v>
      </c>
      <c r="S181" s="13">
        <f ca="1">SUMPRODUCT(dFactor,tpSurvInMx,INDEX(elecInMx,stdCSL+1,6)*allOnes,OFFSET(tPrcElec,0,14,1,_maxLT))</f>
        <v>22380.963564765614</v>
      </c>
      <c r="T181" s="13">
        <f ca="1">SUMPRODUCT(dFactor,tpSurvInMx,INDEX(elecInMx,stdCSL+1,6)*allOnes,OFFSET(tPrcElec,0,15,1,_maxLT))</f>
        <v>22522.136347668584</v>
      </c>
      <c r="U181" s="13">
        <f ca="1">SUMPRODUCT(dFactor,tpSurvInMx,INDEX(elecInMx,stdCSL+1,6)*allOnes,OFFSET(tPrcElec,0,16,1,_maxLT))</f>
        <v>22664.218760930275</v>
      </c>
      <c r="V181" s="13">
        <f ca="1">SUMPRODUCT(dFactor,tpSurvInMx,INDEX(elecInMx,stdCSL+1,6)*allOnes,OFFSET(tPrcElec,0,17,1,_maxLT))</f>
        <v>22807.21680515755</v>
      </c>
      <c r="W181" s="13">
        <f ca="1">SUMPRODUCT(dFactor,tpSurvInMx,INDEX(elecInMx,stdCSL+1,6)*allOnes,OFFSET(tPrcElec,0,18,1,_maxLT))</f>
        <v>22951.13652153661</v>
      </c>
      <c r="X181" s="13">
        <f ca="1">SUMPRODUCT(dFactor,tpSurvInMx,INDEX(elecInMx,stdCSL+1,6)*allOnes,OFFSET(tPrcElec,0,19,1,_maxLT))</f>
        <v>23095.983992114318</v>
      </c>
      <c r="Y181" s="13">
        <f ca="1">SUMPRODUCT(dFactor,tpSurvInMx,INDEX(elecInMx,stdCSL+1,6)*allOnes,OFFSET(tPrcElec,0,20,1,_maxLT))</f>
        <v>23241.765340081558</v>
      </c>
      <c r="Z181" s="13">
        <f ca="1">SUMPRODUCT(dFactor,tpSurvInMx,INDEX(elecInMx,stdCSL+1,6)*allOnes,OFFSET(tPrcElec,0,21,1,_maxLT))</f>
        <v>23388.486730058656</v>
      </c>
      <c r="AA181" s="13">
        <f ca="1">SUMPRODUCT(dFactor,tpSurvInMx,INDEX(elecInMx,stdCSL+1,6)*allOnes,OFFSET(tPrcElec,0,22,1,_maxLT))</f>
        <v>23536.154368382671</v>
      </c>
      <c r="AB181" s="13">
        <f ca="1">SUMPRODUCT(dFactor,tpSurvInMx,INDEX(elecInMx,stdCSL+1,6)*allOnes,OFFSET(tPrcElec,0,23,1,_maxLT))</f>
        <v>23684.774503396879</v>
      </c>
      <c r="AC181" s="13">
        <f ca="1">SUMPRODUCT(dFactor,tpSurvInMx,INDEX(elecInMx,stdCSL+1,6)*allOnes,OFFSET(tPrcElec,0,24,1,_maxLT))</f>
        <v>23834.35342574228</v>
      </c>
      <c r="AD181" s="13">
        <f ca="1">SUMPRODUCT(dFactor,tpSurvInMx,INDEX(elecInMx,stdCSL+1,6)*allOnes,OFFSET(tPrcElec,0,25,1,_maxLT))</f>
        <v>23984.897468651056</v>
      </c>
      <c r="AE181" s="13">
        <f ca="1">SUMPRODUCT(dFactor,tpSurvInMx,INDEX(elecInMx,stdCSL+1,6)*allOnes,OFFSET(tPrcElec,0,26,1,_maxLT))</f>
        <v>24136.413008242311</v>
      </c>
      <c r="AF181" s="13">
        <f ca="1">SUMPRODUCT(dFactor,tpSurvInMx,INDEX(elecInMx,stdCSL+1,6)*allOnes,OFFSET(tPrcElec,0,27,1,_maxLT))</f>
        <v>24288.906463819781</v>
      </c>
      <c r="AG181" s="13">
        <f ca="1">SUMPRODUCT(dFactor,tpSurvInMx,INDEX(elecInMx,stdCSL+1,6)*allOnes,OFFSET(tPrcElec,0,28,1,_maxLT))</f>
        <v>24442.384298171677</v>
      </c>
      <c r="AH181" s="13">
        <f ca="1">SUMPRODUCT(dFactor,tpSurvInMx,INDEX(elecInMx,stdCSL+1,6)*allOnes,OFFSET(tPrcElec,0,29,1,_maxLT))</f>
        <v>24596.853017872618</v>
      </c>
      <c r="AI181" s="13">
        <f ca="1">SUMPRODUCT(dFactor,tpSurvInMx,INDEX(elecInMx,stdCSL+1,6)*allOnes,OFFSET(tPrcElec,0,30,1,_maxLT))</f>
        <v>24752.319173587977</v>
      </c>
      <c r="AJ181" s="13">
        <f ca="1">SUMPRODUCT(dFactor,tpSurvInMx,INDEX(elecInMx,stdCSL+1,6)*allOnes,OFFSET(tPrcElec,0,31,1,_maxLT))</f>
        <v>24908.789360379924</v>
      </c>
      <c r="AK181" s="13">
        <f ca="1">SUMPRODUCT(dFactor,tpSurvInMx,INDEX(elecInMx,stdCSL+1,6)*allOnes,OFFSET(tPrcElec,0,32,1,_maxLT))</f>
        <v>25066.270218016074</v>
      </c>
      <c r="AL181" s="56">
        <f ca="1">SUMPRODUCT(dFactor,tpSurvInMx,INDEX(elecInMx,stdCSL+1,6)*allOnes,OFFSET(tPrcElec,0,33,1,_maxLT))</f>
        <v>25224.768431280118</v>
      </c>
      <c r="AM181" s="10"/>
    </row>
    <row r="182" spans="2:39">
      <c r="B182" s="10"/>
      <c r="C182" s="16" t="s">
        <v>79</v>
      </c>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5"/>
      <c r="AM182" s="10"/>
    </row>
    <row r="183" spans="2:39">
      <c r="B183" s="10"/>
      <c r="C183" s="28" t="str">
        <f>INDEX(_fuel,1)</f>
        <v>Electricity</v>
      </c>
      <c r="D183" s="12" t="s">
        <v>83</v>
      </c>
      <c r="E183" s="39">
        <f ca="1">SUMPRODUCT(OFFSET(tConvElecInMx,0,0,1,_maxLT),INDEX(elecInMx,stdCSL+1,6)*allOnes,tpSurvInMx)</f>
        <v>4045.3697984770665</v>
      </c>
      <c r="F183" s="39">
        <f ca="1">SUMPRODUCT(OFFSET(tConvElecInMx,0,1,1,_maxLT),INDEX(elecInMx,stdCSL+1,6)*allOnes,tpSurvInMx)</f>
        <v>4015.9917627935097</v>
      </c>
      <c r="G183" s="39">
        <f ca="1">SUMPRODUCT(OFFSET(tConvElecInMx,0,2,1,_maxLT),INDEX(elecInMx,stdCSL+1,6)*allOnes,tpSurvInMx)</f>
        <v>3990.0570790858496</v>
      </c>
      <c r="H183" s="39">
        <f ca="1">SUMPRODUCT(OFFSET(tConvElecInMx,0,3,1,_maxLT),INDEX(elecInMx,stdCSL+1,6)*allOnes,tpSurvInMx)</f>
        <v>3965.4047720635058</v>
      </c>
      <c r="I183" s="39">
        <f ca="1">SUMPRODUCT(OFFSET(tConvElecInMx,0,4,1,_maxLT),INDEX(elecInMx,stdCSL+1,6)*allOnes,tpSurvInMx)</f>
        <v>3943.8057205209675</v>
      </c>
      <c r="J183" s="39">
        <f ca="1">SUMPRODUCT(OFFSET(tConvElecInMx,0,5,1,_maxLT),INDEX(elecInMx,stdCSL+1,6)*allOnes,tpSurvInMx)</f>
        <v>3926.9464432888676</v>
      </c>
      <c r="K183" s="39">
        <f ca="1">SUMPRODUCT(OFFSET(tConvElecInMx,0,6,1,_maxLT),INDEX(elecInMx,stdCSL+1,6)*allOnes,tpSurvInMx)</f>
        <v>3912.8558869214662</v>
      </c>
      <c r="L183" s="39">
        <f ca="1">SUMPRODUCT(OFFSET(tConvElecInMx,0,7,1,_maxLT),INDEX(elecInMx,stdCSL+1,6)*allOnes,tpSurvInMx)</f>
        <v>3898.6827824110728</v>
      </c>
      <c r="M183" s="39">
        <f ca="1">SUMPRODUCT(OFFSET(tConvElecInMx,0,8,1,_maxLT),INDEX(elecInMx,stdCSL+1,6)*allOnes,tpSurvInMx)</f>
        <v>3887.2587052270214</v>
      </c>
      <c r="N183" s="39">
        <f ca="1">SUMPRODUCT(OFFSET(tConvElecInMx,0,9,1,_maxLT),INDEX(elecInMx,stdCSL+1,6)*allOnes,tpSurvInMx)</f>
        <v>3879.2582277751976</v>
      </c>
      <c r="O183" s="39">
        <f ca="1">SUMPRODUCT(OFFSET(tConvElecInMx,0,10,1,_maxLT),INDEX(elecInMx,stdCSL+1,6)*allOnes,tpSurvInMx)</f>
        <v>3873.3386368253236</v>
      </c>
      <c r="P183" s="39">
        <f ca="1">SUMPRODUCT(OFFSET(tConvElecInMx,0,11,1,_maxLT),INDEX(elecInMx,stdCSL+1,6)*allOnes,tpSurvInMx)</f>
        <v>3868.3022111786563</v>
      </c>
      <c r="Q183" s="39">
        <f ca="1">SUMPRODUCT(OFFSET(tConvElecInMx,0,12,1,_maxLT),INDEX(elecInMx,stdCSL+1,6)*allOnes,tpSurvInMx)</f>
        <v>3864.5308497983656</v>
      </c>
      <c r="R183" s="39">
        <f ca="1">SUMPRODUCT(OFFSET(tConvElecInMx,0,13,1,_maxLT),INDEX(elecInMx,stdCSL+1,6)*allOnes,tpSurvInMx)</f>
        <v>3861.6028935643376</v>
      </c>
      <c r="S183" s="39">
        <f ca="1">SUMPRODUCT(OFFSET(tConvElecInMx,0,14,1,_maxLT),INDEX(elecInMx,stdCSL+1,6)*allOnes,tpSurvInMx)</f>
        <v>3861.038581710412</v>
      </c>
      <c r="T183" s="39">
        <f ca="1">SUMPRODUCT(OFFSET(tConvElecInMx,0,15,1,_maxLT),INDEX(elecInMx,stdCSL+1,6)*allOnes,tpSurvInMx)</f>
        <v>3861.5501536440211</v>
      </c>
      <c r="U183" s="39">
        <f ca="1">SUMPRODUCT(OFFSET(tConvElecInMx,0,16,1,_maxLT),INDEX(elecInMx,stdCSL+1,6)*allOnes,tpSurvInMx)</f>
        <v>3862.4162737627398</v>
      </c>
      <c r="V183" s="39">
        <f ca="1">SUMPRODUCT(OFFSET(tConvElecInMx,0,17,1,_maxLT),INDEX(elecInMx,stdCSL+1,6)*allOnes,tpSurvInMx)</f>
        <v>3863.7360228644525</v>
      </c>
      <c r="W183" s="39">
        <f ca="1">SUMPRODUCT(OFFSET(tConvElecInMx,0,18,1,_maxLT),INDEX(elecInMx,stdCSL+1,6)*allOnes,tpSurvInMx)</f>
        <v>3864.9995076366235</v>
      </c>
      <c r="X183" s="39">
        <f ca="1">SUMPRODUCT(OFFSET(tConvElecInMx,0,19,1,_maxLT),INDEX(elecInMx,stdCSL+1,6)*allOnes,tpSurvInMx)</f>
        <v>3866.0464287313348</v>
      </c>
      <c r="Y183" s="39">
        <f ca="1">SUMPRODUCT(OFFSET(tConvElecInMx,0,20,1,_maxLT),INDEX(elecInMx,stdCSL+1,6)*allOnes,tpSurvInMx)</f>
        <v>3866.7484650178426</v>
      </c>
      <c r="Z183" s="39">
        <f ca="1">SUMPRODUCT(OFFSET(tConvElecInMx,0,21,1,_maxLT),INDEX(elecInMx,stdCSL+1,6)*allOnes,tpSurvInMx)</f>
        <v>3867.2324965382536</v>
      </c>
      <c r="AA183" s="39">
        <f ca="1">SUMPRODUCT(OFFSET(tConvElecInMx,0,22,1,_maxLT),INDEX(elecInMx,stdCSL+1,6)*allOnes,tpSurvInMx)</f>
        <v>3867.2324965382536</v>
      </c>
      <c r="AB183" s="39">
        <f ca="1">SUMPRODUCT(OFFSET(tConvElecInMx,0,23,1,_maxLT),INDEX(elecInMx,stdCSL+1,6)*allOnes,tpSurvInMx)</f>
        <v>3867.2324965382536</v>
      </c>
      <c r="AC183" s="39">
        <f ca="1">SUMPRODUCT(OFFSET(tConvElecInMx,0,24,1,_maxLT),INDEX(elecInMx,stdCSL+1,6)*allOnes,tpSurvInMx)</f>
        <v>3867.2324965382536</v>
      </c>
      <c r="AD183" s="39">
        <f ca="1">SUMPRODUCT(OFFSET(tConvElecInMx,0,25,1,_maxLT),INDEX(elecInMx,stdCSL+1,6)*allOnes,tpSurvInMx)</f>
        <v>3867.2324965382536</v>
      </c>
      <c r="AE183" s="39">
        <f ca="1">SUMPRODUCT(OFFSET(tConvElecInMx,0,26,1,_maxLT),INDEX(elecInMx,stdCSL+1,6)*allOnes,tpSurvInMx)</f>
        <v>3867.2324965382536</v>
      </c>
      <c r="AF183" s="39">
        <f ca="1">SUMPRODUCT(OFFSET(tConvElecInMx,0,27,1,_maxLT),INDEX(elecInMx,stdCSL+1,6)*allOnes,tpSurvInMx)</f>
        <v>3867.2324965382536</v>
      </c>
      <c r="AG183" s="39">
        <f ca="1">SUMPRODUCT(OFFSET(tConvElecInMx,0,28,1,_maxLT),INDEX(elecInMx,stdCSL+1,6)*allOnes,tpSurvInMx)</f>
        <v>3867.2324965382536</v>
      </c>
      <c r="AH183" s="39">
        <f ca="1">SUMPRODUCT(OFFSET(tConvElecInMx,0,29,1,_maxLT),INDEX(elecInMx,stdCSL+1,6)*allOnes,tpSurvInMx)</f>
        <v>3867.2324965382536</v>
      </c>
      <c r="AI183" s="39">
        <f ca="1">SUMPRODUCT(OFFSET(tConvElecInMx,0,30,1,_maxLT),INDEX(elecInMx,stdCSL+1,6)*allOnes,tpSurvInMx)</f>
        <v>3867.2324965382536</v>
      </c>
      <c r="AJ183" s="39">
        <f ca="1">SUMPRODUCT(OFFSET(tConvElecInMx,0,31,1,_maxLT),INDEX(elecInMx,stdCSL+1,6)*allOnes,tpSurvInMx)</f>
        <v>3867.2324965382536</v>
      </c>
      <c r="AK183" s="39">
        <f ca="1">SUMPRODUCT(OFFSET(tConvElecInMx,0,32,1,_maxLT),INDEX(elecInMx,stdCSL+1,6)*allOnes,tpSurvInMx)</f>
        <v>3867.2324965382536</v>
      </c>
      <c r="AL183" s="40">
        <f ca="1">SUMPRODUCT(OFFSET(tConvElecInMx,0,33,1,_maxLT),INDEX(elecInMx,stdCSL+1,6)*allOnes,tpSurvInMx)</f>
        <v>3867.2324965382536</v>
      </c>
      <c r="AM183" s="10"/>
    </row>
    <row r="184" spans="2:39">
      <c r="B184" s="10"/>
      <c r="C184" s="57" t="str">
        <f>"EL 6: " &amp; INDEX(_doName,5,7)</f>
        <v>EL 6: EL 6</v>
      </c>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3"/>
      <c r="AM184" s="10"/>
    </row>
    <row r="185" spans="2:39">
      <c r="B185" s="10"/>
      <c r="C185" s="16" t="s">
        <v>69</v>
      </c>
      <c r="D185" s="12" t="str">
        <f>_yearDol &amp; "$"</f>
        <v>2015$</v>
      </c>
      <c r="E185" s="13">
        <f t="array" aca="1" ref="E185:AL185" ca="1">INDEX(mspInMx,stdCSL+1,7)*tPIdxAll + INDEX(instInMx,stdCSL+1,7) + IF(bESav,SUMPRODUCT(dFactor,tpSurvInMx,INDEX(mrInMx,stdCSL+1,7)*allOnes),0)</f>
        <v>5262.6649260700196</v>
      </c>
      <c r="F185" s="13">
        <f ca="1"/>
        <v>5262.6649260700196</v>
      </c>
      <c r="G185" s="13">
        <f ca="1"/>
        <v>5262.6649260700196</v>
      </c>
      <c r="H185" s="13">
        <f ca="1"/>
        <v>5262.6649260700196</v>
      </c>
      <c r="I185" s="13">
        <f ca="1"/>
        <v>5262.6649260700196</v>
      </c>
      <c r="J185" s="13">
        <f ca="1"/>
        <v>5262.6649260700196</v>
      </c>
      <c r="K185" s="13">
        <f ca="1"/>
        <v>5262.6649260700196</v>
      </c>
      <c r="L185" s="13">
        <f ca="1"/>
        <v>5262.6649260700196</v>
      </c>
      <c r="M185" s="13">
        <f ca="1"/>
        <v>5262.6649260700196</v>
      </c>
      <c r="N185" s="13">
        <f ca="1"/>
        <v>5262.6649260700196</v>
      </c>
      <c r="O185" s="13">
        <f ca="1"/>
        <v>5262.6649260700196</v>
      </c>
      <c r="P185" s="13">
        <f ca="1"/>
        <v>5262.6649260700196</v>
      </c>
      <c r="Q185" s="13">
        <f ca="1"/>
        <v>5262.6649260700196</v>
      </c>
      <c r="R185" s="13">
        <f ca="1"/>
        <v>5262.6649260700196</v>
      </c>
      <c r="S185" s="13">
        <f ca="1"/>
        <v>5262.6649260700196</v>
      </c>
      <c r="T185" s="13">
        <f ca="1"/>
        <v>5262.6649260700196</v>
      </c>
      <c r="U185" s="13">
        <f ca="1"/>
        <v>5262.6649260700196</v>
      </c>
      <c r="V185" s="13">
        <f ca="1"/>
        <v>5262.6649260700196</v>
      </c>
      <c r="W185" s="13">
        <f ca="1"/>
        <v>5262.6649260700196</v>
      </c>
      <c r="X185" s="13">
        <f ca="1"/>
        <v>5262.6649260700196</v>
      </c>
      <c r="Y185" s="13">
        <f ca="1"/>
        <v>5262.6649260700196</v>
      </c>
      <c r="Z185" s="13">
        <f ca="1"/>
        <v>5262.6649260700196</v>
      </c>
      <c r="AA185" s="13">
        <f ca="1"/>
        <v>5262.6649260700196</v>
      </c>
      <c r="AB185" s="13">
        <f ca="1"/>
        <v>5262.6649260700196</v>
      </c>
      <c r="AC185" s="13">
        <f ca="1"/>
        <v>5262.6649260700196</v>
      </c>
      <c r="AD185" s="13">
        <f ca="1"/>
        <v>5262.6649260700196</v>
      </c>
      <c r="AE185" s="13">
        <f ca="1"/>
        <v>5262.6649260700196</v>
      </c>
      <c r="AF185" s="13">
        <f ca="1"/>
        <v>5262.6649260700196</v>
      </c>
      <c r="AG185" s="13">
        <f ca="1"/>
        <v>5262.6649260700196</v>
      </c>
      <c r="AH185" s="13">
        <f ca="1"/>
        <v>5262.6649260700196</v>
      </c>
      <c r="AI185" s="13">
        <f ca="1"/>
        <v>5262.6649260700196</v>
      </c>
      <c r="AJ185" s="13">
        <f ca="1"/>
        <v>5262.6649260700196</v>
      </c>
      <c r="AK185" s="13">
        <f ca="1"/>
        <v>5262.6649260700196</v>
      </c>
      <c r="AL185" s="56">
        <f ca="1"/>
        <v>5262.6649260700196</v>
      </c>
      <c r="AM185" s="10"/>
    </row>
    <row r="186" spans="2:39">
      <c r="B186" s="10"/>
      <c r="C186" s="16" t="str">
        <f>zEO&amp;" Costs"</f>
        <v>Operating Costs</v>
      </c>
      <c r="D186" s="12" t="str">
        <f>_yearDol &amp; "$"</f>
        <v>2015$</v>
      </c>
      <c r="E186" s="13">
        <f t="array" aca="1" ref="E186:AL186" ca="1">(tlccEFuElecpol6) + IF(bOSav,SUMPRODUCT(dFactor,tpSurvInMx,INDEX(mrInMx,stdCSL+1,7)*allOnes),0)</f>
        <v>21804.025159934259</v>
      </c>
      <c r="F186" s="13">
        <f ca="1"/>
        <v>21982.025457678981</v>
      </c>
      <c r="G186" s="13">
        <f ca="1"/>
        <v>22154.555917116144</v>
      </c>
      <c r="H186" s="13">
        <f ca="1"/>
        <v>22309.831385946785</v>
      </c>
      <c r="I186" s="13">
        <f ca="1"/>
        <v>22450.348180868139</v>
      </c>
      <c r="J186" s="13">
        <f ca="1"/>
        <v>22591.768869307751</v>
      </c>
      <c r="K186" s="13">
        <f ca="1"/>
        <v>22734.099403259952</v>
      </c>
      <c r="L186" s="13">
        <f ca="1"/>
        <v>22877.345774894748</v>
      </c>
      <c r="M186" s="13">
        <f ca="1"/>
        <v>23021.514016835703</v>
      </c>
      <c r="N186" s="13">
        <f ca="1"/>
        <v>23166.610202440115</v>
      </c>
      <c r="O186" s="13">
        <f ca="1"/>
        <v>23312.640446080837</v>
      </c>
      <c r="P186" s="13">
        <f ca="1"/>
        <v>23459.610903430435</v>
      </c>
      <c r="Q186" s="13">
        <f ca="1"/>
        <v>23607.527771747053</v>
      </c>
      <c r="R186" s="13">
        <f ca="1"/>
        <v>23756.397290162553</v>
      </c>
      <c r="S186" s="13">
        <f ca="1"/>
        <v>23906.225739972586</v>
      </c>
      <c r="T186" s="13">
        <f ca="1"/>
        <v>24057.019444928697</v>
      </c>
      <c r="U186" s="13">
        <f ca="1"/>
        <v>24208.784771532486</v>
      </c>
      <c r="V186" s="13">
        <f ca="1"/>
        <v>24361.528129332048</v>
      </c>
      <c r="W186" s="13">
        <f ca="1"/>
        <v>24515.255971220278</v>
      </c>
      <c r="X186" s="13">
        <f ca="1"/>
        <v>24669.974793735419</v>
      </c>
      <c r="Y186" s="13">
        <f ca="1"/>
        <v>24825.691137363669</v>
      </c>
      <c r="Z186" s="13">
        <f ca="1"/>
        <v>24982.411586844071</v>
      </c>
      <c r="AA186" s="13">
        <f ca="1"/>
        <v>25140.142771475475</v>
      </c>
      <c r="AB186" s="13">
        <f ca="1"/>
        <v>25298.89136542557</v>
      </c>
      <c r="AC186" s="13">
        <f ca="1"/>
        <v>25458.66408804242</v>
      </c>
      <c r="AD186" s="13">
        <f ca="1"/>
        <v>25619.46770416783</v>
      </c>
      <c r="AE186" s="13">
        <f ca="1"/>
        <v>25781.309024453287</v>
      </c>
      <c r="AF186" s="13">
        <f ca="1"/>
        <v>25944.19490567793</v>
      </c>
      <c r="AG186" s="13">
        <f ca="1"/>
        <v>26108.132251068833</v>
      </c>
      <c r="AH186" s="13">
        <f ca="1"/>
        <v>26273.128010623586</v>
      </c>
      <c r="AI186" s="13">
        <f ca="1"/>
        <v>26439.189181435195</v>
      </c>
      <c r="AJ186" s="13">
        <f ca="1"/>
        <v>26606.322808019198</v>
      </c>
      <c r="AK186" s="13">
        <f ca="1"/>
        <v>26774.535982643254</v>
      </c>
      <c r="AL186" s="56">
        <f ca="1"/>
        <v>26943.835845658879</v>
      </c>
      <c r="AM186" s="10"/>
    </row>
    <row r="187" spans="2:39">
      <c r="B187" s="10"/>
      <c r="C187" s="28" t="str">
        <f>INDEX(_fuel,1)</f>
        <v>Electricity</v>
      </c>
      <c r="D187" s="12" t="str">
        <f>_yearDol &amp; "$"</f>
        <v>2015$</v>
      </c>
      <c r="E187" s="13">
        <f ca="1">SUMPRODUCT(dFactor,tpSurvInMx,INDEX(elecInMx,stdCSL+1,7)*allOnes,OFFSET(tPrcElec,0,0,1,_maxLT))</f>
        <v>21804.025159934259</v>
      </c>
      <c r="F187" s="13">
        <f ca="1">SUMPRODUCT(dFactor,tpSurvInMx,INDEX(elecInMx,stdCSL+1,7)*allOnes,OFFSET(tPrcElec,0,1,1,_maxLT))</f>
        <v>21982.025457678981</v>
      </c>
      <c r="G187" s="13">
        <f ca="1">SUMPRODUCT(dFactor,tpSurvInMx,INDEX(elecInMx,stdCSL+1,7)*allOnes,OFFSET(tPrcElec,0,2,1,_maxLT))</f>
        <v>22154.555917116144</v>
      </c>
      <c r="H187" s="13">
        <f ca="1">SUMPRODUCT(dFactor,tpSurvInMx,INDEX(elecInMx,stdCSL+1,7)*allOnes,OFFSET(tPrcElec,0,3,1,_maxLT))</f>
        <v>22309.831385946785</v>
      </c>
      <c r="I187" s="13">
        <f ca="1">SUMPRODUCT(dFactor,tpSurvInMx,INDEX(elecInMx,stdCSL+1,7)*allOnes,OFFSET(tPrcElec,0,4,1,_maxLT))</f>
        <v>22450.348180868139</v>
      </c>
      <c r="J187" s="13">
        <f ca="1">SUMPRODUCT(dFactor,tpSurvInMx,INDEX(elecInMx,stdCSL+1,7)*allOnes,OFFSET(tPrcElec,0,5,1,_maxLT))</f>
        <v>22591.768869307751</v>
      </c>
      <c r="K187" s="13">
        <f ca="1">SUMPRODUCT(dFactor,tpSurvInMx,INDEX(elecInMx,stdCSL+1,7)*allOnes,OFFSET(tPrcElec,0,6,1,_maxLT))</f>
        <v>22734.099403259952</v>
      </c>
      <c r="L187" s="13">
        <f ca="1">SUMPRODUCT(dFactor,tpSurvInMx,INDEX(elecInMx,stdCSL+1,7)*allOnes,OFFSET(tPrcElec,0,7,1,_maxLT))</f>
        <v>22877.345774894748</v>
      </c>
      <c r="M187" s="13">
        <f ca="1">SUMPRODUCT(dFactor,tpSurvInMx,INDEX(elecInMx,stdCSL+1,7)*allOnes,OFFSET(tPrcElec,0,8,1,_maxLT))</f>
        <v>23021.514016835703</v>
      </c>
      <c r="N187" s="13">
        <f ca="1">SUMPRODUCT(dFactor,tpSurvInMx,INDEX(elecInMx,stdCSL+1,7)*allOnes,OFFSET(tPrcElec,0,9,1,_maxLT))</f>
        <v>23166.610202440115</v>
      </c>
      <c r="O187" s="13">
        <f ca="1">SUMPRODUCT(dFactor,tpSurvInMx,INDEX(elecInMx,stdCSL+1,7)*allOnes,OFFSET(tPrcElec,0,10,1,_maxLT))</f>
        <v>23312.640446080837</v>
      </c>
      <c r="P187" s="13">
        <f ca="1">SUMPRODUCT(dFactor,tpSurvInMx,INDEX(elecInMx,stdCSL+1,7)*allOnes,OFFSET(tPrcElec,0,11,1,_maxLT))</f>
        <v>23459.610903430435</v>
      </c>
      <c r="Q187" s="13">
        <f ca="1">SUMPRODUCT(dFactor,tpSurvInMx,INDEX(elecInMx,stdCSL+1,7)*allOnes,OFFSET(tPrcElec,0,12,1,_maxLT))</f>
        <v>23607.527771747053</v>
      </c>
      <c r="R187" s="13">
        <f ca="1">SUMPRODUCT(dFactor,tpSurvInMx,INDEX(elecInMx,stdCSL+1,7)*allOnes,OFFSET(tPrcElec,0,13,1,_maxLT))</f>
        <v>23756.397290162553</v>
      </c>
      <c r="S187" s="13">
        <f ca="1">SUMPRODUCT(dFactor,tpSurvInMx,INDEX(elecInMx,stdCSL+1,7)*allOnes,OFFSET(tPrcElec,0,14,1,_maxLT))</f>
        <v>23906.225739972586</v>
      </c>
      <c r="T187" s="13">
        <f ca="1">SUMPRODUCT(dFactor,tpSurvInMx,INDEX(elecInMx,stdCSL+1,7)*allOnes,OFFSET(tPrcElec,0,15,1,_maxLT))</f>
        <v>24057.019444928697</v>
      </c>
      <c r="U187" s="13">
        <f ca="1">SUMPRODUCT(dFactor,tpSurvInMx,INDEX(elecInMx,stdCSL+1,7)*allOnes,OFFSET(tPrcElec,0,16,1,_maxLT))</f>
        <v>24208.784771532486</v>
      </c>
      <c r="V187" s="13">
        <f ca="1">SUMPRODUCT(dFactor,tpSurvInMx,INDEX(elecInMx,stdCSL+1,7)*allOnes,OFFSET(tPrcElec,0,17,1,_maxLT))</f>
        <v>24361.528129332048</v>
      </c>
      <c r="W187" s="13">
        <f ca="1">SUMPRODUCT(dFactor,tpSurvInMx,INDEX(elecInMx,stdCSL+1,7)*allOnes,OFFSET(tPrcElec,0,18,1,_maxLT))</f>
        <v>24515.255971220278</v>
      </c>
      <c r="X187" s="13">
        <f ca="1">SUMPRODUCT(dFactor,tpSurvInMx,INDEX(elecInMx,stdCSL+1,7)*allOnes,OFFSET(tPrcElec,0,19,1,_maxLT))</f>
        <v>24669.974793735419</v>
      </c>
      <c r="Y187" s="13">
        <f ca="1">SUMPRODUCT(dFactor,tpSurvInMx,INDEX(elecInMx,stdCSL+1,7)*allOnes,OFFSET(tPrcElec,0,20,1,_maxLT))</f>
        <v>24825.691137363669</v>
      </c>
      <c r="Z187" s="13">
        <f ca="1">SUMPRODUCT(dFactor,tpSurvInMx,INDEX(elecInMx,stdCSL+1,7)*allOnes,OFFSET(tPrcElec,0,21,1,_maxLT))</f>
        <v>24982.411586844071</v>
      </c>
      <c r="AA187" s="13">
        <f ca="1">SUMPRODUCT(dFactor,tpSurvInMx,INDEX(elecInMx,stdCSL+1,7)*allOnes,OFFSET(tPrcElec,0,22,1,_maxLT))</f>
        <v>25140.142771475475</v>
      </c>
      <c r="AB187" s="13">
        <f ca="1">SUMPRODUCT(dFactor,tpSurvInMx,INDEX(elecInMx,stdCSL+1,7)*allOnes,OFFSET(tPrcElec,0,23,1,_maxLT))</f>
        <v>25298.89136542557</v>
      </c>
      <c r="AC187" s="13">
        <f ca="1">SUMPRODUCT(dFactor,tpSurvInMx,INDEX(elecInMx,stdCSL+1,7)*allOnes,OFFSET(tPrcElec,0,24,1,_maxLT))</f>
        <v>25458.66408804242</v>
      </c>
      <c r="AD187" s="13">
        <f ca="1">SUMPRODUCT(dFactor,tpSurvInMx,INDEX(elecInMx,stdCSL+1,7)*allOnes,OFFSET(tPrcElec,0,25,1,_maxLT))</f>
        <v>25619.46770416783</v>
      </c>
      <c r="AE187" s="13">
        <f ca="1">SUMPRODUCT(dFactor,tpSurvInMx,INDEX(elecInMx,stdCSL+1,7)*allOnes,OFFSET(tPrcElec,0,26,1,_maxLT))</f>
        <v>25781.309024453287</v>
      </c>
      <c r="AF187" s="13">
        <f ca="1">SUMPRODUCT(dFactor,tpSurvInMx,INDEX(elecInMx,stdCSL+1,7)*allOnes,OFFSET(tPrcElec,0,27,1,_maxLT))</f>
        <v>25944.19490567793</v>
      </c>
      <c r="AG187" s="13">
        <f ca="1">SUMPRODUCT(dFactor,tpSurvInMx,INDEX(elecInMx,stdCSL+1,7)*allOnes,OFFSET(tPrcElec,0,28,1,_maxLT))</f>
        <v>26108.132251068833</v>
      </c>
      <c r="AH187" s="13">
        <f ca="1">SUMPRODUCT(dFactor,tpSurvInMx,INDEX(elecInMx,stdCSL+1,7)*allOnes,OFFSET(tPrcElec,0,29,1,_maxLT))</f>
        <v>26273.128010623586</v>
      </c>
      <c r="AI187" s="13">
        <f ca="1">SUMPRODUCT(dFactor,tpSurvInMx,INDEX(elecInMx,stdCSL+1,7)*allOnes,OFFSET(tPrcElec,0,30,1,_maxLT))</f>
        <v>26439.189181435195</v>
      </c>
      <c r="AJ187" s="13">
        <f ca="1">SUMPRODUCT(dFactor,tpSurvInMx,INDEX(elecInMx,stdCSL+1,7)*allOnes,OFFSET(tPrcElec,0,31,1,_maxLT))</f>
        <v>26606.322808019198</v>
      </c>
      <c r="AK187" s="13">
        <f ca="1">SUMPRODUCT(dFactor,tpSurvInMx,INDEX(elecInMx,stdCSL+1,7)*allOnes,OFFSET(tPrcElec,0,32,1,_maxLT))</f>
        <v>26774.535982643254</v>
      </c>
      <c r="AL187" s="56">
        <f ca="1">SUMPRODUCT(dFactor,tpSurvInMx,INDEX(elecInMx,stdCSL+1,7)*allOnes,OFFSET(tPrcElec,0,33,1,_maxLT))</f>
        <v>26943.835845658879</v>
      </c>
      <c r="AM187" s="10"/>
    </row>
    <row r="188" spans="2:39">
      <c r="B188" s="10"/>
      <c r="C188" s="16" t="s">
        <v>79</v>
      </c>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5"/>
      <c r="AM188" s="10"/>
    </row>
    <row r="189" spans="2:39">
      <c r="B189" s="10"/>
      <c r="C189" s="45" t="str">
        <f>INDEX(_fuel,1)</f>
        <v>Electricity</v>
      </c>
      <c r="D189" s="18" t="s">
        <v>83</v>
      </c>
      <c r="E189" s="49">
        <f ca="1">SUMPRODUCT(OFFSET(tConvElecInMx,0,0,1,_maxLT),INDEX(elecInMx,stdCSL+1,7)*allOnes,tpSurvInMx)</f>
        <v>4321.0616613625216</v>
      </c>
      <c r="F189" s="49">
        <f ca="1">SUMPRODUCT(OFFSET(tConvElecInMx,0,1,1,_maxLT),INDEX(elecInMx,stdCSL+1,7)*allOnes,tpSurvInMx)</f>
        <v>4289.6815131925978</v>
      </c>
      <c r="G189" s="49">
        <f ca="1">SUMPRODUCT(OFFSET(tConvElecInMx,0,2,1,_maxLT),INDEX(elecInMx,stdCSL+1,7)*allOnes,tpSurvInMx)</f>
        <v>4261.97938136007</v>
      </c>
      <c r="H189" s="49">
        <f ca="1">SUMPRODUCT(OFFSET(tConvElecInMx,0,3,1,_maxLT),INDEX(elecInMx,stdCSL+1,7)*allOnes,tpSurvInMx)</f>
        <v>4235.6470201557895</v>
      </c>
      <c r="I189" s="49">
        <f ca="1">SUMPRODUCT(OFFSET(tConvElecInMx,0,4,1,_maxLT),INDEX(elecInMx,stdCSL+1,7)*allOnes,tpSurvInMx)</f>
        <v>4212.5759937251805</v>
      </c>
      <c r="J189" s="49">
        <f ca="1">SUMPRODUCT(OFFSET(tConvElecInMx,0,5,1,_maxLT),INDEX(elecInMx,stdCSL+1,7)*allOnes,tpSurvInMx)</f>
        <v>4194.5677571201277</v>
      </c>
      <c r="K189" s="49">
        <f ca="1">SUMPRODUCT(OFFSET(tConvElecInMx,0,6,1,_maxLT),INDEX(elecInMx,stdCSL+1,7)*allOnes,tpSurvInMx)</f>
        <v>4179.5169296458735</v>
      </c>
      <c r="L189" s="49">
        <f ca="1">SUMPRODUCT(OFFSET(tConvElecInMx,0,7,1,_maxLT),INDEX(elecInMx,stdCSL+1,7)*allOnes,tpSurvInMx)</f>
        <v>4164.3779283744934</v>
      </c>
      <c r="M189" s="49">
        <f ca="1">SUMPRODUCT(OFFSET(tConvElecInMx,0,8,1,_maxLT),INDEX(elecInMx,stdCSL+1,7)*allOnes,tpSurvInMx)</f>
        <v>4152.175300581348</v>
      </c>
      <c r="N189" s="49">
        <f ca="1">SUMPRODUCT(OFFSET(tConvElecInMx,0,9,1,_maxLT),INDEX(elecInMx,stdCSL+1,7)*allOnes,tpSurvInMx)</f>
        <v>4143.629590766961</v>
      </c>
      <c r="O189" s="49">
        <f ca="1">SUMPRODUCT(OFFSET(tConvElecInMx,0,10,1,_maxLT),INDEX(elecInMx,stdCSL+1,7)*allOnes,tpSurvInMx)</f>
        <v>4137.3065798239122</v>
      </c>
      <c r="P189" s="49">
        <f ca="1">SUMPRODUCT(OFFSET(tConvElecInMx,0,11,1,_maxLT),INDEX(elecInMx,stdCSL+1,7)*allOnes,tpSurvInMx)</f>
        <v>4131.9269218800791</v>
      </c>
      <c r="Q189" s="49">
        <f ca="1">SUMPRODUCT(OFFSET(tConvElecInMx,0,12,1,_maxLT),INDEX(elecInMx,stdCSL+1,7)*allOnes,tpSurvInMx)</f>
        <v>4127.8985423045824</v>
      </c>
      <c r="R189" s="49">
        <f ca="1">SUMPRODUCT(OFFSET(tConvElecInMx,0,13,1,_maxLT),INDEX(elecInMx,stdCSL+1,7)*allOnes,tpSurvInMx)</f>
        <v>4124.771045917535</v>
      </c>
      <c r="S189" s="49">
        <f ca="1">SUMPRODUCT(OFFSET(tConvElecInMx,0,14,1,_maxLT),INDEX(elecInMx,stdCSL+1,7)*allOnes,tpSurvInMx)</f>
        <v>4124.168276223163</v>
      </c>
      <c r="T189" s="49">
        <f ca="1">SUMPRODUCT(OFFSET(tConvElecInMx,0,15,1,_maxLT),INDEX(elecInMx,stdCSL+1,7)*allOnes,tpSurvInMx)</f>
        <v>4124.7147117728091</v>
      </c>
      <c r="U189" s="49">
        <f ca="1">SUMPRODUCT(OFFSET(tConvElecInMx,0,16,1,_maxLT),INDEX(elecInMx,stdCSL+1,7)*allOnes,tpSurvInMx)</f>
        <v>4125.6398579585884</v>
      </c>
      <c r="V189" s="49">
        <f ca="1">SUMPRODUCT(OFFSET(tConvElecInMx,0,17,1,_maxLT),INDEX(elecInMx,stdCSL+1,7)*allOnes,tpSurvInMx)</f>
        <v>4127.0495479325864</v>
      </c>
      <c r="W189" s="49">
        <f ca="1">SUMPRODUCT(OFFSET(tConvElecInMx,0,18,1,_maxLT),INDEX(elecInMx,stdCSL+1,7)*allOnes,tpSurvInMx)</f>
        <v>4128.3991391642212</v>
      </c>
      <c r="X189" s="49">
        <f ca="1">SUMPRODUCT(OFFSET(tConvElecInMx,0,19,1,_maxLT),INDEX(elecInMx,stdCSL+1,7)*allOnes,tpSurvInMx)</f>
        <v>4129.5174079085346</v>
      </c>
      <c r="Y189" s="49">
        <f ca="1">SUMPRODUCT(OFFSET(tConvElecInMx,0,20,1,_maxLT),INDEX(elecInMx,stdCSL+1,7)*allOnes,tpSurvInMx)</f>
        <v>4130.2672879525435</v>
      </c>
      <c r="Z189" s="49">
        <f ca="1">SUMPRODUCT(OFFSET(tConvElecInMx,0,21,1,_maxLT),INDEX(elecInMx,stdCSL+1,7)*allOnes,tpSurvInMx)</f>
        <v>4130.7843062104348</v>
      </c>
      <c r="AA189" s="49">
        <f ca="1">SUMPRODUCT(OFFSET(tConvElecInMx,0,22,1,_maxLT),INDEX(elecInMx,stdCSL+1,7)*allOnes,tpSurvInMx)</f>
        <v>4130.7843062104348</v>
      </c>
      <c r="AB189" s="49">
        <f ca="1">SUMPRODUCT(OFFSET(tConvElecInMx,0,23,1,_maxLT),INDEX(elecInMx,stdCSL+1,7)*allOnes,tpSurvInMx)</f>
        <v>4130.7843062104348</v>
      </c>
      <c r="AC189" s="49">
        <f ca="1">SUMPRODUCT(OFFSET(tConvElecInMx,0,24,1,_maxLT),INDEX(elecInMx,stdCSL+1,7)*allOnes,tpSurvInMx)</f>
        <v>4130.7843062104348</v>
      </c>
      <c r="AD189" s="49">
        <f ca="1">SUMPRODUCT(OFFSET(tConvElecInMx,0,25,1,_maxLT),INDEX(elecInMx,stdCSL+1,7)*allOnes,tpSurvInMx)</f>
        <v>4130.7843062104348</v>
      </c>
      <c r="AE189" s="49">
        <f ca="1">SUMPRODUCT(OFFSET(tConvElecInMx,0,26,1,_maxLT),INDEX(elecInMx,stdCSL+1,7)*allOnes,tpSurvInMx)</f>
        <v>4130.7843062104348</v>
      </c>
      <c r="AF189" s="49">
        <f ca="1">SUMPRODUCT(OFFSET(tConvElecInMx,0,27,1,_maxLT),INDEX(elecInMx,stdCSL+1,7)*allOnes,tpSurvInMx)</f>
        <v>4130.7843062104348</v>
      </c>
      <c r="AG189" s="49">
        <f ca="1">SUMPRODUCT(OFFSET(tConvElecInMx,0,28,1,_maxLT),INDEX(elecInMx,stdCSL+1,7)*allOnes,tpSurvInMx)</f>
        <v>4130.7843062104348</v>
      </c>
      <c r="AH189" s="49">
        <f ca="1">SUMPRODUCT(OFFSET(tConvElecInMx,0,29,1,_maxLT),INDEX(elecInMx,stdCSL+1,7)*allOnes,tpSurvInMx)</f>
        <v>4130.7843062104348</v>
      </c>
      <c r="AI189" s="49">
        <f ca="1">SUMPRODUCT(OFFSET(tConvElecInMx,0,30,1,_maxLT),INDEX(elecInMx,stdCSL+1,7)*allOnes,tpSurvInMx)</f>
        <v>4130.7843062104348</v>
      </c>
      <c r="AJ189" s="49">
        <f ca="1">SUMPRODUCT(OFFSET(tConvElecInMx,0,31,1,_maxLT),INDEX(elecInMx,stdCSL+1,7)*allOnes,tpSurvInMx)</f>
        <v>4130.7843062104348</v>
      </c>
      <c r="AK189" s="49">
        <f ca="1">SUMPRODUCT(OFFSET(tConvElecInMx,0,32,1,_maxLT),INDEX(elecInMx,stdCSL+1,7)*allOnes,tpSurvInMx)</f>
        <v>4130.7843062104348</v>
      </c>
      <c r="AL189" s="50">
        <f ca="1">SUMPRODUCT(OFFSET(tConvElecInMx,0,33,1,_maxLT),INDEX(elecInMx,stdCSL+1,7)*allOnes,tpSurvInMx)</f>
        <v>4130.7843062104348</v>
      </c>
      <c r="AM189" s="10"/>
    </row>
    <row r="190" spans="2:39">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row>
  </sheetData>
  <conditionalFormatting sqref="E106:AL106">
    <cfRule type="containsBlanks" dxfId="1852" priority="1" stopIfTrue="1">
      <formula>LEN(TRIM(E106))=0</formula>
    </cfRule>
    <cfRule type="notContainsBlanks" dxfId="1851" priority="2" stopIfTrue="1">
      <formula>LEN(TRIM(E106))&gt;0</formula>
    </cfRule>
  </conditionalFormatting>
  <conditionalFormatting sqref="E107:AL107">
    <cfRule type="containsBlanks" dxfId="1850" priority="3" stopIfTrue="1">
      <formula>LEN(TRIM(E107))=0</formula>
    </cfRule>
    <cfRule type="notContainsBlanks" dxfId="1849" priority="4" stopIfTrue="1">
      <formula>LEN(TRIM(E107))&gt;0</formula>
    </cfRule>
  </conditionalFormatting>
  <conditionalFormatting sqref="E108:AL108">
    <cfRule type="containsBlanks" dxfId="1848" priority="5" stopIfTrue="1">
      <formula>LEN(TRIM(E108))=0</formula>
    </cfRule>
    <cfRule type="notContainsBlanks" dxfId="1847" priority="6" stopIfTrue="1">
      <formula>LEN(TRIM(E108))&gt;0</formula>
    </cfRule>
  </conditionalFormatting>
  <conditionalFormatting sqref="E110:AL110">
    <cfRule type="containsBlanks" dxfId="1846" priority="7" stopIfTrue="1">
      <formula>LEN(TRIM(E110))=0</formula>
    </cfRule>
    <cfRule type="notContainsBlanks" dxfId="1845" priority="8" stopIfTrue="1">
      <formula>LEN(TRIM(E110))&gt;0</formula>
    </cfRule>
  </conditionalFormatting>
  <conditionalFormatting sqref="E112:AL112">
    <cfRule type="containsBlanks" dxfId="1844" priority="9" stopIfTrue="1">
      <formula>LEN(TRIM(E112))=0</formula>
    </cfRule>
    <cfRule type="notContainsBlanks" dxfId="1843" priority="10" stopIfTrue="1">
      <formula>LEN(TRIM(E112))&gt;0</formula>
    </cfRule>
  </conditionalFormatting>
  <conditionalFormatting sqref="E113:AL113">
    <cfRule type="containsBlanks" dxfId="1842" priority="11" stopIfTrue="1">
      <formula>LEN(TRIM(E113))=0</formula>
    </cfRule>
    <cfRule type="notContainsBlanks" dxfId="1841" priority="12" stopIfTrue="1">
      <formula>LEN(TRIM(E113))&gt;0</formula>
    </cfRule>
  </conditionalFormatting>
  <conditionalFormatting sqref="E114:AL114">
    <cfRule type="containsBlanks" dxfId="1840" priority="13" stopIfTrue="1">
      <formula>LEN(TRIM(E114))=0</formula>
    </cfRule>
    <cfRule type="notContainsBlanks" dxfId="1839" priority="14" stopIfTrue="1">
      <formula>LEN(TRIM(E114))&gt;0</formula>
    </cfRule>
  </conditionalFormatting>
  <conditionalFormatting sqref="E116:AL116">
    <cfRule type="containsBlanks" dxfId="1838" priority="15" stopIfTrue="1">
      <formula>LEN(TRIM(E116))=0</formula>
    </cfRule>
    <cfRule type="notContainsBlanks" dxfId="1837" priority="16" stopIfTrue="1">
      <formula>LEN(TRIM(E116))&gt;0</formula>
    </cfRule>
  </conditionalFormatting>
  <conditionalFormatting sqref="E118:AL118">
    <cfRule type="containsBlanks" dxfId="1836" priority="17" stopIfTrue="1">
      <formula>LEN(TRIM(E118))=0</formula>
    </cfRule>
    <cfRule type="notContainsBlanks" dxfId="1835" priority="18" stopIfTrue="1">
      <formula>LEN(TRIM(E118))&gt;0</formula>
    </cfRule>
  </conditionalFormatting>
  <conditionalFormatting sqref="E119:AL119">
    <cfRule type="containsBlanks" dxfId="1834" priority="19" stopIfTrue="1">
      <formula>LEN(TRIM(E119))=0</formula>
    </cfRule>
    <cfRule type="notContainsBlanks" dxfId="1833" priority="20" stopIfTrue="1">
      <formula>LEN(TRIM(E119))&gt;0</formula>
    </cfRule>
  </conditionalFormatting>
  <conditionalFormatting sqref="E120:AL120">
    <cfRule type="containsBlanks" dxfId="1832" priority="21" stopIfTrue="1">
      <formula>LEN(TRIM(E120))=0</formula>
    </cfRule>
    <cfRule type="notContainsBlanks" dxfId="1831" priority="22" stopIfTrue="1">
      <formula>LEN(TRIM(E120))&gt;0</formula>
    </cfRule>
  </conditionalFormatting>
  <conditionalFormatting sqref="E122:AL122">
    <cfRule type="containsBlanks" dxfId="1830" priority="23" stopIfTrue="1">
      <formula>LEN(TRIM(E122))=0</formula>
    </cfRule>
    <cfRule type="notContainsBlanks" dxfId="1829" priority="24" stopIfTrue="1">
      <formula>LEN(TRIM(E122))&gt;0</formula>
    </cfRule>
  </conditionalFormatting>
  <conditionalFormatting sqref="E124:AL124">
    <cfRule type="containsBlanks" dxfId="1828" priority="25" stopIfTrue="1">
      <formula>LEN(TRIM(E124))=0</formula>
    </cfRule>
    <cfRule type="notContainsBlanks" dxfId="1827" priority="26" stopIfTrue="1">
      <formula>LEN(TRIM(E124))&gt;0</formula>
    </cfRule>
  </conditionalFormatting>
  <conditionalFormatting sqref="E125:AL125">
    <cfRule type="containsBlanks" dxfId="1826" priority="27" stopIfTrue="1">
      <formula>LEN(TRIM(E125))=0</formula>
    </cfRule>
    <cfRule type="notContainsBlanks" dxfId="1825" priority="28" stopIfTrue="1">
      <formula>LEN(TRIM(E125))&gt;0</formula>
    </cfRule>
  </conditionalFormatting>
  <conditionalFormatting sqref="E126:AL126">
    <cfRule type="containsBlanks" dxfId="1824" priority="29" stopIfTrue="1">
      <formula>LEN(TRIM(E126))=0</formula>
    </cfRule>
    <cfRule type="notContainsBlanks" dxfId="1823" priority="30" stopIfTrue="1">
      <formula>LEN(TRIM(E126))&gt;0</formula>
    </cfRule>
  </conditionalFormatting>
  <conditionalFormatting sqref="E128:AL128">
    <cfRule type="containsBlanks" dxfId="1822" priority="31" stopIfTrue="1">
      <formula>LEN(TRIM(E128))=0</formula>
    </cfRule>
    <cfRule type="notContainsBlanks" dxfId="1821" priority="32" stopIfTrue="1">
      <formula>LEN(TRIM(E128))&gt;0</formula>
    </cfRule>
  </conditionalFormatting>
  <conditionalFormatting sqref="E130:AL130">
    <cfRule type="containsBlanks" dxfId="1820" priority="33" stopIfTrue="1">
      <formula>LEN(TRIM(E130))=0</formula>
    </cfRule>
    <cfRule type="notContainsBlanks" dxfId="1819" priority="34" stopIfTrue="1">
      <formula>LEN(TRIM(E130))&gt;0</formula>
    </cfRule>
  </conditionalFormatting>
  <conditionalFormatting sqref="E131:AL131">
    <cfRule type="containsBlanks" dxfId="1818" priority="35" stopIfTrue="1">
      <formula>LEN(TRIM(E131))=0</formula>
    </cfRule>
    <cfRule type="notContainsBlanks" dxfId="1817" priority="36" stopIfTrue="1">
      <formula>LEN(TRIM(E131))&gt;0</formula>
    </cfRule>
  </conditionalFormatting>
  <conditionalFormatting sqref="E132:AL132">
    <cfRule type="containsBlanks" dxfId="1816" priority="37" stopIfTrue="1">
      <formula>LEN(TRIM(E132))=0</formula>
    </cfRule>
    <cfRule type="notContainsBlanks" dxfId="1815" priority="38" stopIfTrue="1">
      <formula>LEN(TRIM(E132))&gt;0</formula>
    </cfRule>
  </conditionalFormatting>
  <conditionalFormatting sqref="E134:AL134">
    <cfRule type="containsBlanks" dxfId="1814" priority="39" stopIfTrue="1">
      <formula>LEN(TRIM(E134))=0</formula>
    </cfRule>
    <cfRule type="notContainsBlanks" dxfId="1813" priority="40" stopIfTrue="1">
      <formula>LEN(TRIM(E134))&gt;0</formula>
    </cfRule>
  </conditionalFormatting>
  <conditionalFormatting sqref="E136:AL136">
    <cfRule type="containsBlanks" dxfId="1812" priority="41" stopIfTrue="1">
      <formula>LEN(TRIM(E136))=0</formula>
    </cfRule>
  </conditionalFormatting>
  <conditionalFormatting sqref="E136:AL136">
    <cfRule type="notContainsBlanks" dxfId="1811" priority="42" stopIfTrue="1">
      <formula>LEN(TRIM(E136))&gt;0</formula>
    </cfRule>
  </conditionalFormatting>
  <conditionalFormatting sqref="E137:AL137">
    <cfRule type="containsBlanks" dxfId="1810" priority="43" stopIfTrue="1">
      <formula>LEN(TRIM(E137))=0</formula>
    </cfRule>
  </conditionalFormatting>
  <conditionalFormatting sqref="E137:AL137">
    <cfRule type="notContainsBlanks" dxfId="1809" priority="44" stopIfTrue="1">
      <formula>LEN(TRIM(E137))&gt;0</formula>
    </cfRule>
  </conditionalFormatting>
  <conditionalFormatting sqref="E138:AL138">
    <cfRule type="containsBlanks" dxfId="1808" priority="45" stopIfTrue="1">
      <formula>LEN(TRIM(E138))=0</formula>
    </cfRule>
  </conditionalFormatting>
  <conditionalFormatting sqref="E138:AL138">
    <cfRule type="notContainsBlanks" dxfId="1807" priority="46" stopIfTrue="1">
      <formula>LEN(TRIM(E138))&gt;0</formula>
    </cfRule>
  </conditionalFormatting>
  <conditionalFormatting sqref="E140:AL140">
    <cfRule type="containsBlanks" dxfId="1806" priority="47" stopIfTrue="1">
      <formula>LEN(TRIM(E140))=0</formula>
    </cfRule>
  </conditionalFormatting>
  <conditionalFormatting sqref="E140:AL140">
    <cfRule type="notContainsBlanks" dxfId="1805" priority="48" stopIfTrue="1">
      <formula>LEN(TRIM(E140))&gt;0</formula>
    </cfRule>
  </conditionalFormatting>
  <conditionalFormatting sqref="E142:AL142">
    <cfRule type="containsBlanks" dxfId="1804" priority="49" stopIfTrue="1">
      <formula>LEN(TRIM(E142))=0</formula>
    </cfRule>
  </conditionalFormatting>
  <conditionalFormatting sqref="E142:AL142">
    <cfRule type="notContainsBlanks" dxfId="1803" priority="50" stopIfTrue="1">
      <formula>LEN(TRIM(E142))&gt;0</formula>
    </cfRule>
  </conditionalFormatting>
  <conditionalFormatting sqref="E143:AL143">
    <cfRule type="containsBlanks" dxfId="1802" priority="51" stopIfTrue="1">
      <formula>LEN(TRIM(E143))=0</formula>
    </cfRule>
  </conditionalFormatting>
  <conditionalFormatting sqref="E143:AL143">
    <cfRule type="notContainsBlanks" dxfId="1801" priority="52" stopIfTrue="1">
      <formula>LEN(TRIM(E143))&gt;0</formula>
    </cfRule>
  </conditionalFormatting>
  <conditionalFormatting sqref="E144:AL144">
    <cfRule type="containsBlanks" dxfId="1800" priority="53" stopIfTrue="1">
      <formula>LEN(TRIM(E144))=0</formula>
    </cfRule>
  </conditionalFormatting>
  <conditionalFormatting sqref="E144:AL144">
    <cfRule type="notContainsBlanks" dxfId="1799" priority="54" stopIfTrue="1">
      <formula>LEN(TRIM(E144))&gt;0</formula>
    </cfRule>
  </conditionalFormatting>
  <conditionalFormatting sqref="E146:AL146">
    <cfRule type="containsBlanks" dxfId="1798" priority="55" stopIfTrue="1">
      <formula>LEN(TRIM(E146))=0</formula>
    </cfRule>
  </conditionalFormatting>
  <conditionalFormatting sqref="E146:AL146">
    <cfRule type="notContainsBlanks" dxfId="1797" priority="56" stopIfTrue="1">
      <formula>LEN(TRIM(E146))&gt;0</formula>
    </cfRule>
  </conditionalFormatting>
  <conditionalFormatting sqref="E149:AL149">
    <cfRule type="containsBlanks" dxfId="1796" priority="57" stopIfTrue="1">
      <formula>LEN(TRIM(E149))=0</formula>
    </cfRule>
  </conditionalFormatting>
  <conditionalFormatting sqref="E149:AL149">
    <cfRule type="notContainsBlanks" dxfId="1795" priority="58" stopIfTrue="1">
      <formula>LEN(TRIM(E149))&gt;0</formula>
    </cfRule>
  </conditionalFormatting>
  <conditionalFormatting sqref="E150:AL150">
    <cfRule type="containsBlanks" dxfId="1794" priority="59" stopIfTrue="1">
      <formula>LEN(TRIM(E150))=0</formula>
    </cfRule>
  </conditionalFormatting>
  <conditionalFormatting sqref="E150:AL150">
    <cfRule type="notContainsBlanks" dxfId="1793" priority="60" stopIfTrue="1">
      <formula>LEN(TRIM(E150))&gt;0</formula>
    </cfRule>
  </conditionalFormatting>
  <conditionalFormatting sqref="E151:AL151">
    <cfRule type="containsBlanks" dxfId="1792" priority="61" stopIfTrue="1">
      <formula>LEN(TRIM(E151))=0</formula>
    </cfRule>
  </conditionalFormatting>
  <conditionalFormatting sqref="E151:AL151">
    <cfRule type="notContainsBlanks" dxfId="1791" priority="62" stopIfTrue="1">
      <formula>LEN(TRIM(E151))&gt;0</formula>
    </cfRule>
  </conditionalFormatting>
  <conditionalFormatting sqref="E153:AL153">
    <cfRule type="containsBlanks" dxfId="1790" priority="63" stopIfTrue="1">
      <formula>LEN(TRIM(E153))=0</formula>
    </cfRule>
  </conditionalFormatting>
  <conditionalFormatting sqref="E153:AL153">
    <cfRule type="notContainsBlanks" dxfId="1789" priority="64" stopIfTrue="1">
      <formula>LEN(TRIM(E153))&gt;0</formula>
    </cfRule>
  </conditionalFormatting>
  <conditionalFormatting sqref="E155:AL155">
    <cfRule type="containsBlanks" dxfId="1788" priority="65" stopIfTrue="1">
      <formula>LEN(TRIM(E155))=0</formula>
    </cfRule>
  </conditionalFormatting>
  <conditionalFormatting sqref="E155:AL155">
    <cfRule type="notContainsBlanks" dxfId="1787" priority="66" stopIfTrue="1">
      <formula>LEN(TRIM(E155))&gt;0</formula>
    </cfRule>
  </conditionalFormatting>
  <conditionalFormatting sqref="E156:AL156">
    <cfRule type="containsBlanks" dxfId="1786" priority="67" stopIfTrue="1">
      <formula>LEN(TRIM(E156))=0</formula>
    </cfRule>
  </conditionalFormatting>
  <conditionalFormatting sqref="E156:AL156">
    <cfRule type="notContainsBlanks" dxfId="1785" priority="68" stopIfTrue="1">
      <formula>LEN(TRIM(E156))&gt;0</formula>
    </cfRule>
  </conditionalFormatting>
  <conditionalFormatting sqref="E157:AL157">
    <cfRule type="containsBlanks" dxfId="1784" priority="69" stopIfTrue="1">
      <formula>LEN(TRIM(E157))=0</formula>
    </cfRule>
  </conditionalFormatting>
  <conditionalFormatting sqref="E157:AL157">
    <cfRule type="notContainsBlanks" dxfId="1783" priority="70" stopIfTrue="1">
      <formula>LEN(TRIM(E157))&gt;0</formula>
    </cfRule>
  </conditionalFormatting>
  <conditionalFormatting sqref="E159:AL159">
    <cfRule type="containsBlanks" dxfId="1782" priority="71" stopIfTrue="1">
      <formula>LEN(TRIM(E159))=0</formula>
    </cfRule>
  </conditionalFormatting>
  <conditionalFormatting sqref="E159:AL159">
    <cfRule type="notContainsBlanks" dxfId="1781" priority="72" stopIfTrue="1">
      <formula>LEN(TRIM(E159))&gt;0</formula>
    </cfRule>
  </conditionalFormatting>
  <conditionalFormatting sqref="E161:AL161">
    <cfRule type="containsBlanks" dxfId="1780" priority="73" stopIfTrue="1">
      <formula>LEN(TRIM(E161))=0</formula>
    </cfRule>
  </conditionalFormatting>
  <conditionalFormatting sqref="E161:AL161">
    <cfRule type="notContainsBlanks" dxfId="1779" priority="74" stopIfTrue="1">
      <formula>LEN(TRIM(E161))&gt;0</formula>
    </cfRule>
  </conditionalFormatting>
  <conditionalFormatting sqref="E162:AL162">
    <cfRule type="containsBlanks" dxfId="1778" priority="75" stopIfTrue="1">
      <formula>LEN(TRIM(E162))=0</formula>
    </cfRule>
  </conditionalFormatting>
  <conditionalFormatting sqref="E162:AL162">
    <cfRule type="notContainsBlanks" dxfId="1777" priority="76" stopIfTrue="1">
      <formula>LEN(TRIM(E162))&gt;0</formula>
    </cfRule>
  </conditionalFormatting>
  <conditionalFormatting sqref="E163:AL163">
    <cfRule type="containsBlanks" dxfId="1776" priority="77" stopIfTrue="1">
      <formula>LEN(TRIM(E163))=0</formula>
    </cfRule>
  </conditionalFormatting>
  <conditionalFormatting sqref="E163:AL163">
    <cfRule type="notContainsBlanks" dxfId="1775" priority="78" stopIfTrue="1">
      <formula>LEN(TRIM(E163))&gt;0</formula>
    </cfRule>
  </conditionalFormatting>
  <conditionalFormatting sqref="E165:AL165">
    <cfRule type="containsBlanks" dxfId="1774" priority="79" stopIfTrue="1">
      <formula>LEN(TRIM(E165))=0</formula>
    </cfRule>
  </conditionalFormatting>
  <conditionalFormatting sqref="E165:AL165">
    <cfRule type="notContainsBlanks" dxfId="1773" priority="80" stopIfTrue="1">
      <formula>LEN(TRIM(E165))&gt;0</formula>
    </cfRule>
  </conditionalFormatting>
  <conditionalFormatting sqref="E167:AL167">
    <cfRule type="containsBlanks" dxfId="1772" priority="81" stopIfTrue="1">
      <formula>LEN(TRIM(E167))=0</formula>
    </cfRule>
  </conditionalFormatting>
  <conditionalFormatting sqref="E167:AL167">
    <cfRule type="notContainsBlanks" dxfId="1771" priority="82" stopIfTrue="1">
      <formula>LEN(TRIM(E167))&gt;0</formula>
    </cfRule>
  </conditionalFormatting>
  <conditionalFormatting sqref="E168:AL168">
    <cfRule type="containsBlanks" dxfId="1770" priority="83" stopIfTrue="1">
      <formula>LEN(TRIM(E168))=0</formula>
    </cfRule>
  </conditionalFormatting>
  <conditionalFormatting sqref="E168:AL168">
    <cfRule type="notContainsBlanks" dxfId="1769" priority="84" stopIfTrue="1">
      <formula>LEN(TRIM(E168))&gt;0</formula>
    </cfRule>
  </conditionalFormatting>
  <conditionalFormatting sqref="E169:AL169">
    <cfRule type="containsBlanks" dxfId="1768" priority="85" stopIfTrue="1">
      <formula>LEN(TRIM(E169))=0</formula>
    </cfRule>
  </conditionalFormatting>
  <conditionalFormatting sqref="E169:AL169">
    <cfRule type="notContainsBlanks" dxfId="1767" priority="86" stopIfTrue="1">
      <formula>LEN(TRIM(E169))&gt;0</formula>
    </cfRule>
  </conditionalFormatting>
  <conditionalFormatting sqref="E171:AL171">
    <cfRule type="containsBlanks" dxfId="1766" priority="87" stopIfTrue="1">
      <formula>LEN(TRIM(E171))=0</formula>
    </cfRule>
  </conditionalFormatting>
  <conditionalFormatting sqref="E171:AL171">
    <cfRule type="notContainsBlanks" dxfId="1765" priority="88" stopIfTrue="1">
      <formula>LEN(TRIM(E171))&gt;0</formula>
    </cfRule>
  </conditionalFormatting>
  <conditionalFormatting sqref="E173:AL173">
    <cfRule type="containsBlanks" dxfId="1764" priority="89" stopIfTrue="1">
      <formula>LEN(TRIM(E173))=0</formula>
    </cfRule>
  </conditionalFormatting>
  <conditionalFormatting sqref="E173:AL173">
    <cfRule type="notContainsBlanks" dxfId="1763" priority="90" stopIfTrue="1">
      <formula>LEN(TRIM(E173))&gt;0</formula>
    </cfRule>
  </conditionalFormatting>
  <conditionalFormatting sqref="E174:AL174">
    <cfRule type="containsBlanks" dxfId="1762" priority="91" stopIfTrue="1">
      <formula>LEN(TRIM(E174))=0</formula>
    </cfRule>
  </conditionalFormatting>
  <conditionalFormatting sqref="E174:AL174">
    <cfRule type="notContainsBlanks" dxfId="1761" priority="92" stopIfTrue="1">
      <formula>LEN(TRIM(E174))&gt;0</formula>
    </cfRule>
  </conditionalFormatting>
  <conditionalFormatting sqref="E175:AL175">
    <cfRule type="containsBlanks" dxfId="1760" priority="93" stopIfTrue="1">
      <formula>LEN(TRIM(E175))=0</formula>
    </cfRule>
  </conditionalFormatting>
  <conditionalFormatting sqref="E175:AL175">
    <cfRule type="notContainsBlanks" dxfId="1759" priority="94" stopIfTrue="1">
      <formula>LEN(TRIM(E175))&gt;0</formula>
    </cfRule>
  </conditionalFormatting>
  <conditionalFormatting sqref="E177:AL177">
    <cfRule type="containsBlanks" dxfId="1758" priority="95" stopIfTrue="1">
      <formula>LEN(TRIM(E177))=0</formula>
    </cfRule>
  </conditionalFormatting>
  <conditionalFormatting sqref="E177:AL177">
    <cfRule type="notContainsBlanks" dxfId="1757" priority="96" stopIfTrue="1">
      <formula>LEN(TRIM(E177))&gt;0</formula>
    </cfRule>
  </conditionalFormatting>
  <conditionalFormatting sqref="E179:AL179">
    <cfRule type="containsBlanks" dxfId="1756" priority="97" stopIfTrue="1">
      <formula>LEN(TRIM(E179))=0</formula>
    </cfRule>
  </conditionalFormatting>
  <conditionalFormatting sqref="E179:AL179">
    <cfRule type="notContainsBlanks" dxfId="1755" priority="98" stopIfTrue="1">
      <formula>LEN(TRIM(E179))&gt;0</formula>
    </cfRule>
  </conditionalFormatting>
  <conditionalFormatting sqref="E180:AL180">
    <cfRule type="containsBlanks" dxfId="1754" priority="99" stopIfTrue="1">
      <formula>LEN(TRIM(E180))=0</formula>
    </cfRule>
  </conditionalFormatting>
  <conditionalFormatting sqref="E180:AL180">
    <cfRule type="notContainsBlanks" dxfId="1753" priority="100" stopIfTrue="1">
      <formula>LEN(TRIM(E180))&gt;0</formula>
    </cfRule>
  </conditionalFormatting>
  <conditionalFormatting sqref="E181:AL181">
    <cfRule type="containsBlanks" dxfId="1752" priority="101" stopIfTrue="1">
      <formula>LEN(TRIM(E181))=0</formula>
    </cfRule>
  </conditionalFormatting>
  <conditionalFormatting sqref="E181:AL181">
    <cfRule type="notContainsBlanks" dxfId="1751" priority="102" stopIfTrue="1">
      <formula>LEN(TRIM(E181))&gt;0</formula>
    </cfRule>
  </conditionalFormatting>
  <conditionalFormatting sqref="E183:AL183">
    <cfRule type="containsBlanks" dxfId="1750" priority="103" stopIfTrue="1">
      <formula>LEN(TRIM(E183))=0</formula>
    </cfRule>
  </conditionalFormatting>
  <conditionalFormatting sqref="E183:AL183">
    <cfRule type="notContainsBlanks" dxfId="1749" priority="104" stopIfTrue="1">
      <formula>LEN(TRIM(E183))&gt;0</formula>
    </cfRule>
  </conditionalFormatting>
  <conditionalFormatting sqref="E185:AL185">
    <cfRule type="containsBlanks" dxfId="1748" priority="105" stopIfTrue="1">
      <formula>LEN(TRIM(E185))=0</formula>
    </cfRule>
  </conditionalFormatting>
  <conditionalFormatting sqref="E185:AL185">
    <cfRule type="notContainsBlanks" dxfId="1747" priority="106" stopIfTrue="1">
      <formula>LEN(TRIM(E185))&gt;0</formula>
    </cfRule>
  </conditionalFormatting>
  <conditionalFormatting sqref="E186:AL186">
    <cfRule type="containsBlanks" dxfId="1746" priority="107" stopIfTrue="1">
      <formula>LEN(TRIM(E186))=0</formula>
    </cfRule>
  </conditionalFormatting>
  <conditionalFormatting sqref="E186:AL186">
    <cfRule type="notContainsBlanks" dxfId="1745" priority="108" stopIfTrue="1">
      <formula>LEN(TRIM(E186))&gt;0</formula>
    </cfRule>
  </conditionalFormatting>
  <conditionalFormatting sqref="E187:AL187">
    <cfRule type="containsBlanks" dxfId="1744" priority="109" stopIfTrue="1">
      <formula>LEN(TRIM(E187))=0</formula>
    </cfRule>
  </conditionalFormatting>
  <conditionalFormatting sqref="E187:AL187">
    <cfRule type="notContainsBlanks" dxfId="1743" priority="110" stopIfTrue="1">
      <formula>LEN(TRIM(E187))&gt;0</formula>
    </cfRule>
  </conditionalFormatting>
  <conditionalFormatting sqref="E189:AL189">
    <cfRule type="containsBlanks" dxfId="1742" priority="111" stopIfTrue="1">
      <formula>LEN(TRIM(E189))=0</formula>
    </cfRule>
  </conditionalFormatting>
  <conditionalFormatting sqref="E189:AL189">
    <cfRule type="notContainsBlanks" dxfId="1741" priority="112" stopIfTrue="1">
      <formula>LEN(TRIM(E189))&gt;0</formula>
    </cfRule>
  </conditionalFormatting>
  <conditionalFormatting sqref="E95:AL95">
    <cfRule type="containsBlanks" dxfId="1740" priority="113" stopIfTrue="1">
      <formula>LEN(TRIM(E95))=0</formula>
    </cfRule>
    <cfRule type="notContainsBlanks" dxfId="1739" priority="114" stopIfTrue="1">
      <formula>LEN(TRIM(E95))&gt;0</formula>
    </cfRule>
  </conditionalFormatting>
  <conditionalFormatting sqref="E96:AL96">
    <cfRule type="containsBlanks" dxfId="1738" priority="115" stopIfTrue="1">
      <formula>LEN(TRIM(E96))=0</formula>
    </cfRule>
    <cfRule type="notContainsBlanks" dxfId="1737" priority="116" stopIfTrue="1">
      <formula>LEN(TRIM(E96))&gt;0</formula>
    </cfRule>
  </conditionalFormatting>
  <conditionalFormatting sqref="E97:AL97">
    <cfRule type="containsBlanks" dxfId="1736" priority="117" stopIfTrue="1">
      <formula>LEN(TRIM(E97))=0</formula>
    </cfRule>
    <cfRule type="notContainsBlanks" dxfId="1735" priority="118" stopIfTrue="1">
      <formula>LEN(TRIM(E97))&gt;0</formula>
    </cfRule>
  </conditionalFormatting>
  <conditionalFormatting sqref="E98:AL98">
    <cfRule type="containsBlanks" dxfId="1734" priority="119" stopIfTrue="1">
      <formula>LEN(TRIM(E98))=0</formula>
    </cfRule>
    <cfRule type="notContainsBlanks" dxfId="1733" priority="120" stopIfTrue="1">
      <formula>LEN(TRIM(E98))&gt;0</formula>
    </cfRule>
  </conditionalFormatting>
  <conditionalFormatting sqref="E99:AL99">
    <cfRule type="containsBlanks" dxfId="1732" priority="121" stopIfTrue="1">
      <formula>LEN(TRIM(E99))=0</formula>
    </cfRule>
    <cfRule type="notContainsBlanks" dxfId="1731" priority="122" stopIfTrue="1">
      <formula>LEN(TRIM(E99))&gt;0</formula>
    </cfRule>
  </conditionalFormatting>
  <conditionalFormatting sqref="E100:AL100">
    <cfRule type="containsBlanks" dxfId="1730" priority="123" stopIfTrue="1">
      <formula>LEN(TRIM(E100))=0</formula>
    </cfRule>
    <cfRule type="notContainsBlanks" dxfId="1729" priority="124" stopIfTrue="1">
      <formula>LEN(TRIM(E100))&gt;0</formula>
    </cfRule>
  </conditionalFormatting>
  <conditionalFormatting sqref="E101:AL101">
    <cfRule type="containsBlanks" dxfId="1728" priority="125" stopIfTrue="1">
      <formula>LEN(TRIM(E101))=0</formula>
    </cfRule>
    <cfRule type="notContainsBlanks" dxfId="1727" priority="126" stopIfTrue="1">
      <formula>LEN(TRIM(E101))&gt;0</formula>
    </cfRule>
  </conditionalFormatting>
  <conditionalFormatting sqref="E86:AL86">
    <cfRule type="containsBlanks" dxfId="1726" priority="127" stopIfTrue="1">
      <formula>LEN(TRIM(E86))=0</formula>
    </cfRule>
    <cfRule type="notContainsBlanks" dxfId="1725" priority="128" stopIfTrue="1">
      <formula>LEN(TRIM(E86))&gt;0</formula>
    </cfRule>
  </conditionalFormatting>
  <conditionalFormatting sqref="E87:AL87">
    <cfRule type="containsBlanks" dxfId="1724" priority="129" stopIfTrue="1">
      <formula>LEN(TRIM(E87))=0</formula>
    </cfRule>
    <cfRule type="notContainsBlanks" dxfId="1723" priority="130" stopIfTrue="1">
      <formula>LEN(TRIM(E87))&gt;0</formula>
    </cfRule>
  </conditionalFormatting>
  <conditionalFormatting sqref="E88:AL88">
    <cfRule type="containsBlanks" dxfId="1722" priority="131" stopIfTrue="1">
      <formula>LEN(TRIM(E88))=0</formula>
    </cfRule>
    <cfRule type="notContainsBlanks" dxfId="1721" priority="132" stopIfTrue="1">
      <formula>LEN(TRIM(E88))&gt;0</formula>
    </cfRule>
  </conditionalFormatting>
  <conditionalFormatting sqref="E89:AL89">
    <cfRule type="containsBlanks" dxfId="1720" priority="133" stopIfTrue="1">
      <formula>LEN(TRIM(E89))=0</formula>
    </cfRule>
    <cfRule type="notContainsBlanks" dxfId="1719" priority="134" stopIfTrue="1">
      <formula>LEN(TRIM(E89))&gt;0</formula>
    </cfRule>
  </conditionalFormatting>
  <conditionalFormatting sqref="E90:AL90">
    <cfRule type="containsBlanks" dxfId="1718" priority="135" stopIfTrue="1">
      <formula>LEN(TRIM(E90))=0</formula>
    </cfRule>
    <cfRule type="notContainsBlanks" dxfId="1717" priority="136" stopIfTrue="1">
      <formula>LEN(TRIM(E90))&gt;0</formula>
    </cfRule>
  </conditionalFormatting>
  <conditionalFormatting sqref="E91:AL91">
    <cfRule type="containsBlanks" dxfId="1716" priority="137" stopIfTrue="1">
      <formula>LEN(TRIM(E91))=0</formula>
    </cfRule>
    <cfRule type="notContainsBlanks" dxfId="1715" priority="138" stopIfTrue="1">
      <formula>LEN(TRIM(E91))&gt;0</formula>
    </cfRule>
  </conditionalFormatting>
  <conditionalFormatting sqref="E92:AL92">
    <cfRule type="containsBlanks" dxfId="1714" priority="139" stopIfTrue="1">
      <formula>LEN(TRIM(E92))=0</formula>
    </cfRule>
    <cfRule type="notContainsBlanks" dxfId="1713" priority="140" stopIfTrue="1">
      <formula>LEN(TRIM(E92))&gt;0</formula>
    </cfRule>
  </conditionalFormatting>
  <conditionalFormatting sqref="E77:AL77">
    <cfRule type="containsBlanks" dxfId="1712" priority="141" stopIfTrue="1">
      <formula>LEN(TRIM(E77))=0</formula>
    </cfRule>
    <cfRule type="notContainsBlanks" dxfId="1711" priority="142" stopIfTrue="1">
      <formula>LEN(TRIM(E77))&gt;0</formula>
    </cfRule>
  </conditionalFormatting>
  <conditionalFormatting sqref="E78:AL78">
    <cfRule type="containsBlanks" dxfId="1710" priority="143" stopIfTrue="1">
      <formula>LEN(TRIM(E78))=0</formula>
    </cfRule>
    <cfRule type="notContainsBlanks" dxfId="1709" priority="144" stopIfTrue="1">
      <formula>LEN(TRIM(E78))&gt;0</formula>
    </cfRule>
  </conditionalFormatting>
  <conditionalFormatting sqref="E79:AL79">
    <cfRule type="containsBlanks" dxfId="1708" priority="145" stopIfTrue="1">
      <formula>LEN(TRIM(E79))=0</formula>
    </cfRule>
    <cfRule type="notContainsBlanks" dxfId="1707" priority="146" stopIfTrue="1">
      <formula>LEN(TRIM(E79))&gt;0</formula>
    </cfRule>
  </conditionalFormatting>
  <conditionalFormatting sqref="E80:AL80">
    <cfRule type="containsBlanks" dxfId="1706" priority="147" stopIfTrue="1">
      <formula>LEN(TRIM(E80))=0</formula>
    </cfRule>
    <cfRule type="notContainsBlanks" dxfId="1705" priority="148" stopIfTrue="1">
      <formula>LEN(TRIM(E80))&gt;0</formula>
    </cfRule>
  </conditionalFormatting>
  <conditionalFormatting sqref="E81:AL81">
    <cfRule type="containsBlanks" dxfId="1704" priority="149" stopIfTrue="1">
      <formula>LEN(TRIM(E81))=0</formula>
    </cfRule>
    <cfRule type="notContainsBlanks" dxfId="1703" priority="150" stopIfTrue="1">
      <formula>LEN(TRIM(E81))&gt;0</formula>
    </cfRule>
  </conditionalFormatting>
  <conditionalFormatting sqref="E82:AL82">
    <cfRule type="containsBlanks" dxfId="1702" priority="151" stopIfTrue="1">
      <formula>LEN(TRIM(E82))=0</formula>
    </cfRule>
    <cfRule type="notContainsBlanks" dxfId="1701" priority="152" stopIfTrue="1">
      <formula>LEN(TRIM(E82))&gt;0</formula>
    </cfRule>
  </conditionalFormatting>
  <conditionalFormatting sqref="E83:AL83">
    <cfRule type="containsBlanks" dxfId="1700" priority="153" stopIfTrue="1">
      <formula>LEN(TRIM(E83))=0</formula>
    </cfRule>
    <cfRule type="notContainsBlanks" dxfId="1699" priority="154" stopIfTrue="1">
      <formula>LEN(TRIM(E83))&gt;0</formula>
    </cfRule>
  </conditionalFormatting>
  <conditionalFormatting sqref="E68:AL68">
    <cfRule type="containsBlanks" dxfId="1698" priority="155" stopIfTrue="1">
      <formula>LEN(TRIM(E68))=0</formula>
    </cfRule>
    <cfRule type="notContainsBlanks" dxfId="1697" priority="156" stopIfTrue="1">
      <formula>LEN(TRIM(E68))&gt;0</formula>
    </cfRule>
  </conditionalFormatting>
  <conditionalFormatting sqref="E69:AL69">
    <cfRule type="containsBlanks" dxfId="1696" priority="157" stopIfTrue="1">
      <formula>LEN(TRIM(E69))=0</formula>
    </cfRule>
    <cfRule type="notContainsBlanks" dxfId="1695" priority="158" stopIfTrue="1">
      <formula>LEN(TRIM(E69))&gt;0</formula>
    </cfRule>
  </conditionalFormatting>
  <conditionalFormatting sqref="E70:AL70">
    <cfRule type="containsBlanks" dxfId="1694" priority="159" stopIfTrue="1">
      <formula>LEN(TRIM(E70))=0</formula>
    </cfRule>
    <cfRule type="notContainsBlanks" dxfId="1693" priority="160" stopIfTrue="1">
      <formula>LEN(TRIM(E70))&gt;0</formula>
    </cfRule>
  </conditionalFormatting>
  <conditionalFormatting sqref="E71:AL71">
    <cfRule type="containsBlanks" dxfId="1692" priority="161" stopIfTrue="1">
      <formula>LEN(TRIM(E71))=0</formula>
    </cfRule>
    <cfRule type="notContainsBlanks" dxfId="1691" priority="162" stopIfTrue="1">
      <formula>LEN(TRIM(E71))&gt;0</formula>
    </cfRule>
  </conditionalFormatting>
  <conditionalFormatting sqref="E72:AL72">
    <cfRule type="containsBlanks" dxfId="1690" priority="163" stopIfTrue="1">
      <formula>LEN(TRIM(E72))=0</formula>
    </cfRule>
    <cfRule type="notContainsBlanks" dxfId="1689" priority="164" stopIfTrue="1">
      <formula>LEN(TRIM(E72))&gt;0</formula>
    </cfRule>
  </conditionalFormatting>
  <conditionalFormatting sqref="E73:AL73">
    <cfRule type="containsBlanks" dxfId="1688" priority="165" stopIfTrue="1">
      <formula>LEN(TRIM(E73))=0</formula>
    </cfRule>
    <cfRule type="notContainsBlanks" dxfId="1687" priority="166" stopIfTrue="1">
      <formula>LEN(TRIM(E73))&gt;0</formula>
    </cfRule>
  </conditionalFormatting>
  <conditionalFormatting sqref="E74:AL74">
    <cfRule type="containsBlanks" dxfId="1686" priority="167" stopIfTrue="1">
      <formula>LEN(TRIM(E74))=0</formula>
    </cfRule>
    <cfRule type="notContainsBlanks" dxfId="1685" priority="168" stopIfTrue="1">
      <formula>LEN(TRIM(E74))&gt;0</formula>
    </cfRule>
  </conditionalFormatting>
  <conditionalFormatting sqref="E59:AL59">
    <cfRule type="containsBlanks" dxfId="1684" priority="169" stopIfTrue="1">
      <formula>LEN(TRIM(E59))=0</formula>
    </cfRule>
    <cfRule type="notContainsBlanks" dxfId="1683" priority="170" stopIfTrue="1">
      <formula>LEN(TRIM(E59))&gt;0</formula>
    </cfRule>
  </conditionalFormatting>
  <conditionalFormatting sqref="E60:AL60">
    <cfRule type="containsBlanks" dxfId="1682" priority="171" stopIfTrue="1">
      <formula>LEN(TRIM(E60))=0</formula>
    </cfRule>
    <cfRule type="notContainsBlanks" dxfId="1681" priority="172" stopIfTrue="1">
      <formula>LEN(TRIM(E60))&gt;0</formula>
    </cfRule>
  </conditionalFormatting>
  <conditionalFormatting sqref="E61:AL61">
    <cfRule type="containsBlanks" dxfId="1680" priority="173" stopIfTrue="1">
      <formula>LEN(TRIM(E61))=0</formula>
    </cfRule>
    <cfRule type="notContainsBlanks" dxfId="1679" priority="174" stopIfTrue="1">
      <formula>LEN(TRIM(E61))&gt;0</formula>
    </cfRule>
  </conditionalFormatting>
  <conditionalFormatting sqref="E62:AL62">
    <cfRule type="containsBlanks" dxfId="1678" priority="175" stopIfTrue="1">
      <formula>LEN(TRIM(E62))=0</formula>
    </cfRule>
    <cfRule type="notContainsBlanks" dxfId="1677" priority="176" stopIfTrue="1">
      <formula>LEN(TRIM(E62))&gt;0</formula>
    </cfRule>
  </conditionalFormatting>
  <conditionalFormatting sqref="E63:AL63">
    <cfRule type="containsBlanks" dxfId="1676" priority="177" stopIfTrue="1">
      <formula>LEN(TRIM(E63))=0</formula>
    </cfRule>
    <cfRule type="notContainsBlanks" dxfId="1675" priority="178" stopIfTrue="1">
      <formula>LEN(TRIM(E63))&gt;0</formula>
    </cfRule>
  </conditionalFormatting>
  <conditionalFormatting sqref="E64:AL64">
    <cfRule type="containsBlanks" dxfId="1674" priority="179" stopIfTrue="1">
      <formula>LEN(TRIM(E64))=0</formula>
    </cfRule>
    <cfRule type="notContainsBlanks" dxfId="1673" priority="180" stopIfTrue="1">
      <formula>LEN(TRIM(E64))&gt;0</formula>
    </cfRule>
  </conditionalFormatting>
  <conditionalFormatting sqref="E65:AL65">
    <cfRule type="containsBlanks" dxfId="1672" priority="181" stopIfTrue="1">
      <formula>LEN(TRIM(E65))=0</formula>
    </cfRule>
    <cfRule type="notContainsBlanks" dxfId="1671" priority="182" stopIfTrue="1">
      <formula>LEN(TRIM(E65))&gt;0</formula>
    </cfRule>
  </conditionalFormatting>
  <conditionalFormatting sqref="E50:AL50">
    <cfRule type="containsBlanks" dxfId="1670" priority="183" stopIfTrue="1">
      <formula>LEN(TRIM(E50))=0</formula>
    </cfRule>
    <cfRule type="notContainsBlanks" dxfId="1669" priority="184" stopIfTrue="1">
      <formula>LEN(TRIM(E50))&gt;0</formula>
    </cfRule>
  </conditionalFormatting>
  <conditionalFormatting sqref="E51:AL51">
    <cfRule type="containsBlanks" dxfId="1668" priority="185" stopIfTrue="1">
      <formula>LEN(TRIM(E51))=0</formula>
    </cfRule>
    <cfRule type="notContainsBlanks" dxfId="1667" priority="186" stopIfTrue="1">
      <formula>LEN(TRIM(E51))&gt;0</formula>
    </cfRule>
  </conditionalFormatting>
  <conditionalFormatting sqref="E52:AL52">
    <cfRule type="containsBlanks" dxfId="1666" priority="187" stopIfTrue="1">
      <formula>LEN(TRIM(E52))=0</formula>
    </cfRule>
    <cfRule type="notContainsBlanks" dxfId="1665" priority="188" stopIfTrue="1">
      <formula>LEN(TRIM(E52))&gt;0</formula>
    </cfRule>
  </conditionalFormatting>
  <conditionalFormatting sqref="E53:AL53">
    <cfRule type="containsBlanks" dxfId="1664" priority="189" stopIfTrue="1">
      <formula>LEN(TRIM(E53))=0</formula>
    </cfRule>
    <cfRule type="notContainsBlanks" dxfId="1663" priority="190" stopIfTrue="1">
      <formula>LEN(TRIM(E53))&gt;0</formula>
    </cfRule>
  </conditionalFormatting>
  <conditionalFormatting sqref="E54:AL54">
    <cfRule type="containsBlanks" dxfId="1662" priority="191" stopIfTrue="1">
      <formula>LEN(TRIM(E54))=0</formula>
    </cfRule>
    <cfRule type="notContainsBlanks" dxfId="1661" priority="192" stopIfTrue="1">
      <formula>LEN(TRIM(E54))&gt;0</formula>
    </cfRule>
  </conditionalFormatting>
  <conditionalFormatting sqref="E55:AL55">
    <cfRule type="containsBlanks" dxfId="1660" priority="193" stopIfTrue="1">
      <formula>LEN(TRIM(E55))=0</formula>
    </cfRule>
    <cfRule type="notContainsBlanks" dxfId="1659" priority="194" stopIfTrue="1">
      <formula>LEN(TRIM(E55))&gt;0</formula>
    </cfRule>
  </conditionalFormatting>
  <conditionalFormatting sqref="E56:AL56">
    <cfRule type="containsBlanks" dxfId="1658" priority="195" stopIfTrue="1">
      <formula>LEN(TRIM(E56))=0</formula>
    </cfRule>
    <cfRule type="notContainsBlanks" dxfId="1657" priority="196" stopIfTrue="1">
      <formula>LEN(TRIM(E56))&gt;0</formula>
    </cfRule>
  </conditionalFormatting>
  <conditionalFormatting sqref="E41:E47">
    <cfRule type="containsBlanks" dxfId="1656" priority="211" stopIfTrue="1">
      <formula>LEN(TRIM(E41))=0</formula>
    </cfRule>
    <cfRule type="expression" dxfId="1655" priority="212" stopIfTrue="1">
      <formula>SUM($E$41:$E$47)&lt;&gt;1</formula>
    </cfRule>
    <cfRule type="notContainsBlanks" dxfId="1654" priority="213" stopIfTrue="1">
      <formula>LEN(TRIM(E41))&gt;0</formula>
    </cfRule>
  </conditionalFormatting>
  <conditionalFormatting sqref="F41:F47">
    <cfRule type="containsBlanks" dxfId="1653" priority="214" stopIfTrue="1">
      <formula>LEN(TRIM(F41))=0</formula>
    </cfRule>
    <cfRule type="expression" dxfId="1652" priority="215" stopIfTrue="1">
      <formula>SUM($F$41:$F$47)&lt;&gt;1</formula>
    </cfRule>
    <cfRule type="notContainsBlanks" dxfId="1651" priority="216" stopIfTrue="1">
      <formula>LEN(TRIM(F41))&gt;0</formula>
    </cfRule>
  </conditionalFormatting>
  <conditionalFormatting sqref="G41:G47">
    <cfRule type="containsBlanks" dxfId="1650" priority="217" stopIfTrue="1">
      <formula>LEN(TRIM(G41))=0</formula>
    </cfRule>
    <cfRule type="expression" dxfId="1649" priority="218" stopIfTrue="1">
      <formula>SUM($G$41:$G$47)&lt;&gt;1</formula>
    </cfRule>
    <cfRule type="notContainsBlanks" dxfId="1648" priority="219" stopIfTrue="1">
      <formula>LEN(TRIM(G41))&gt;0</formula>
    </cfRule>
  </conditionalFormatting>
  <conditionalFormatting sqref="H41:H47">
    <cfRule type="containsBlanks" dxfId="1647" priority="220" stopIfTrue="1">
      <formula>LEN(TRIM(H41))=0</formula>
    </cfRule>
    <cfRule type="expression" dxfId="1646" priority="221" stopIfTrue="1">
      <formula>SUM($H$41:$H$47)&lt;&gt;1</formula>
    </cfRule>
    <cfRule type="notContainsBlanks" dxfId="1645" priority="222" stopIfTrue="1">
      <formula>LEN(TRIM(H41))&gt;0</formula>
    </cfRule>
  </conditionalFormatting>
  <conditionalFormatting sqref="I41:I47">
    <cfRule type="containsBlanks" dxfId="1644" priority="223" stopIfTrue="1">
      <formula>LEN(TRIM(I41))=0</formula>
    </cfRule>
    <cfRule type="expression" dxfId="1643" priority="224" stopIfTrue="1">
      <formula>SUM($I$41:$I$47)&lt;&gt;1</formula>
    </cfRule>
    <cfRule type="notContainsBlanks" dxfId="1642" priority="225" stopIfTrue="1">
      <formula>LEN(TRIM(I41))&gt;0</formula>
    </cfRule>
  </conditionalFormatting>
  <conditionalFormatting sqref="J41:J47">
    <cfRule type="containsBlanks" dxfId="1641" priority="226" stopIfTrue="1">
      <formula>LEN(TRIM(J41))=0</formula>
    </cfRule>
    <cfRule type="expression" dxfId="1640" priority="227" stopIfTrue="1">
      <formula>SUM($J$41:$J$47)&lt;&gt;1</formula>
    </cfRule>
    <cfRule type="notContainsBlanks" dxfId="1639" priority="228" stopIfTrue="1">
      <formula>LEN(TRIM(J41))&gt;0</formula>
    </cfRule>
  </conditionalFormatting>
  <conditionalFormatting sqref="K41:K47">
    <cfRule type="containsBlanks" dxfId="1638" priority="229" stopIfTrue="1">
      <formula>LEN(TRIM(K41))=0</formula>
    </cfRule>
    <cfRule type="expression" dxfId="1637" priority="230" stopIfTrue="1">
      <formula>SUM($K$41:$K$47)&lt;&gt;1</formula>
    </cfRule>
    <cfRule type="notContainsBlanks" dxfId="1636" priority="231" stopIfTrue="1">
      <formula>LEN(TRIM(K41))&gt;0</formula>
    </cfRule>
  </conditionalFormatting>
  <conditionalFormatting sqref="L41:L47">
    <cfRule type="containsBlanks" dxfId="1635" priority="232" stopIfTrue="1">
      <formula>LEN(TRIM(L41))=0</formula>
    </cfRule>
    <cfRule type="expression" dxfId="1634" priority="233" stopIfTrue="1">
      <formula>SUM($L$41:$L$47)&lt;&gt;1</formula>
    </cfRule>
    <cfRule type="notContainsBlanks" dxfId="1633" priority="234" stopIfTrue="1">
      <formula>LEN(TRIM(L41))&gt;0</formula>
    </cfRule>
  </conditionalFormatting>
  <conditionalFormatting sqref="M41:M47">
    <cfRule type="containsBlanks" dxfId="1632" priority="235" stopIfTrue="1">
      <formula>LEN(TRIM(M41))=0</formula>
    </cfRule>
    <cfRule type="expression" dxfId="1631" priority="236" stopIfTrue="1">
      <formula>SUM($M$41:$M$47)&lt;&gt;1</formula>
    </cfRule>
    <cfRule type="notContainsBlanks" dxfId="1630" priority="237" stopIfTrue="1">
      <formula>LEN(TRIM(M41))&gt;0</formula>
    </cfRule>
  </conditionalFormatting>
  <conditionalFormatting sqref="N41:N47">
    <cfRule type="containsBlanks" dxfId="1629" priority="238" stopIfTrue="1">
      <formula>LEN(TRIM(N41))=0</formula>
    </cfRule>
    <cfRule type="expression" dxfId="1628" priority="239" stopIfTrue="1">
      <formula>SUM($N$41:$N$47)&lt;&gt;1</formula>
    </cfRule>
    <cfRule type="notContainsBlanks" dxfId="1627" priority="240" stopIfTrue="1">
      <formula>LEN(TRIM(N41))&gt;0</formula>
    </cfRule>
  </conditionalFormatting>
  <conditionalFormatting sqref="O41:O47">
    <cfRule type="containsBlanks" dxfId="1626" priority="241" stopIfTrue="1">
      <formula>LEN(TRIM(O41))=0</formula>
    </cfRule>
    <cfRule type="expression" dxfId="1625" priority="242" stopIfTrue="1">
      <formula>SUM($O$41:$O$47)&lt;&gt;1</formula>
    </cfRule>
    <cfRule type="notContainsBlanks" dxfId="1624" priority="243" stopIfTrue="1">
      <formula>LEN(TRIM(O41))&gt;0</formula>
    </cfRule>
  </conditionalFormatting>
  <conditionalFormatting sqref="P41:P47">
    <cfRule type="containsBlanks" dxfId="1623" priority="244" stopIfTrue="1">
      <formula>LEN(TRIM(P41))=0</formula>
    </cfRule>
    <cfRule type="expression" dxfId="1622" priority="245" stopIfTrue="1">
      <formula>SUM($P$41:$P$47)&lt;&gt;1</formula>
    </cfRule>
    <cfRule type="notContainsBlanks" dxfId="1621" priority="246" stopIfTrue="1">
      <formula>LEN(TRIM(P41))&gt;0</formula>
    </cfRule>
  </conditionalFormatting>
  <conditionalFormatting sqref="Q41:Q47">
    <cfRule type="containsBlanks" dxfId="1620" priority="247" stopIfTrue="1">
      <formula>LEN(TRIM(Q41))=0</formula>
    </cfRule>
    <cfRule type="expression" dxfId="1619" priority="248" stopIfTrue="1">
      <formula>SUM($Q$41:$Q$47)&lt;&gt;1</formula>
    </cfRule>
    <cfRule type="notContainsBlanks" dxfId="1618" priority="249" stopIfTrue="1">
      <formula>LEN(TRIM(Q41))&gt;0</formula>
    </cfRule>
  </conditionalFormatting>
  <conditionalFormatting sqref="R41:R47">
    <cfRule type="containsBlanks" dxfId="1617" priority="250" stopIfTrue="1">
      <formula>LEN(TRIM(R41))=0</formula>
    </cfRule>
  </conditionalFormatting>
  <conditionalFormatting sqref="R41:R47">
    <cfRule type="expression" dxfId="1616" priority="251" stopIfTrue="1">
      <formula>SUM($R$41:$R$47)&lt;&gt;1</formula>
    </cfRule>
  </conditionalFormatting>
  <conditionalFormatting sqref="R41:R47">
    <cfRule type="notContainsBlanks" dxfId="1615" priority="252" stopIfTrue="1">
      <formula>LEN(TRIM(R41))&gt;0</formula>
    </cfRule>
  </conditionalFormatting>
  <conditionalFormatting sqref="S41:S47">
    <cfRule type="containsBlanks" dxfId="1614" priority="253" stopIfTrue="1">
      <formula>LEN(TRIM(S41))=0</formula>
    </cfRule>
  </conditionalFormatting>
  <conditionalFormatting sqref="S41:S47">
    <cfRule type="expression" dxfId="1613" priority="254" stopIfTrue="1">
      <formula>SUM($S$41:$S$47)&lt;&gt;1</formula>
    </cfRule>
  </conditionalFormatting>
  <conditionalFormatting sqref="S41:S47">
    <cfRule type="notContainsBlanks" dxfId="1612" priority="255" stopIfTrue="1">
      <formula>LEN(TRIM(S41))&gt;0</formula>
    </cfRule>
  </conditionalFormatting>
  <conditionalFormatting sqref="T41:T47">
    <cfRule type="containsBlanks" dxfId="1611" priority="256" stopIfTrue="1">
      <formula>LEN(TRIM(T41))=0</formula>
    </cfRule>
  </conditionalFormatting>
  <conditionalFormatting sqref="T41:T47">
    <cfRule type="expression" dxfId="1610" priority="257" stopIfTrue="1">
      <formula>SUM($T$41:$T$47)&lt;&gt;1</formula>
    </cfRule>
  </conditionalFormatting>
  <conditionalFormatting sqref="T41:T47">
    <cfRule type="notContainsBlanks" dxfId="1609" priority="258" stopIfTrue="1">
      <formula>LEN(TRIM(T41))&gt;0</formula>
    </cfRule>
  </conditionalFormatting>
  <conditionalFormatting sqref="U41:U47">
    <cfRule type="containsBlanks" dxfId="1608" priority="259" stopIfTrue="1">
      <formula>LEN(TRIM(U41))=0</formula>
    </cfRule>
  </conditionalFormatting>
  <conditionalFormatting sqref="U41:U47">
    <cfRule type="expression" dxfId="1607" priority="260" stopIfTrue="1">
      <formula>SUM($U$41:$U$47)&lt;&gt;1</formula>
    </cfRule>
  </conditionalFormatting>
  <conditionalFormatting sqref="U41:U47">
    <cfRule type="notContainsBlanks" dxfId="1606" priority="261" stopIfTrue="1">
      <formula>LEN(TRIM(U41))&gt;0</formula>
    </cfRule>
  </conditionalFormatting>
  <conditionalFormatting sqref="V41:V47">
    <cfRule type="containsBlanks" dxfId="1605" priority="262" stopIfTrue="1">
      <formula>LEN(TRIM(V41))=0</formula>
    </cfRule>
  </conditionalFormatting>
  <conditionalFormatting sqref="V41:V47">
    <cfRule type="expression" dxfId="1604" priority="263" stopIfTrue="1">
      <formula>SUM($V$41:$V$47)&lt;&gt;1</formula>
    </cfRule>
  </conditionalFormatting>
  <conditionalFormatting sqref="V41:V47">
    <cfRule type="notContainsBlanks" dxfId="1603" priority="264" stopIfTrue="1">
      <formula>LEN(TRIM(V41))&gt;0</formula>
    </cfRule>
  </conditionalFormatting>
  <conditionalFormatting sqref="W41:W47">
    <cfRule type="containsBlanks" dxfId="1602" priority="265" stopIfTrue="1">
      <formula>LEN(TRIM(W41))=0</formula>
    </cfRule>
  </conditionalFormatting>
  <conditionalFormatting sqref="W41:W47">
    <cfRule type="expression" dxfId="1601" priority="266" stopIfTrue="1">
      <formula>SUM($W$41:$W$47)&lt;&gt;1</formula>
    </cfRule>
  </conditionalFormatting>
  <conditionalFormatting sqref="W41:W47">
    <cfRule type="notContainsBlanks" dxfId="1600" priority="267" stopIfTrue="1">
      <formula>LEN(TRIM(W41))&gt;0</formula>
    </cfRule>
  </conditionalFormatting>
  <conditionalFormatting sqref="X41:X47">
    <cfRule type="containsBlanks" dxfId="1599" priority="268" stopIfTrue="1">
      <formula>LEN(TRIM(X41))=0</formula>
    </cfRule>
  </conditionalFormatting>
  <conditionalFormatting sqref="X41:X47">
    <cfRule type="expression" dxfId="1598" priority="269" stopIfTrue="1">
      <formula>SUM($X$41:$X$47)&lt;&gt;1</formula>
    </cfRule>
  </conditionalFormatting>
  <conditionalFormatting sqref="X41:X47">
    <cfRule type="notContainsBlanks" dxfId="1597" priority="270" stopIfTrue="1">
      <formula>LEN(TRIM(X41))&gt;0</formula>
    </cfRule>
  </conditionalFormatting>
  <conditionalFormatting sqref="Y41:Y47">
    <cfRule type="containsBlanks" dxfId="1596" priority="271" stopIfTrue="1">
      <formula>LEN(TRIM(Y41))=0</formula>
    </cfRule>
  </conditionalFormatting>
  <conditionalFormatting sqref="Y41:Y47">
    <cfRule type="expression" dxfId="1595" priority="272" stopIfTrue="1">
      <formula>SUM($Y$41:$Y$47)&lt;&gt;1</formula>
    </cfRule>
  </conditionalFormatting>
  <conditionalFormatting sqref="Y41:Y47">
    <cfRule type="notContainsBlanks" dxfId="1594" priority="273" stopIfTrue="1">
      <formula>LEN(TRIM(Y41))&gt;0</formula>
    </cfRule>
  </conditionalFormatting>
  <conditionalFormatting sqref="Z41:Z47">
    <cfRule type="containsBlanks" dxfId="1593" priority="274" stopIfTrue="1">
      <formula>LEN(TRIM(Z41))=0</formula>
    </cfRule>
  </conditionalFormatting>
  <conditionalFormatting sqref="Z41:Z47">
    <cfRule type="expression" dxfId="1592" priority="275" stopIfTrue="1">
      <formula>SUM($Z$41:$Z$47)&lt;&gt;1</formula>
    </cfRule>
  </conditionalFormatting>
  <conditionalFormatting sqref="Z41:Z47">
    <cfRule type="notContainsBlanks" dxfId="1591" priority="276" stopIfTrue="1">
      <formula>LEN(TRIM(Z41))&gt;0</formula>
    </cfRule>
  </conditionalFormatting>
  <conditionalFormatting sqref="AA41:AA47">
    <cfRule type="containsBlanks" dxfId="1590" priority="277" stopIfTrue="1">
      <formula>LEN(TRIM(AA41))=0</formula>
    </cfRule>
  </conditionalFormatting>
  <conditionalFormatting sqref="AA41:AA47">
    <cfRule type="expression" dxfId="1589" priority="278" stopIfTrue="1">
      <formula>SUM($AA$41:$AA$47)&lt;&gt;1</formula>
    </cfRule>
  </conditionalFormatting>
  <conditionalFormatting sqref="AA41:AA47">
    <cfRule type="notContainsBlanks" dxfId="1588" priority="279" stopIfTrue="1">
      <formula>LEN(TRIM(AA41))&gt;0</formula>
    </cfRule>
  </conditionalFormatting>
  <conditionalFormatting sqref="AB41:AB47">
    <cfRule type="containsBlanks" dxfId="1587" priority="280" stopIfTrue="1">
      <formula>LEN(TRIM(AB41))=0</formula>
    </cfRule>
  </conditionalFormatting>
  <conditionalFormatting sqref="AB41:AB47">
    <cfRule type="expression" dxfId="1586" priority="281" stopIfTrue="1">
      <formula>SUM($AB$41:$AB$47)&lt;&gt;1</formula>
    </cfRule>
  </conditionalFormatting>
  <conditionalFormatting sqref="AB41:AB47">
    <cfRule type="notContainsBlanks" dxfId="1585" priority="282" stopIfTrue="1">
      <formula>LEN(TRIM(AB41))&gt;0</formula>
    </cfRule>
  </conditionalFormatting>
  <conditionalFormatting sqref="AC41:AC47">
    <cfRule type="containsBlanks" dxfId="1584" priority="283" stopIfTrue="1">
      <formula>LEN(TRIM(AC41))=0</formula>
    </cfRule>
  </conditionalFormatting>
  <conditionalFormatting sqref="AC41:AC47">
    <cfRule type="expression" dxfId="1583" priority="284" stopIfTrue="1">
      <formula>SUM($AC$41:$AC$47)&lt;&gt;1</formula>
    </cfRule>
  </conditionalFormatting>
  <conditionalFormatting sqref="AC41:AC47">
    <cfRule type="notContainsBlanks" dxfId="1582" priority="285" stopIfTrue="1">
      <formula>LEN(TRIM(AC41))&gt;0</formula>
    </cfRule>
  </conditionalFormatting>
  <conditionalFormatting sqref="AD41:AD47">
    <cfRule type="containsBlanks" dxfId="1581" priority="286" stopIfTrue="1">
      <formula>LEN(TRIM(AD41))=0</formula>
    </cfRule>
  </conditionalFormatting>
  <conditionalFormatting sqref="AD41:AD47">
    <cfRule type="expression" dxfId="1580" priority="287" stopIfTrue="1">
      <formula>SUM($AD$41:$AD$47)&lt;&gt;1</formula>
    </cfRule>
  </conditionalFormatting>
  <conditionalFormatting sqref="AD41:AD47">
    <cfRule type="notContainsBlanks" dxfId="1579" priority="288" stopIfTrue="1">
      <formula>LEN(TRIM(AD41))&gt;0</formula>
    </cfRule>
  </conditionalFormatting>
  <conditionalFormatting sqref="AE41:AE47">
    <cfRule type="containsBlanks" dxfId="1578" priority="289" stopIfTrue="1">
      <formula>LEN(TRIM(AE41))=0</formula>
    </cfRule>
  </conditionalFormatting>
  <conditionalFormatting sqref="AE41:AE47">
    <cfRule type="expression" dxfId="1577" priority="290" stopIfTrue="1">
      <formula>SUM($AE$41:$AE$47)&lt;&gt;1</formula>
    </cfRule>
  </conditionalFormatting>
  <conditionalFormatting sqref="AE41:AE47">
    <cfRule type="notContainsBlanks" dxfId="1576" priority="291" stopIfTrue="1">
      <formula>LEN(TRIM(AE41))&gt;0</formula>
    </cfRule>
  </conditionalFormatting>
  <conditionalFormatting sqref="AF41:AF47">
    <cfRule type="containsBlanks" dxfId="1575" priority="292" stopIfTrue="1">
      <formula>LEN(TRIM(AF41))=0</formula>
    </cfRule>
  </conditionalFormatting>
  <conditionalFormatting sqref="AF41:AF47">
    <cfRule type="expression" dxfId="1574" priority="293" stopIfTrue="1">
      <formula>SUM($AF$41:$AF$47)&lt;&gt;1</formula>
    </cfRule>
  </conditionalFormatting>
  <conditionalFormatting sqref="AF41:AF47">
    <cfRule type="notContainsBlanks" dxfId="1573" priority="294" stopIfTrue="1">
      <formula>LEN(TRIM(AF41))&gt;0</formula>
    </cfRule>
  </conditionalFormatting>
  <conditionalFormatting sqref="AG41:AG47">
    <cfRule type="containsBlanks" dxfId="1572" priority="295" stopIfTrue="1">
      <formula>LEN(TRIM(AG41))=0</formula>
    </cfRule>
  </conditionalFormatting>
  <conditionalFormatting sqref="AG41:AG47">
    <cfRule type="expression" dxfId="1571" priority="296" stopIfTrue="1">
      <formula>SUM($AG$41:$AG$47)&lt;&gt;1</formula>
    </cfRule>
  </conditionalFormatting>
  <conditionalFormatting sqref="AG41:AG47">
    <cfRule type="notContainsBlanks" dxfId="1570" priority="297" stopIfTrue="1">
      <formula>LEN(TRIM(AG41))&gt;0</formula>
    </cfRule>
  </conditionalFormatting>
  <conditionalFormatting sqref="AH41:AH47">
    <cfRule type="containsBlanks" dxfId="1569" priority="298" stopIfTrue="1">
      <formula>LEN(TRIM(AH41))=0</formula>
    </cfRule>
  </conditionalFormatting>
  <conditionalFormatting sqref="AH41:AH47">
    <cfRule type="expression" dxfId="1568" priority="299" stopIfTrue="1">
      <formula>SUM($AH$41:$AH$47)&lt;&gt;1</formula>
    </cfRule>
  </conditionalFormatting>
  <conditionalFormatting sqref="AH41:AH47">
    <cfRule type="notContainsBlanks" dxfId="1567" priority="300" stopIfTrue="1">
      <formula>LEN(TRIM(AH41))&gt;0</formula>
    </cfRule>
  </conditionalFormatting>
  <conditionalFormatting sqref="AI41:AI47">
    <cfRule type="containsBlanks" dxfId="1566" priority="301" stopIfTrue="1">
      <formula>LEN(TRIM(AI41))=0</formula>
    </cfRule>
  </conditionalFormatting>
  <conditionalFormatting sqref="AI41:AI47">
    <cfRule type="expression" dxfId="1565" priority="302" stopIfTrue="1">
      <formula>SUM($AI$41:$AI$47)&lt;&gt;1</formula>
    </cfRule>
  </conditionalFormatting>
  <conditionalFormatting sqref="AI41:AI47">
    <cfRule type="notContainsBlanks" dxfId="1564" priority="303" stopIfTrue="1">
      <formula>LEN(TRIM(AI41))&gt;0</formula>
    </cfRule>
  </conditionalFormatting>
  <conditionalFormatting sqref="AJ41:AJ47">
    <cfRule type="containsBlanks" dxfId="1563" priority="304" stopIfTrue="1">
      <formula>LEN(TRIM(AJ41))=0</formula>
    </cfRule>
  </conditionalFormatting>
  <conditionalFormatting sqref="AJ41:AJ47">
    <cfRule type="expression" dxfId="1562" priority="305" stopIfTrue="1">
      <formula>SUM($AJ$41:$AJ$47)&lt;&gt;1</formula>
    </cfRule>
  </conditionalFormatting>
  <conditionalFormatting sqref="AJ41:AJ47">
    <cfRule type="notContainsBlanks" dxfId="1561" priority="306" stopIfTrue="1">
      <formula>LEN(TRIM(AJ41))&gt;0</formula>
    </cfRule>
  </conditionalFormatting>
  <conditionalFormatting sqref="AK41:AK47">
    <cfRule type="containsBlanks" dxfId="1560" priority="307" stopIfTrue="1">
      <formula>LEN(TRIM(AK41))=0</formula>
    </cfRule>
  </conditionalFormatting>
  <conditionalFormatting sqref="AK41:AK47">
    <cfRule type="expression" dxfId="1559" priority="308" stopIfTrue="1">
      <formula>SUM($AK$41:$AK$47)&lt;&gt;1</formula>
    </cfRule>
  </conditionalFormatting>
  <conditionalFormatting sqref="AK41:AK47">
    <cfRule type="notContainsBlanks" dxfId="1558" priority="309" stopIfTrue="1">
      <formula>LEN(TRIM(AK41))&gt;0</formula>
    </cfRule>
  </conditionalFormatting>
  <conditionalFormatting sqref="AL41:AL47">
    <cfRule type="containsBlanks" dxfId="1557" priority="310" stopIfTrue="1">
      <formula>LEN(TRIM(AL41))=0</formula>
    </cfRule>
  </conditionalFormatting>
  <conditionalFormatting sqref="AL41:AL47">
    <cfRule type="expression" dxfId="1556" priority="311" stopIfTrue="1">
      <formula>SUM($AL$41:$AL$47)&lt;&gt;1</formula>
    </cfRule>
  </conditionalFormatting>
  <conditionalFormatting sqref="AL41:AL47">
    <cfRule type="notContainsBlanks" dxfId="1555" priority="312" stopIfTrue="1">
      <formula>LEN(TRIM(AL41))&gt;0</formula>
    </cfRule>
  </conditionalFormatting>
  <conditionalFormatting sqref="E32:E38">
    <cfRule type="containsBlanks" dxfId="1554" priority="327" stopIfTrue="1">
      <formula>LEN(TRIM(E32))=0</formula>
    </cfRule>
    <cfRule type="expression" dxfId="1553" priority="328" stopIfTrue="1">
      <formula>SUM($E$32:$E$38)&lt;&gt;1</formula>
    </cfRule>
    <cfRule type="notContainsBlanks" dxfId="1552" priority="329" stopIfTrue="1">
      <formula>LEN(TRIM(E32))&gt;0</formula>
    </cfRule>
  </conditionalFormatting>
  <conditionalFormatting sqref="F32:F38">
    <cfRule type="containsBlanks" dxfId="1551" priority="330" stopIfTrue="1">
      <formula>LEN(TRIM(F32))=0</formula>
    </cfRule>
    <cfRule type="expression" dxfId="1550" priority="331" stopIfTrue="1">
      <formula>SUM($F$32:$F$38)&lt;&gt;1</formula>
    </cfRule>
    <cfRule type="notContainsBlanks" dxfId="1549" priority="332" stopIfTrue="1">
      <formula>LEN(TRIM(F32))&gt;0</formula>
    </cfRule>
  </conditionalFormatting>
  <conditionalFormatting sqref="G32:G38">
    <cfRule type="containsBlanks" dxfId="1548" priority="333" stopIfTrue="1">
      <formula>LEN(TRIM(G32))=0</formula>
    </cfRule>
    <cfRule type="expression" dxfId="1547" priority="334" stopIfTrue="1">
      <formula>SUM($G$32:$G$38)&lt;&gt;1</formula>
    </cfRule>
    <cfRule type="notContainsBlanks" dxfId="1546" priority="335" stopIfTrue="1">
      <formula>LEN(TRIM(G32))&gt;0</formula>
    </cfRule>
  </conditionalFormatting>
  <conditionalFormatting sqref="H32:H38">
    <cfRule type="containsBlanks" dxfId="1545" priority="336" stopIfTrue="1">
      <formula>LEN(TRIM(H32))=0</formula>
    </cfRule>
    <cfRule type="expression" dxfId="1544" priority="337" stopIfTrue="1">
      <formula>SUM($H$32:$H$38)&lt;&gt;1</formula>
    </cfRule>
    <cfRule type="notContainsBlanks" dxfId="1543" priority="338" stopIfTrue="1">
      <formula>LEN(TRIM(H32))&gt;0</formula>
    </cfRule>
  </conditionalFormatting>
  <conditionalFormatting sqref="I32:I38">
    <cfRule type="containsBlanks" dxfId="1542" priority="339" stopIfTrue="1">
      <formula>LEN(TRIM(I32))=0</formula>
    </cfRule>
    <cfRule type="expression" dxfId="1541" priority="340" stopIfTrue="1">
      <formula>SUM($I$32:$I$38)&lt;&gt;1</formula>
    </cfRule>
    <cfRule type="notContainsBlanks" dxfId="1540" priority="341" stopIfTrue="1">
      <formula>LEN(TRIM(I32))&gt;0</formula>
    </cfRule>
  </conditionalFormatting>
  <conditionalFormatting sqref="J32:J38">
    <cfRule type="containsBlanks" dxfId="1539" priority="342" stopIfTrue="1">
      <formula>LEN(TRIM(J32))=0</formula>
    </cfRule>
    <cfRule type="expression" dxfId="1538" priority="343" stopIfTrue="1">
      <formula>SUM($J$32:$J$38)&lt;&gt;1</formula>
    </cfRule>
    <cfRule type="notContainsBlanks" dxfId="1537" priority="344" stopIfTrue="1">
      <formula>LEN(TRIM(J32))&gt;0</formula>
    </cfRule>
  </conditionalFormatting>
  <conditionalFormatting sqref="K32:K38">
    <cfRule type="containsBlanks" dxfId="1536" priority="345" stopIfTrue="1">
      <formula>LEN(TRIM(K32))=0</formula>
    </cfRule>
  </conditionalFormatting>
  <conditionalFormatting sqref="K32:K38">
    <cfRule type="expression" dxfId="1535" priority="346" stopIfTrue="1">
      <formula>SUM($K$32:$K$38)&lt;&gt;1</formula>
    </cfRule>
  </conditionalFormatting>
  <conditionalFormatting sqref="K32:K38">
    <cfRule type="notContainsBlanks" dxfId="1534" priority="347" stopIfTrue="1">
      <formula>LEN(TRIM(K32))&gt;0</formula>
    </cfRule>
  </conditionalFormatting>
  <conditionalFormatting sqref="L32:L38">
    <cfRule type="containsBlanks" dxfId="1533" priority="348" stopIfTrue="1">
      <formula>LEN(TRIM(L32))=0</formula>
    </cfRule>
  </conditionalFormatting>
  <conditionalFormatting sqref="L32:L38">
    <cfRule type="expression" dxfId="1532" priority="349" stopIfTrue="1">
      <formula>SUM($L$32:$L$38)&lt;&gt;1</formula>
    </cfRule>
  </conditionalFormatting>
  <conditionalFormatting sqref="L32:L38">
    <cfRule type="notContainsBlanks" dxfId="1531" priority="350" stopIfTrue="1">
      <formula>LEN(TRIM(L32))&gt;0</formula>
    </cfRule>
  </conditionalFormatting>
  <conditionalFormatting sqref="M32:M38">
    <cfRule type="containsBlanks" dxfId="1530" priority="351" stopIfTrue="1">
      <formula>LEN(TRIM(M32))=0</formula>
    </cfRule>
  </conditionalFormatting>
  <conditionalFormatting sqref="M32:M38">
    <cfRule type="expression" dxfId="1529" priority="352" stopIfTrue="1">
      <formula>SUM($M$32:$M$38)&lt;&gt;1</formula>
    </cfRule>
  </conditionalFormatting>
  <conditionalFormatting sqref="M32:M38">
    <cfRule type="notContainsBlanks" dxfId="1528" priority="353" stopIfTrue="1">
      <formula>LEN(TRIM(M32))&gt;0</formula>
    </cfRule>
  </conditionalFormatting>
  <conditionalFormatting sqref="N32:N38">
    <cfRule type="containsBlanks" dxfId="1527" priority="354" stopIfTrue="1">
      <formula>LEN(TRIM(N32))=0</formula>
    </cfRule>
  </conditionalFormatting>
  <conditionalFormatting sqref="N32:N38">
    <cfRule type="expression" dxfId="1526" priority="355" stopIfTrue="1">
      <formula>SUM($N$32:$N$38)&lt;&gt;1</formula>
    </cfRule>
  </conditionalFormatting>
  <conditionalFormatting sqref="N32:N38">
    <cfRule type="notContainsBlanks" dxfId="1525" priority="356" stopIfTrue="1">
      <formula>LEN(TRIM(N32))&gt;0</formula>
    </cfRule>
  </conditionalFormatting>
  <conditionalFormatting sqref="O32:O38">
    <cfRule type="containsBlanks" dxfId="1524" priority="357" stopIfTrue="1">
      <formula>LEN(TRIM(O32))=0</formula>
    </cfRule>
  </conditionalFormatting>
  <conditionalFormatting sqref="O32:O38">
    <cfRule type="expression" dxfId="1523" priority="358" stopIfTrue="1">
      <formula>SUM($O$32:$O$38)&lt;&gt;1</formula>
    </cfRule>
  </conditionalFormatting>
  <conditionalFormatting sqref="O32:O38">
    <cfRule type="notContainsBlanks" dxfId="1522" priority="359" stopIfTrue="1">
      <formula>LEN(TRIM(O32))&gt;0</formula>
    </cfRule>
  </conditionalFormatting>
  <conditionalFormatting sqref="P32:P38">
    <cfRule type="containsBlanks" dxfId="1521" priority="360" stopIfTrue="1">
      <formula>LEN(TRIM(P32))=0</formula>
    </cfRule>
  </conditionalFormatting>
  <conditionalFormatting sqref="P32:P38">
    <cfRule type="expression" dxfId="1520" priority="361" stopIfTrue="1">
      <formula>SUM($P$32:$P$38)&lt;&gt;1</formula>
    </cfRule>
  </conditionalFormatting>
  <conditionalFormatting sqref="P32:P38">
    <cfRule type="notContainsBlanks" dxfId="1519" priority="362" stopIfTrue="1">
      <formula>LEN(TRIM(P32))&gt;0</formula>
    </cfRule>
  </conditionalFormatting>
  <conditionalFormatting sqref="Q32:Q38">
    <cfRule type="containsBlanks" dxfId="1518" priority="363" stopIfTrue="1">
      <formula>LEN(TRIM(Q32))=0</formula>
    </cfRule>
  </conditionalFormatting>
  <conditionalFormatting sqref="Q32:Q38">
    <cfRule type="expression" dxfId="1517" priority="364" stopIfTrue="1">
      <formula>SUM($Q$32:$Q$38)&lt;&gt;1</formula>
    </cfRule>
  </conditionalFormatting>
  <conditionalFormatting sqref="Q32:Q38">
    <cfRule type="notContainsBlanks" dxfId="1516" priority="365" stopIfTrue="1">
      <formula>LEN(TRIM(Q32))&gt;0</formula>
    </cfRule>
  </conditionalFormatting>
  <conditionalFormatting sqref="R32:R38">
    <cfRule type="containsBlanks" dxfId="1515" priority="366" stopIfTrue="1">
      <formula>LEN(TRIM(R32))=0</formula>
    </cfRule>
  </conditionalFormatting>
  <conditionalFormatting sqref="R32:R38">
    <cfRule type="expression" dxfId="1514" priority="367" stopIfTrue="1">
      <formula>SUM($R$32:$R$38)&lt;&gt;1</formula>
    </cfRule>
  </conditionalFormatting>
  <conditionalFormatting sqref="R32:R38">
    <cfRule type="notContainsBlanks" dxfId="1513" priority="368" stopIfTrue="1">
      <formula>LEN(TRIM(R32))&gt;0</formula>
    </cfRule>
  </conditionalFormatting>
  <conditionalFormatting sqref="S32:S38">
    <cfRule type="containsBlanks" dxfId="1512" priority="369" stopIfTrue="1">
      <formula>LEN(TRIM(S32))=0</formula>
    </cfRule>
  </conditionalFormatting>
  <conditionalFormatting sqref="S32:S38">
    <cfRule type="expression" dxfId="1511" priority="370" stopIfTrue="1">
      <formula>SUM($S$32:$S$38)&lt;&gt;1</formula>
    </cfRule>
  </conditionalFormatting>
  <conditionalFormatting sqref="S32:S38">
    <cfRule type="notContainsBlanks" dxfId="1510" priority="371" stopIfTrue="1">
      <formula>LEN(TRIM(S32))&gt;0</formula>
    </cfRule>
  </conditionalFormatting>
  <conditionalFormatting sqref="T32:T38">
    <cfRule type="containsBlanks" dxfId="1509" priority="372" stopIfTrue="1">
      <formula>LEN(TRIM(T32))=0</formula>
    </cfRule>
  </conditionalFormatting>
  <conditionalFormatting sqref="T32:T38">
    <cfRule type="expression" dxfId="1508" priority="373" stopIfTrue="1">
      <formula>SUM($T$32:$T$38)&lt;&gt;1</formula>
    </cfRule>
  </conditionalFormatting>
  <conditionalFormatting sqref="T32:T38">
    <cfRule type="notContainsBlanks" dxfId="1507" priority="374" stopIfTrue="1">
      <formula>LEN(TRIM(T32))&gt;0</formula>
    </cfRule>
  </conditionalFormatting>
  <conditionalFormatting sqref="U32:U38">
    <cfRule type="containsBlanks" dxfId="1506" priority="375" stopIfTrue="1">
      <formula>LEN(TRIM(U32))=0</formula>
    </cfRule>
  </conditionalFormatting>
  <conditionalFormatting sqref="U32:U38">
    <cfRule type="expression" dxfId="1505" priority="376" stopIfTrue="1">
      <formula>SUM($U$32:$U$38)&lt;&gt;1</formula>
    </cfRule>
  </conditionalFormatting>
  <conditionalFormatting sqref="U32:U38">
    <cfRule type="notContainsBlanks" dxfId="1504" priority="377" stopIfTrue="1">
      <formula>LEN(TRIM(U32))&gt;0</formula>
    </cfRule>
  </conditionalFormatting>
  <conditionalFormatting sqref="V32:V38">
    <cfRule type="containsBlanks" dxfId="1503" priority="378" stopIfTrue="1">
      <formula>LEN(TRIM(V32))=0</formula>
    </cfRule>
  </conditionalFormatting>
  <conditionalFormatting sqref="V32:V38">
    <cfRule type="expression" dxfId="1502" priority="379" stopIfTrue="1">
      <formula>SUM($V$32:$V$38)&lt;&gt;1</formula>
    </cfRule>
  </conditionalFormatting>
  <conditionalFormatting sqref="V32:V38">
    <cfRule type="notContainsBlanks" dxfId="1501" priority="380" stopIfTrue="1">
      <formula>LEN(TRIM(V32))&gt;0</formula>
    </cfRule>
  </conditionalFormatting>
  <conditionalFormatting sqref="W32:W38">
    <cfRule type="containsBlanks" dxfId="1500" priority="381" stopIfTrue="1">
      <formula>LEN(TRIM(W32))=0</formula>
    </cfRule>
  </conditionalFormatting>
  <conditionalFormatting sqref="W32:W38">
    <cfRule type="expression" dxfId="1499" priority="382" stopIfTrue="1">
      <formula>SUM($W$32:$W$38)&lt;&gt;1</formula>
    </cfRule>
  </conditionalFormatting>
  <conditionalFormatting sqref="W32:W38">
    <cfRule type="notContainsBlanks" dxfId="1498" priority="383" stopIfTrue="1">
      <formula>LEN(TRIM(W32))&gt;0</formula>
    </cfRule>
  </conditionalFormatting>
  <conditionalFormatting sqref="X32:X38">
    <cfRule type="containsBlanks" dxfId="1497" priority="384" stopIfTrue="1">
      <formula>LEN(TRIM(X32))=0</formula>
    </cfRule>
  </conditionalFormatting>
  <conditionalFormatting sqref="X32:X38">
    <cfRule type="expression" dxfId="1496" priority="385" stopIfTrue="1">
      <formula>SUM($X$32:$X$38)&lt;&gt;1</formula>
    </cfRule>
  </conditionalFormatting>
  <conditionalFormatting sqref="X32:X38">
    <cfRule type="notContainsBlanks" dxfId="1495" priority="386" stopIfTrue="1">
      <formula>LEN(TRIM(X32))&gt;0</formula>
    </cfRule>
  </conditionalFormatting>
  <conditionalFormatting sqref="Y32:Y38">
    <cfRule type="containsBlanks" dxfId="1494" priority="387" stopIfTrue="1">
      <formula>LEN(TRIM(Y32))=0</formula>
    </cfRule>
  </conditionalFormatting>
  <conditionalFormatting sqref="Y32:Y38">
    <cfRule type="expression" dxfId="1493" priority="388" stopIfTrue="1">
      <formula>SUM($Y$32:$Y$38)&lt;&gt;1</formula>
    </cfRule>
  </conditionalFormatting>
  <conditionalFormatting sqref="Y32:Y38">
    <cfRule type="notContainsBlanks" dxfId="1492" priority="389" stopIfTrue="1">
      <formula>LEN(TRIM(Y32))&gt;0</formula>
    </cfRule>
  </conditionalFormatting>
  <conditionalFormatting sqref="Z32:Z38">
    <cfRule type="containsBlanks" dxfId="1491" priority="390" stopIfTrue="1">
      <formula>LEN(TRIM(Z32))=0</formula>
    </cfRule>
  </conditionalFormatting>
  <conditionalFormatting sqref="Z32:Z38">
    <cfRule type="expression" dxfId="1490" priority="391" stopIfTrue="1">
      <formula>SUM($Z$32:$Z$38)&lt;&gt;1</formula>
    </cfRule>
  </conditionalFormatting>
  <conditionalFormatting sqref="Z32:Z38">
    <cfRule type="notContainsBlanks" dxfId="1489" priority="392" stopIfTrue="1">
      <formula>LEN(TRIM(Z32))&gt;0</formula>
    </cfRule>
  </conditionalFormatting>
  <conditionalFormatting sqref="AA32:AA38">
    <cfRule type="containsBlanks" dxfId="1488" priority="393" stopIfTrue="1">
      <formula>LEN(TRIM(AA32))=0</formula>
    </cfRule>
  </conditionalFormatting>
  <conditionalFormatting sqref="AA32:AA38">
    <cfRule type="expression" dxfId="1487" priority="394" stopIfTrue="1">
      <formula>SUM($AA$32:$AA$38)&lt;&gt;1</formula>
    </cfRule>
  </conditionalFormatting>
  <conditionalFormatting sqref="AA32:AA38">
    <cfRule type="notContainsBlanks" dxfId="1486" priority="395" stopIfTrue="1">
      <formula>LEN(TRIM(AA32))&gt;0</formula>
    </cfRule>
  </conditionalFormatting>
  <conditionalFormatting sqref="AB32:AB38">
    <cfRule type="containsBlanks" dxfId="1485" priority="396" stopIfTrue="1">
      <formula>LEN(TRIM(AB32))=0</formula>
    </cfRule>
  </conditionalFormatting>
  <conditionalFormatting sqref="AB32:AB38">
    <cfRule type="expression" dxfId="1484" priority="397" stopIfTrue="1">
      <formula>SUM($AB$32:$AB$38)&lt;&gt;1</formula>
    </cfRule>
  </conditionalFormatting>
  <conditionalFormatting sqref="AB32:AB38">
    <cfRule type="notContainsBlanks" dxfId="1483" priority="398" stopIfTrue="1">
      <formula>LEN(TRIM(AB32))&gt;0</formula>
    </cfRule>
  </conditionalFormatting>
  <conditionalFormatting sqref="AC32:AC38">
    <cfRule type="containsBlanks" dxfId="1482" priority="399" stopIfTrue="1">
      <formula>LEN(TRIM(AC32))=0</formula>
    </cfRule>
  </conditionalFormatting>
  <conditionalFormatting sqref="AC32:AC38">
    <cfRule type="expression" dxfId="1481" priority="400" stopIfTrue="1">
      <formula>SUM($AC$32:$AC$38)&lt;&gt;1</formula>
    </cfRule>
  </conditionalFormatting>
  <conditionalFormatting sqref="AC32:AC38">
    <cfRule type="notContainsBlanks" dxfId="1480" priority="401" stopIfTrue="1">
      <formula>LEN(TRIM(AC32))&gt;0</formula>
    </cfRule>
  </conditionalFormatting>
  <conditionalFormatting sqref="AD32:AD38">
    <cfRule type="containsBlanks" dxfId="1479" priority="402" stopIfTrue="1">
      <formula>LEN(TRIM(AD32))=0</formula>
    </cfRule>
  </conditionalFormatting>
  <conditionalFormatting sqref="AD32:AD38">
    <cfRule type="expression" dxfId="1478" priority="403" stopIfTrue="1">
      <formula>SUM($AD$32:$AD$38)&lt;&gt;1</formula>
    </cfRule>
  </conditionalFormatting>
  <conditionalFormatting sqref="AD32:AD38">
    <cfRule type="notContainsBlanks" dxfId="1477" priority="404" stopIfTrue="1">
      <formula>LEN(TRIM(AD32))&gt;0</formula>
    </cfRule>
  </conditionalFormatting>
  <conditionalFormatting sqref="AE32:AE38">
    <cfRule type="containsBlanks" dxfId="1476" priority="405" stopIfTrue="1">
      <formula>LEN(TRIM(AE32))=0</formula>
    </cfRule>
  </conditionalFormatting>
  <conditionalFormatting sqref="AE32:AE38">
    <cfRule type="expression" dxfId="1475" priority="406" stopIfTrue="1">
      <formula>SUM($AE$32:$AE$38)&lt;&gt;1</formula>
    </cfRule>
  </conditionalFormatting>
  <conditionalFormatting sqref="AE32:AE38">
    <cfRule type="notContainsBlanks" dxfId="1474" priority="407" stopIfTrue="1">
      <formula>LEN(TRIM(AE32))&gt;0</formula>
    </cfRule>
  </conditionalFormatting>
  <conditionalFormatting sqref="AF32:AF38">
    <cfRule type="containsBlanks" dxfId="1473" priority="408" stopIfTrue="1">
      <formula>LEN(TRIM(AF32))=0</formula>
    </cfRule>
  </conditionalFormatting>
  <conditionalFormatting sqref="AF32:AF38">
    <cfRule type="expression" dxfId="1472" priority="409" stopIfTrue="1">
      <formula>SUM($AF$32:$AF$38)&lt;&gt;1</formula>
    </cfRule>
  </conditionalFormatting>
  <conditionalFormatting sqref="AF32:AF38">
    <cfRule type="notContainsBlanks" dxfId="1471" priority="410" stopIfTrue="1">
      <formula>LEN(TRIM(AF32))&gt;0</formula>
    </cfRule>
  </conditionalFormatting>
  <conditionalFormatting sqref="AG32:AG38">
    <cfRule type="containsBlanks" dxfId="1470" priority="411" stopIfTrue="1">
      <formula>LEN(TRIM(AG32))=0</formula>
    </cfRule>
  </conditionalFormatting>
  <conditionalFormatting sqref="AG32:AG38">
    <cfRule type="expression" dxfId="1469" priority="412" stopIfTrue="1">
      <formula>SUM($AG$32:$AG$38)&lt;&gt;1</formula>
    </cfRule>
  </conditionalFormatting>
  <conditionalFormatting sqref="AG32:AG38">
    <cfRule type="notContainsBlanks" dxfId="1468" priority="413" stopIfTrue="1">
      <formula>LEN(TRIM(AG32))&gt;0</formula>
    </cfRule>
  </conditionalFormatting>
  <conditionalFormatting sqref="AH32:AH38">
    <cfRule type="containsBlanks" dxfId="1467" priority="414" stopIfTrue="1">
      <formula>LEN(TRIM(AH32))=0</formula>
    </cfRule>
  </conditionalFormatting>
  <conditionalFormatting sqref="AH32:AH38">
    <cfRule type="expression" dxfId="1466" priority="415" stopIfTrue="1">
      <formula>SUM($AH$32:$AH$38)&lt;&gt;1</formula>
    </cfRule>
  </conditionalFormatting>
  <conditionalFormatting sqref="AH32:AH38">
    <cfRule type="notContainsBlanks" dxfId="1465" priority="416" stopIfTrue="1">
      <formula>LEN(TRIM(AH32))&gt;0</formula>
    </cfRule>
  </conditionalFormatting>
  <conditionalFormatting sqref="AI32:AI38">
    <cfRule type="containsBlanks" dxfId="1464" priority="417" stopIfTrue="1">
      <formula>LEN(TRIM(AI32))=0</formula>
    </cfRule>
  </conditionalFormatting>
  <conditionalFormatting sqref="AI32:AI38">
    <cfRule type="expression" dxfId="1463" priority="418" stopIfTrue="1">
      <formula>SUM($AI$32:$AI$38)&lt;&gt;1</formula>
    </cfRule>
  </conditionalFormatting>
  <conditionalFormatting sqref="AI32:AI38">
    <cfRule type="notContainsBlanks" dxfId="1462" priority="419" stopIfTrue="1">
      <formula>LEN(TRIM(AI32))&gt;0</formula>
    </cfRule>
  </conditionalFormatting>
  <conditionalFormatting sqref="AJ32:AJ38">
    <cfRule type="containsBlanks" dxfId="1461" priority="420" stopIfTrue="1">
      <formula>LEN(TRIM(AJ32))=0</formula>
    </cfRule>
  </conditionalFormatting>
  <conditionalFormatting sqref="AJ32:AJ38">
    <cfRule type="expression" dxfId="1460" priority="421" stopIfTrue="1">
      <formula>SUM($AJ$32:$AJ$38)&lt;&gt;1</formula>
    </cfRule>
  </conditionalFormatting>
  <conditionalFormatting sqref="AJ32:AJ38">
    <cfRule type="notContainsBlanks" dxfId="1459" priority="422" stopIfTrue="1">
      <formula>LEN(TRIM(AJ32))&gt;0</formula>
    </cfRule>
  </conditionalFormatting>
  <conditionalFormatting sqref="AK32:AK38">
    <cfRule type="containsBlanks" dxfId="1458" priority="423" stopIfTrue="1">
      <formula>LEN(TRIM(AK32))=0</formula>
    </cfRule>
  </conditionalFormatting>
  <conditionalFormatting sqref="AK32:AK38">
    <cfRule type="expression" dxfId="1457" priority="424" stopIfTrue="1">
      <formula>SUM($AK$32:$AK$38)&lt;&gt;1</formula>
    </cfRule>
  </conditionalFormatting>
  <conditionalFormatting sqref="AK32:AK38">
    <cfRule type="notContainsBlanks" dxfId="1456" priority="425" stopIfTrue="1">
      <formula>LEN(TRIM(AK32))&gt;0</formula>
    </cfRule>
  </conditionalFormatting>
  <conditionalFormatting sqref="AL32:AL38">
    <cfRule type="containsBlanks" dxfId="1455" priority="426" stopIfTrue="1">
      <formula>LEN(TRIM(AL32))=0</formula>
    </cfRule>
  </conditionalFormatting>
  <conditionalFormatting sqref="AL32:AL38">
    <cfRule type="expression" dxfId="1454" priority="427" stopIfTrue="1">
      <formula>SUM($AL$32:$AL$38)&lt;&gt;1</formula>
    </cfRule>
  </conditionalFormatting>
  <conditionalFormatting sqref="AL32:AL38">
    <cfRule type="notContainsBlanks" dxfId="1453" priority="428" stopIfTrue="1">
      <formula>LEN(TRIM(AL32))&gt;0</formula>
    </cfRule>
  </conditionalFormatting>
  <conditionalFormatting sqref="E21:AL21">
    <cfRule type="containsBlanks" dxfId="1452" priority="429" stopIfTrue="1">
      <formula>LEN(TRIM(E21))=0</formula>
    </cfRule>
  </conditionalFormatting>
  <conditionalFormatting sqref="E21:AL21">
    <cfRule type="notContainsBlanks" dxfId="1451" priority="430" stopIfTrue="1">
      <formula>LEN(TRIM(E21))&gt;0</formula>
    </cfRule>
  </conditionalFormatting>
  <conditionalFormatting sqref="E22:AL22">
    <cfRule type="containsBlanks" dxfId="1450" priority="431" stopIfTrue="1">
      <formula>LEN(TRIM(E22))=0</formula>
    </cfRule>
  </conditionalFormatting>
  <conditionalFormatting sqref="E22:AL22">
    <cfRule type="notContainsBlanks" dxfId="1449" priority="432" stopIfTrue="1">
      <formula>LEN(TRIM(E22))&gt;0</formula>
    </cfRule>
  </conditionalFormatting>
  <conditionalFormatting sqref="E24:AL24">
    <cfRule type="containsBlanks" dxfId="1448" priority="433" stopIfTrue="1">
      <formula>LEN(TRIM(E24))=0</formula>
    </cfRule>
  </conditionalFormatting>
  <conditionalFormatting sqref="E24:AL24">
    <cfRule type="notContainsBlanks" dxfId="1447" priority="434" stopIfTrue="1">
      <formula>LEN(TRIM(E24))&gt;0</formula>
    </cfRule>
  </conditionalFormatting>
  <conditionalFormatting sqref="E26:AL26">
    <cfRule type="containsBlanks" dxfId="1446" priority="435" stopIfTrue="1">
      <formula>LEN(TRIM(E26))=0</formula>
    </cfRule>
  </conditionalFormatting>
  <conditionalFormatting sqref="E26:AL26">
    <cfRule type="notContainsBlanks" dxfId="1445" priority="436" stopIfTrue="1">
      <formula>LEN(TRIM(E26))&gt;0</formula>
    </cfRule>
  </conditionalFormatting>
  <conditionalFormatting sqref="E27:AL27">
    <cfRule type="containsBlanks" dxfId="1444" priority="437" stopIfTrue="1">
      <formula>LEN(TRIM(E27))=0</formula>
    </cfRule>
  </conditionalFormatting>
  <conditionalFormatting sqref="E27:AL27">
    <cfRule type="notContainsBlanks" dxfId="1443" priority="438" stopIfTrue="1">
      <formula>LEN(TRIM(E27))&gt;0</formula>
    </cfRule>
  </conditionalFormatting>
  <conditionalFormatting sqref="E29:AL29">
    <cfRule type="containsBlanks" dxfId="1442" priority="439" stopIfTrue="1">
      <formula>LEN(TRIM(E29))=0</formula>
    </cfRule>
  </conditionalFormatting>
  <conditionalFormatting sqref="E29:AL29">
    <cfRule type="notContainsBlanks" dxfId="1441" priority="440" stopIfTrue="1">
      <formula>LEN(TRIM(E29))&gt;0</formula>
    </cfRule>
  </conditionalFormatting>
  <conditionalFormatting sqref="E13:AL13">
    <cfRule type="containsBlanks" dxfId="1440" priority="441" stopIfTrue="1">
      <formula>LEN(TRIM(E13))=0</formula>
    </cfRule>
  </conditionalFormatting>
  <conditionalFormatting sqref="E13:AL13">
    <cfRule type="notContainsBlanks" dxfId="1439" priority="442" stopIfTrue="1">
      <formula>LEN(TRIM(E13))&gt;0</formula>
    </cfRule>
  </conditionalFormatting>
  <conditionalFormatting sqref="E14:AL14">
    <cfRule type="containsBlanks" dxfId="1438" priority="443" stopIfTrue="1">
      <formula>LEN(TRIM(E14))=0</formula>
    </cfRule>
  </conditionalFormatting>
  <conditionalFormatting sqref="E14:AL14">
    <cfRule type="notContainsBlanks" dxfId="1437" priority="444" stopIfTrue="1">
      <formula>LEN(TRIM(E14))&gt;0</formula>
    </cfRule>
  </conditionalFormatting>
  <conditionalFormatting sqref="E15:AL15">
    <cfRule type="containsBlanks" dxfId="1436" priority="445" stopIfTrue="1">
      <formula>LEN(TRIM(E15))=0</formula>
    </cfRule>
  </conditionalFormatting>
  <conditionalFormatting sqref="E15:AL15">
    <cfRule type="notContainsBlanks" dxfId="1435" priority="446" stopIfTrue="1">
      <formula>LEN(TRIM(E15))&gt;0</formula>
    </cfRule>
  </conditionalFormatting>
  <conditionalFormatting sqref="E17:AL17">
    <cfRule type="containsBlanks" dxfId="1434" priority="447" stopIfTrue="1">
      <formula>LEN(TRIM(E17))=0</formula>
    </cfRule>
  </conditionalFormatting>
  <conditionalFormatting sqref="E17:AL17">
    <cfRule type="notContainsBlanks" dxfId="1433" priority="448" stopIfTrue="1">
      <formula>LEN(TRIM(E17))&gt;0</formula>
    </cfRule>
  </conditionalFormatting>
  <conditionalFormatting sqref="E5:AL5">
    <cfRule type="containsBlanks" dxfId="1432" priority="449" stopIfTrue="1">
      <formula>LEN(TRIM(E5))=0</formula>
    </cfRule>
  </conditionalFormatting>
  <conditionalFormatting sqref="E5:AL5">
    <cfRule type="notContainsBlanks" dxfId="1431" priority="450" stopIfTrue="1">
      <formula>LEN(TRIM(E5))&gt;0</formula>
    </cfRule>
  </conditionalFormatting>
  <conditionalFormatting sqref="E6:AL6">
    <cfRule type="containsBlanks" dxfId="1430" priority="451" stopIfTrue="1">
      <formula>LEN(TRIM(E6))=0</formula>
    </cfRule>
  </conditionalFormatting>
  <conditionalFormatting sqref="E6:AL6">
    <cfRule type="notContainsBlanks" dxfId="1429" priority="452" stopIfTrue="1">
      <formula>LEN(TRIM(E6))&gt;0</formula>
    </cfRule>
  </conditionalFormatting>
  <conditionalFormatting sqref="E7:AL7">
    <cfRule type="containsBlanks" dxfId="1428" priority="453" stopIfTrue="1">
      <formula>LEN(TRIM(E7))=0</formula>
    </cfRule>
  </conditionalFormatting>
  <conditionalFormatting sqref="E7:AL7">
    <cfRule type="notContainsBlanks" dxfId="1427" priority="454" stopIfTrue="1">
      <formula>LEN(TRIM(E7))&gt;0</formula>
    </cfRule>
  </conditionalFormatting>
  <conditionalFormatting sqref="E9:AL9">
    <cfRule type="containsBlanks" dxfId="1426" priority="455" stopIfTrue="1">
      <formula>LEN(TRIM(E9))=0</formula>
    </cfRule>
  </conditionalFormatting>
  <conditionalFormatting sqref="E9:AL9">
    <cfRule type="notContainsBlanks" dxfId="1425" priority="456" stopIfTrue="1">
      <formula>LEN(TRIM(E9))&gt;0</formula>
    </cfRule>
  </conditionalFormatting>
  <pageMargins left="0.7" right="0.7" top="0.75" bottom="0.75" header="0.3" footer="0.3"/>
  <customProperties>
    <customPr name="IsPC"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enableFormatConditionsCalculation="0"/>
  <dimension ref="B2:AM190"/>
  <sheetViews>
    <sheetView zoomScale="85" zoomScaleNormal="85" zoomScalePageLayoutView="85" workbookViewId="0">
      <selection activeCell="B1" sqref="B1"/>
    </sheetView>
  </sheetViews>
  <sheetFormatPr defaultColWidth="8.77734375" defaultRowHeight="14.4"/>
  <cols>
    <col min="1" max="1" width="8.77734375" style="9"/>
    <col min="2" max="2" width="3.6640625" style="9" customWidth="1"/>
    <col min="3" max="3" width="28.44140625" style="9" bestFit="1" customWidth="1"/>
    <col min="4" max="4" width="9.33203125" style="9" bestFit="1" customWidth="1"/>
    <col min="5" max="38" width="9" style="9" bestFit="1" customWidth="1"/>
    <col min="39" max="39" width="3.6640625" style="9" customWidth="1"/>
    <col min="40" max="16384" width="8.77734375" style="9"/>
  </cols>
  <sheetData>
    <row r="2" spans="2:39" ht="15">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row>
    <row r="3" spans="2:39" ht="15">
      <c r="B3" s="10"/>
      <c r="C3" s="22" t="s">
        <v>97</v>
      </c>
      <c r="D3" s="23"/>
      <c r="E3" s="24">
        <f t="array" ref="E3:AL3">_yS</f>
        <v>2019</v>
      </c>
      <c r="F3" s="24">
        <v>2020</v>
      </c>
      <c r="G3" s="24">
        <v>2021</v>
      </c>
      <c r="H3" s="24">
        <v>2022</v>
      </c>
      <c r="I3" s="24">
        <v>2023</v>
      </c>
      <c r="J3" s="24">
        <v>2024</v>
      </c>
      <c r="K3" s="24">
        <v>2025</v>
      </c>
      <c r="L3" s="24">
        <v>2026</v>
      </c>
      <c r="M3" s="24">
        <v>2027</v>
      </c>
      <c r="N3" s="24">
        <v>2028</v>
      </c>
      <c r="O3" s="24">
        <v>2029</v>
      </c>
      <c r="P3" s="24">
        <v>2030</v>
      </c>
      <c r="Q3" s="24">
        <v>2031</v>
      </c>
      <c r="R3" s="24">
        <v>2032</v>
      </c>
      <c r="S3" s="24">
        <v>2033</v>
      </c>
      <c r="T3" s="24">
        <v>2034</v>
      </c>
      <c r="U3" s="24">
        <v>2035</v>
      </c>
      <c r="V3" s="24">
        <v>2036</v>
      </c>
      <c r="W3" s="24">
        <v>2037</v>
      </c>
      <c r="X3" s="24">
        <v>2038</v>
      </c>
      <c r="Y3" s="24">
        <v>2039</v>
      </c>
      <c r="Z3" s="24">
        <v>2040</v>
      </c>
      <c r="AA3" s="24">
        <v>2041</v>
      </c>
      <c r="AB3" s="24">
        <v>2042</v>
      </c>
      <c r="AC3" s="24">
        <v>2043</v>
      </c>
      <c r="AD3" s="24">
        <v>2044</v>
      </c>
      <c r="AE3" s="24">
        <v>2045</v>
      </c>
      <c r="AF3" s="24">
        <v>2046</v>
      </c>
      <c r="AG3" s="24">
        <v>2047</v>
      </c>
      <c r="AH3" s="24">
        <v>2048</v>
      </c>
      <c r="AI3" s="24">
        <v>2049</v>
      </c>
      <c r="AJ3" s="24">
        <v>2050</v>
      </c>
      <c r="AK3" s="24">
        <v>2051</v>
      </c>
      <c r="AL3" s="25">
        <v>2052</v>
      </c>
      <c r="AM3" s="10"/>
    </row>
    <row r="4" spans="2:39" ht="15">
      <c r="B4" s="10"/>
      <c r="C4" s="57" t="str">
        <f ca="1">"Stds Case (CSL " &amp; stdCSL &amp; "): " &amp; INDEX(_doName,6,stdCSL+1)</f>
        <v>Stds Case (CSL 5): EL 5</v>
      </c>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3"/>
      <c r="AM4" s="10"/>
    </row>
    <row r="5" spans="2:39" ht="15">
      <c r="B5" s="10"/>
      <c r="C5" s="16" t="s">
        <v>94</v>
      </c>
      <c r="D5" s="12" t="str">
        <f>"th " &amp; _yearDol &amp; "$"</f>
        <v>th 2015$</v>
      </c>
      <c r="E5" s="13">
        <f t="array" aca="1" ref="E5:AL5" ca="1">tecs-tiec</f>
        <v>0</v>
      </c>
      <c r="F5" s="13">
        <f ca="1"/>
        <v>0</v>
      </c>
      <c r="G5" s="13">
        <f ca="1"/>
        <v>0</v>
      </c>
      <c r="H5" s="13">
        <f ca="1"/>
        <v>232580.60267238005</v>
      </c>
      <c r="I5" s="13">
        <f ca="1"/>
        <v>234199.12160932762</v>
      </c>
      <c r="J5" s="13">
        <f ca="1"/>
        <v>227117.31315562307</v>
      </c>
      <c r="K5" s="13">
        <f ca="1"/>
        <v>228649.28407512797</v>
      </c>
      <c r="L5" s="13">
        <f ca="1"/>
        <v>230056.61378716183</v>
      </c>
      <c r="M5" s="13">
        <f ca="1"/>
        <v>231399.01365787</v>
      </c>
      <c r="N5" s="13">
        <f ca="1"/>
        <v>232529.45896293677</v>
      </c>
      <c r="O5" s="13">
        <f ca="1"/>
        <v>233664.41666909997</v>
      </c>
      <c r="P5" s="13">
        <f ca="1"/>
        <v>234986.11230378028</v>
      </c>
      <c r="Q5" s="13">
        <f ca="1"/>
        <v>236301.290511873</v>
      </c>
      <c r="R5" s="13">
        <f ca="1"/>
        <v>246513.72985727817</v>
      </c>
      <c r="S5" s="13">
        <f ca="1"/>
        <v>257095.10597676181</v>
      </c>
      <c r="T5" s="13">
        <f ca="1"/>
        <v>258632.0151402863</v>
      </c>
      <c r="U5" s="13">
        <f ca="1"/>
        <v>269530.92183119291</v>
      </c>
      <c r="V5" s="13">
        <f ca="1"/>
        <v>280617.47160722705</v>
      </c>
      <c r="W5" s="13">
        <f ca="1"/>
        <v>282356.90793994965</v>
      </c>
      <c r="X5" s="13">
        <f ca="1"/>
        <v>284090.90413601534</v>
      </c>
      <c r="Y5" s="13">
        <f ca="1"/>
        <v>285825.31146355264</v>
      </c>
      <c r="Z5" s="13">
        <f ca="1"/>
        <v>287639.75558856712</v>
      </c>
      <c r="AA5" s="13">
        <f ca="1"/>
        <v>290277.0279813555</v>
      </c>
      <c r="AB5" s="13">
        <f ca="1"/>
        <v>293508.53574372444</v>
      </c>
      <c r="AC5" s="13">
        <f ca="1"/>
        <v>296776.68865473993</v>
      </c>
      <c r="AD5" s="13">
        <f ca="1"/>
        <v>300071.76663790515</v>
      </c>
      <c r="AE5" s="13">
        <f ca="1"/>
        <v>303400.68027311936</v>
      </c>
      <c r="AF5" s="13">
        <f ca="1"/>
        <v>306761.74139807135</v>
      </c>
      <c r="AG5" s="13">
        <f ca="1"/>
        <v>310158.92072970048</v>
      </c>
      <c r="AH5" s="13">
        <f ca="1"/>
        <v>313595.17866525857</v>
      </c>
      <c r="AI5" s="13">
        <f ca="1"/>
        <v>317080.45807470439</v>
      </c>
      <c r="AJ5" s="13">
        <f ca="1"/>
        <v>320614.24913752009</v>
      </c>
      <c r="AK5" s="13">
        <f ca="1"/>
        <v>324188.63709918869</v>
      </c>
      <c r="AL5" s="56">
        <f ca="1"/>
        <v>327802.91396417271</v>
      </c>
      <c r="AM5" s="10"/>
    </row>
    <row r="6" spans="2:39" ht="15">
      <c r="B6" s="10"/>
      <c r="C6" s="16" t="s">
        <v>95</v>
      </c>
      <c r="D6" s="12" t="str">
        <f>"th " &amp; _yearDol &amp; "$"</f>
        <v>th 2015$</v>
      </c>
      <c r="E6" s="13">
        <f t="array" aca="1" ref="E6:AL6" ca="1">tlccQmPol*tShpRadStd-tlccQmBC*IF(bStdShipm,tShpRadStd,tShpRadBC)</f>
        <v>0</v>
      </c>
      <c r="F6" s="13">
        <f ca="1"/>
        <v>0</v>
      </c>
      <c r="G6" s="13">
        <f ca="1"/>
        <v>0</v>
      </c>
      <c r="H6" s="13">
        <f ca="1"/>
        <v>20219.715857073548</v>
      </c>
      <c r="I6" s="13">
        <f ca="1"/>
        <v>20221.972636414444</v>
      </c>
      <c r="J6" s="13">
        <f ca="1"/>
        <v>19477.194912974344</v>
      </c>
      <c r="K6" s="13">
        <f ca="1"/>
        <v>19475.343543095907</v>
      </c>
      <c r="L6" s="13">
        <f ca="1"/>
        <v>19462.127194620509</v>
      </c>
      <c r="M6" s="13">
        <f ca="1"/>
        <v>19442.789163262336</v>
      </c>
      <c r="N6" s="13">
        <f ca="1"/>
        <v>19405.180678797085</v>
      </c>
      <c r="O6" s="13">
        <f ca="1"/>
        <v>19367.61273527806</v>
      </c>
      <c r="P6" s="13">
        <f ca="1"/>
        <v>19345.085482815397</v>
      </c>
      <c r="Q6" s="13">
        <f ca="1"/>
        <v>19321.490652101667</v>
      </c>
      <c r="R6" s="13">
        <f ca="1"/>
        <v>20019.94358763413</v>
      </c>
      <c r="S6" s="13">
        <f ca="1"/>
        <v>20737.856177363516</v>
      </c>
      <c r="T6" s="13">
        <f ca="1"/>
        <v>20720.572220615009</v>
      </c>
      <c r="U6" s="13">
        <f ca="1"/>
        <v>21447.593009600416</v>
      </c>
      <c r="V6" s="13">
        <f ca="1"/>
        <v>22178.708434156448</v>
      </c>
      <c r="W6" s="13">
        <f ca="1"/>
        <v>22165.248840003595</v>
      </c>
      <c r="X6" s="13">
        <f ca="1"/>
        <v>22150.586531112174</v>
      </c>
      <c r="Y6" s="13">
        <f ca="1"/>
        <v>22135.194485188375</v>
      </c>
      <c r="Z6" s="13">
        <f ca="1"/>
        <v>22125.207898763721</v>
      </c>
      <c r="AA6" s="13">
        <f ca="1"/>
        <v>22177.262473740426</v>
      </c>
      <c r="AB6" s="13">
        <f ca="1"/>
        <v>22272.749915792709</v>
      </c>
      <c r="AC6" s="13">
        <f ca="1"/>
        <v>22368.750876497419</v>
      </c>
      <c r="AD6" s="13">
        <f ca="1"/>
        <v>22464.508591524645</v>
      </c>
      <c r="AE6" s="13">
        <f ca="1"/>
        <v>22560.523065878093</v>
      </c>
      <c r="AF6" s="13">
        <f ca="1"/>
        <v>22656.645649421553</v>
      </c>
      <c r="AG6" s="13">
        <f ca="1"/>
        <v>22753.146615129925</v>
      </c>
      <c r="AH6" s="13">
        <f ca="1"/>
        <v>22850.215154085687</v>
      </c>
      <c r="AI6" s="13">
        <f ca="1"/>
        <v>22948.540462375051</v>
      </c>
      <c r="AJ6" s="13">
        <f ca="1"/>
        <v>23048.041458105436</v>
      </c>
      <c r="AK6" s="13">
        <f ca="1"/>
        <v>23148.110027083254</v>
      </c>
      <c r="AL6" s="56">
        <f ca="1"/>
        <v>23248.665087415982</v>
      </c>
      <c r="AM6" s="10"/>
    </row>
    <row r="7" spans="2:39" ht="15">
      <c r="B7" s="10"/>
      <c r="C7" s="16" t="str">
        <f>zEO&amp;" Costs Savings"</f>
        <v>Operating Costs Savings</v>
      </c>
      <c r="D7" s="12" t="str">
        <f>"th " &amp; _yearDol &amp; "$"</f>
        <v>th 2015$</v>
      </c>
      <c r="E7" s="13">
        <f t="array" aca="1" ref="E7:AL7" ca="1">tlccEmBC*IF(bStdShipm,tShpRadStd,tShpRadBC)-tlccEmPol*tShpRadStd</f>
        <v>0</v>
      </c>
      <c r="F7" s="13">
        <f ca="1"/>
        <v>0</v>
      </c>
      <c r="G7" s="13">
        <f ca="1"/>
        <v>0</v>
      </c>
      <c r="H7" s="13">
        <f ca="1"/>
        <v>252800.31852945359</v>
      </c>
      <c r="I7" s="13">
        <f ca="1"/>
        <v>254421.09424574208</v>
      </c>
      <c r="J7" s="13">
        <f ca="1"/>
        <v>246594.50806859741</v>
      </c>
      <c r="K7" s="13">
        <f ca="1"/>
        <v>248124.62761822389</v>
      </c>
      <c r="L7" s="13">
        <f ca="1"/>
        <v>249518.74098178232</v>
      </c>
      <c r="M7" s="13">
        <f ca="1"/>
        <v>250841.80282113235</v>
      </c>
      <c r="N7" s="13">
        <f ca="1"/>
        <v>251934.63964173384</v>
      </c>
      <c r="O7" s="13">
        <f ca="1"/>
        <v>253032.02940437803</v>
      </c>
      <c r="P7" s="13">
        <f ca="1"/>
        <v>254331.19778659567</v>
      </c>
      <c r="Q7" s="13">
        <f ca="1"/>
        <v>255622.78116397467</v>
      </c>
      <c r="R7" s="13">
        <f ca="1"/>
        <v>266533.6734449123</v>
      </c>
      <c r="S7" s="13">
        <f ca="1"/>
        <v>277832.96215412533</v>
      </c>
      <c r="T7" s="13">
        <f ca="1"/>
        <v>279352.58736090129</v>
      </c>
      <c r="U7" s="13">
        <f ca="1"/>
        <v>290978.51484079333</v>
      </c>
      <c r="V7" s="13">
        <f ca="1"/>
        <v>302796.18004138349</v>
      </c>
      <c r="W7" s="13">
        <f ca="1"/>
        <v>304522.15677995328</v>
      </c>
      <c r="X7" s="13">
        <f ca="1"/>
        <v>306241.49066712754</v>
      </c>
      <c r="Y7" s="13">
        <f ca="1"/>
        <v>307960.50594874099</v>
      </c>
      <c r="Z7" s="13">
        <f ca="1"/>
        <v>309764.96348733082</v>
      </c>
      <c r="AA7" s="13">
        <f ca="1"/>
        <v>312454.29045509594</v>
      </c>
      <c r="AB7" s="13">
        <f ca="1"/>
        <v>315781.28565951716</v>
      </c>
      <c r="AC7" s="13">
        <f ca="1"/>
        <v>319145.43953123735</v>
      </c>
      <c r="AD7" s="13">
        <f ca="1"/>
        <v>322536.27522942983</v>
      </c>
      <c r="AE7" s="13">
        <f ca="1"/>
        <v>325961.20333899744</v>
      </c>
      <c r="AF7" s="13">
        <f ca="1"/>
        <v>329418.3870474929</v>
      </c>
      <c r="AG7" s="13">
        <f ca="1"/>
        <v>332912.06734483037</v>
      </c>
      <c r="AH7" s="13">
        <f ca="1"/>
        <v>336445.39381934423</v>
      </c>
      <c r="AI7" s="13">
        <f ca="1"/>
        <v>340028.99853707943</v>
      </c>
      <c r="AJ7" s="13">
        <f ca="1"/>
        <v>343662.29059562553</v>
      </c>
      <c r="AK7" s="13">
        <f ca="1"/>
        <v>347336.74712627195</v>
      </c>
      <c r="AL7" s="56">
        <f ca="1"/>
        <v>351051.57905158866</v>
      </c>
      <c r="AM7" s="10"/>
    </row>
    <row r="8" spans="2:39" ht="15">
      <c r="B8" s="10"/>
      <c r="C8" s="16" t="s">
        <v>96</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5"/>
      <c r="AM8" s="10"/>
    </row>
    <row r="9" spans="2:39" ht="15">
      <c r="B9" s="10"/>
      <c r="C9" s="45" t="str">
        <f>INDEX(_fuel,1)</f>
        <v>Electricity</v>
      </c>
      <c r="D9" s="18" t="s">
        <v>98</v>
      </c>
      <c r="E9" s="49">
        <f t="array" aca="1" ref="E9:AL9" ca="1">tlccFmElecBC*IF(bStdShipm,tShpRadStd,tShpRadBC)-tlccFmElecPol*tShpRadStd</f>
        <v>0</v>
      </c>
      <c r="F9" s="49">
        <f ca="1"/>
        <v>0</v>
      </c>
      <c r="G9" s="49">
        <f ca="1"/>
        <v>0</v>
      </c>
      <c r="H9" s="49">
        <f ca="1"/>
        <v>51185.827089311904</v>
      </c>
      <c r="I9" s="49">
        <f ca="1"/>
        <v>50933.916075829999</v>
      </c>
      <c r="J9" s="49">
        <f ca="1"/>
        <v>48864.638667871011</v>
      </c>
      <c r="K9" s="49">
        <f ca="1"/>
        <v>48699.832248053397</v>
      </c>
      <c r="L9" s="49">
        <f ca="1"/>
        <v>48505.165864491486</v>
      </c>
      <c r="M9" s="49">
        <f ca="1"/>
        <v>48326.769231406273</v>
      </c>
      <c r="N9" s="49">
        <f ca="1"/>
        <v>48142.686992979026</v>
      </c>
      <c r="O9" s="49">
        <f ca="1"/>
        <v>47982.292340451619</v>
      </c>
      <c r="P9" s="49">
        <f ca="1"/>
        <v>47869.481659443467</v>
      </c>
      <c r="Q9" s="49">
        <f ca="1"/>
        <v>47768.620618589572</v>
      </c>
      <c r="R9" s="49">
        <f ca="1"/>
        <v>49461.540778118302</v>
      </c>
      <c r="S9" s="49">
        <f ca="1"/>
        <v>51228.872493497445</v>
      </c>
      <c r="T9" s="49">
        <f ca="1"/>
        <v>51192.019503423828</v>
      </c>
      <c r="U9" s="49">
        <f ca="1"/>
        <v>52998.179188734619</v>
      </c>
      <c r="V9" s="49">
        <f ca="1"/>
        <v>54820.752373908297</v>
      </c>
      <c r="W9" s="49">
        <f ca="1"/>
        <v>54803.025198398973</v>
      </c>
      <c r="X9" s="49">
        <f ca="1"/>
        <v>54779.736500767758</v>
      </c>
      <c r="Y9" s="49">
        <f ca="1"/>
        <v>54750.290471089887</v>
      </c>
      <c r="Z9" s="49">
        <f ca="1"/>
        <v>54731.473268087604</v>
      </c>
      <c r="AA9" s="49">
        <f ca="1"/>
        <v>54860.241485401406</v>
      </c>
      <c r="AB9" s="49">
        <f ca="1"/>
        <v>55096.450266174623</v>
      </c>
      <c r="AC9" s="49">
        <f ca="1"/>
        <v>55333.929346080404</v>
      </c>
      <c r="AD9" s="49">
        <f ca="1"/>
        <v>55570.806705344352</v>
      </c>
      <c r="AE9" s="49">
        <f ca="1"/>
        <v>55808.319214174524</v>
      </c>
      <c r="AF9" s="49">
        <f ca="1"/>
        <v>56046.099154401105</v>
      </c>
      <c r="AG9" s="49">
        <f ca="1"/>
        <v>56284.815104514593</v>
      </c>
      <c r="AH9" s="49">
        <f ca="1"/>
        <v>56524.935069458676</v>
      </c>
      <c r="AI9" s="49">
        <f ca="1"/>
        <v>56768.163924384629</v>
      </c>
      <c r="AJ9" s="49">
        <f ca="1"/>
        <v>57014.301095745177</v>
      </c>
      <c r="AK9" s="49">
        <f ca="1"/>
        <v>57261.842281936202</v>
      </c>
      <c r="AL9" s="50">
        <f ca="1"/>
        <v>57510.58690941066</v>
      </c>
      <c r="AM9" s="10"/>
    </row>
    <row r="10" spans="2:39" ht="15">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2:39" ht="15">
      <c r="B11" s="10"/>
      <c r="C11" s="22" t="s">
        <v>93</v>
      </c>
      <c r="D11" s="23"/>
      <c r="E11" s="24">
        <f t="array" ref="E11:AL11">_yS</f>
        <v>2019</v>
      </c>
      <c r="F11" s="24">
        <v>2020</v>
      </c>
      <c r="G11" s="24">
        <v>2021</v>
      </c>
      <c r="H11" s="24">
        <v>2022</v>
      </c>
      <c r="I11" s="24">
        <v>2023</v>
      </c>
      <c r="J11" s="24">
        <v>2024</v>
      </c>
      <c r="K11" s="24">
        <v>2025</v>
      </c>
      <c r="L11" s="24">
        <v>2026</v>
      </c>
      <c r="M11" s="24">
        <v>2027</v>
      </c>
      <c r="N11" s="24">
        <v>2028</v>
      </c>
      <c r="O11" s="24">
        <v>2029</v>
      </c>
      <c r="P11" s="24">
        <v>2030</v>
      </c>
      <c r="Q11" s="24">
        <v>2031</v>
      </c>
      <c r="R11" s="24">
        <v>2032</v>
      </c>
      <c r="S11" s="24">
        <v>2033</v>
      </c>
      <c r="T11" s="24">
        <v>2034</v>
      </c>
      <c r="U11" s="24">
        <v>2035</v>
      </c>
      <c r="V11" s="24">
        <v>2036</v>
      </c>
      <c r="W11" s="24">
        <v>2037</v>
      </c>
      <c r="X11" s="24">
        <v>2038</v>
      </c>
      <c r="Y11" s="24">
        <v>2039</v>
      </c>
      <c r="Z11" s="24">
        <v>2040</v>
      </c>
      <c r="AA11" s="24">
        <v>2041</v>
      </c>
      <c r="AB11" s="24">
        <v>2042</v>
      </c>
      <c r="AC11" s="24">
        <v>2043</v>
      </c>
      <c r="AD11" s="24">
        <v>2044</v>
      </c>
      <c r="AE11" s="24">
        <v>2045</v>
      </c>
      <c r="AF11" s="24">
        <v>2046</v>
      </c>
      <c r="AG11" s="24">
        <v>2047</v>
      </c>
      <c r="AH11" s="24">
        <v>2048</v>
      </c>
      <c r="AI11" s="24">
        <v>2049</v>
      </c>
      <c r="AJ11" s="24">
        <v>2050</v>
      </c>
      <c r="AK11" s="24">
        <v>2051</v>
      </c>
      <c r="AL11" s="25">
        <v>2052</v>
      </c>
      <c r="AM11" s="10"/>
    </row>
    <row r="12" spans="2:39" ht="15">
      <c r="B12" s="10"/>
      <c r="C12" s="57" t="str">
        <f ca="1">"Stds Case (CSL " &amp; stdCSL &amp; "): " &amp; INDEX(_doName,6,stdCSL+1)</f>
        <v>Stds Case (CSL 5): EL 5</v>
      </c>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3"/>
      <c r="AM12" s="10"/>
    </row>
    <row r="13" spans="2:39" ht="15">
      <c r="B13" s="10"/>
      <c r="C13" s="16" t="s">
        <v>94</v>
      </c>
      <c r="D13" s="12" t="str">
        <f>_yearDol &amp; "$"</f>
        <v>2015$</v>
      </c>
      <c r="E13" s="13">
        <f t="array" aca="1" ref="E13:AL13" ca="1">tecsU-tiecU</f>
        <v>0</v>
      </c>
      <c r="F13" s="13">
        <f ca="1"/>
        <v>0</v>
      </c>
      <c r="G13" s="13">
        <f ca="1"/>
        <v>0</v>
      </c>
      <c r="H13" s="13">
        <f ca="1"/>
        <v>5065.026918746069</v>
      </c>
      <c r="I13" s="13">
        <f ca="1"/>
        <v>5099.7050422678767</v>
      </c>
      <c r="J13" s="13">
        <f ca="1"/>
        <v>5134.6062595595176</v>
      </c>
      <c r="K13" s="13">
        <f ca="1"/>
        <v>5169.7320398150223</v>
      </c>
      <c r="L13" s="13">
        <f ca="1"/>
        <v>5205.083862146279</v>
      </c>
      <c r="M13" s="13">
        <f ca="1"/>
        <v>5240.6632156521118</v>
      </c>
      <c r="N13" s="13">
        <f ca="1"/>
        <v>5276.4715994869221</v>
      </c>
      <c r="O13" s="13">
        <f ca="1"/>
        <v>5312.5105229307264</v>
      </c>
      <c r="P13" s="13">
        <f ca="1"/>
        <v>5348.7815054590938</v>
      </c>
      <c r="Q13" s="13">
        <f ca="1"/>
        <v>5385.2860768140272</v>
      </c>
      <c r="R13" s="13">
        <f ca="1"/>
        <v>5422.0257770743665</v>
      </c>
      <c r="S13" s="13">
        <f ca="1"/>
        <v>5459.0021567282565</v>
      </c>
      <c r="T13" s="13">
        <f ca="1"/>
        <v>5496.2167767448009</v>
      </c>
      <c r="U13" s="13">
        <f ca="1"/>
        <v>5533.6712086467924</v>
      </c>
      <c r="V13" s="13">
        <f ca="1"/>
        <v>5571.3670345839382</v>
      </c>
      <c r="W13" s="13">
        <f ca="1"/>
        <v>5609.3058474062891</v>
      </c>
      <c r="X13" s="13">
        <f ca="1"/>
        <v>5647.489250738905</v>
      </c>
      <c r="Y13" s="13">
        <f ca="1"/>
        <v>5685.9188590562007</v>
      </c>
      <c r="Z13" s="13">
        <f ca="1"/>
        <v>5724.5962977570925</v>
      </c>
      <c r="AA13" s="13">
        <f ca="1"/>
        <v>5763.5232032413369</v>
      </c>
      <c r="AB13" s="13">
        <f ca="1"/>
        <v>5802.701222985288</v>
      </c>
      <c r="AC13" s="13">
        <f ca="1"/>
        <v>5842.1320156189649</v>
      </c>
      <c r="AD13" s="13">
        <f ca="1"/>
        <v>5881.8172510038603</v>
      </c>
      <c r="AE13" s="13">
        <f ca="1"/>
        <v>5921.7586103100366</v>
      </c>
      <c r="AF13" s="13">
        <f ca="1"/>
        <v>5961.9577860956233</v>
      </c>
      <c r="AG13" s="13">
        <f ca="1"/>
        <v>6002.4164823850915</v>
      </c>
      <c r="AH13" s="13">
        <f ca="1"/>
        <v>6043.1364147494787</v>
      </c>
      <c r="AI13" s="13">
        <f ca="1"/>
        <v>6084.1193103862061</v>
      </c>
      <c r="AJ13" s="13">
        <f ca="1"/>
        <v>6125.3669082001761</v>
      </c>
      <c r="AK13" s="13">
        <f ca="1"/>
        <v>6166.8809588847544</v>
      </c>
      <c r="AL13" s="56">
        <f ca="1"/>
        <v>6208.6632250041039</v>
      </c>
      <c r="AM13" s="10"/>
    </row>
    <row r="14" spans="2:39" ht="15">
      <c r="B14" s="10"/>
      <c r="C14" s="16" t="s">
        <v>95</v>
      </c>
      <c r="D14" s="12" t="str">
        <f>_yearDol &amp; "$"</f>
        <v>2015$</v>
      </c>
      <c r="E14" s="13">
        <f t="array" ref="E14:AL14">tlccQmPol-tlccQmBC</f>
        <v>0</v>
      </c>
      <c r="F14" s="13">
        <v>0</v>
      </c>
      <c r="G14" s="13">
        <v>0</v>
      </c>
      <c r="H14" s="13">
        <f ca="1"/>
        <v>440.33510932868694</v>
      </c>
      <c r="I14" s="13">
        <f ca="1"/>
        <v>440.33510932868694</v>
      </c>
      <c r="J14" s="13">
        <f ca="1"/>
        <v>440.33510932868694</v>
      </c>
      <c r="K14" s="13">
        <f ca="1"/>
        <v>440.33510932868694</v>
      </c>
      <c r="L14" s="13">
        <f ca="1"/>
        <v>440.33510932868694</v>
      </c>
      <c r="M14" s="13">
        <f ca="1"/>
        <v>440.33510932868694</v>
      </c>
      <c r="N14" s="13">
        <f ca="1"/>
        <v>440.33510932868694</v>
      </c>
      <c r="O14" s="13">
        <f ca="1"/>
        <v>440.33510932868694</v>
      </c>
      <c r="P14" s="13">
        <f ca="1"/>
        <v>440.33510932868694</v>
      </c>
      <c r="Q14" s="13">
        <f ca="1"/>
        <v>440.33510932868694</v>
      </c>
      <c r="R14" s="13">
        <f ca="1"/>
        <v>440.33510932868694</v>
      </c>
      <c r="S14" s="13">
        <f ca="1"/>
        <v>440.33510932868694</v>
      </c>
      <c r="T14" s="13">
        <f ca="1"/>
        <v>440.33510932868694</v>
      </c>
      <c r="U14" s="13">
        <f ca="1"/>
        <v>440.33510932868694</v>
      </c>
      <c r="V14" s="13">
        <f ca="1"/>
        <v>440.33510932868694</v>
      </c>
      <c r="W14" s="13">
        <f ca="1"/>
        <v>440.33510932868694</v>
      </c>
      <c r="X14" s="13">
        <f ca="1"/>
        <v>440.33510932868694</v>
      </c>
      <c r="Y14" s="13">
        <f ca="1"/>
        <v>440.33510932868694</v>
      </c>
      <c r="Z14" s="13">
        <f ca="1"/>
        <v>440.33510932868694</v>
      </c>
      <c r="AA14" s="13">
        <f ca="1"/>
        <v>440.33510932868694</v>
      </c>
      <c r="AB14" s="13">
        <f ca="1"/>
        <v>440.33510932868694</v>
      </c>
      <c r="AC14" s="13">
        <f ca="1"/>
        <v>440.33510932868694</v>
      </c>
      <c r="AD14" s="13">
        <f ca="1"/>
        <v>440.33510932868694</v>
      </c>
      <c r="AE14" s="13">
        <f ca="1"/>
        <v>440.33510932868694</v>
      </c>
      <c r="AF14" s="13">
        <f ca="1"/>
        <v>440.33510932868694</v>
      </c>
      <c r="AG14" s="13">
        <f ca="1"/>
        <v>440.33510932868694</v>
      </c>
      <c r="AH14" s="13">
        <f ca="1"/>
        <v>440.33510932868694</v>
      </c>
      <c r="AI14" s="13">
        <f ca="1"/>
        <v>440.33510932868694</v>
      </c>
      <c r="AJ14" s="13">
        <f ca="1"/>
        <v>440.33510932868694</v>
      </c>
      <c r="AK14" s="13">
        <f ca="1"/>
        <v>440.33510932868694</v>
      </c>
      <c r="AL14" s="56">
        <f ca="1"/>
        <v>440.33510932868694</v>
      </c>
      <c r="AM14" s="10"/>
    </row>
    <row r="15" spans="2:39" ht="15">
      <c r="B15" s="10"/>
      <c r="C15" s="16" t="str">
        <f>zEO&amp;" Costs Savings"</f>
        <v>Operating Costs Savings</v>
      </c>
      <c r="D15" s="12" t="str">
        <f>_yearDol &amp; "$"</f>
        <v>2015$</v>
      </c>
      <c r="E15" s="13">
        <f t="array" aca="1" ref="E15:AL15" ca="1">tlccEmBC-tlccEmPol</f>
        <v>0</v>
      </c>
      <c r="F15" s="13">
        <f ca="1"/>
        <v>0</v>
      </c>
      <c r="G15" s="13">
        <f ca="1"/>
        <v>0</v>
      </c>
      <c r="H15" s="13">
        <f ca="1"/>
        <v>5505.3620280747564</v>
      </c>
      <c r="I15" s="13">
        <f ca="1"/>
        <v>5540.0401515965641</v>
      </c>
      <c r="J15" s="13">
        <f ca="1"/>
        <v>5574.941368888205</v>
      </c>
      <c r="K15" s="13">
        <f ca="1"/>
        <v>5610.0671491437097</v>
      </c>
      <c r="L15" s="13">
        <f ca="1"/>
        <v>5645.4189714749664</v>
      </c>
      <c r="M15" s="13">
        <f ca="1"/>
        <v>5680.9983249807992</v>
      </c>
      <c r="N15" s="13">
        <f ca="1"/>
        <v>5716.8067088156095</v>
      </c>
      <c r="O15" s="13">
        <f ca="1"/>
        <v>5752.8456322594138</v>
      </c>
      <c r="P15" s="13">
        <f ca="1"/>
        <v>5789.1166147877811</v>
      </c>
      <c r="Q15" s="13">
        <f ca="1"/>
        <v>5825.6211861427146</v>
      </c>
      <c r="R15" s="13">
        <f ca="1"/>
        <v>5862.3608864030539</v>
      </c>
      <c r="S15" s="13">
        <f ca="1"/>
        <v>5899.3372660569439</v>
      </c>
      <c r="T15" s="13">
        <f ca="1"/>
        <v>5936.5518860734883</v>
      </c>
      <c r="U15" s="13">
        <f ca="1"/>
        <v>5974.0063179754798</v>
      </c>
      <c r="V15" s="13">
        <f ca="1"/>
        <v>6011.7021439126256</v>
      </c>
      <c r="W15" s="13">
        <f ca="1"/>
        <v>6049.6409567349765</v>
      </c>
      <c r="X15" s="13">
        <f ca="1"/>
        <v>6087.8243600675924</v>
      </c>
      <c r="Y15" s="13">
        <f ca="1"/>
        <v>6126.2539683848881</v>
      </c>
      <c r="Z15" s="13">
        <f ca="1"/>
        <v>6164.9314070857799</v>
      </c>
      <c r="AA15" s="13">
        <f ca="1"/>
        <v>6203.8583125700243</v>
      </c>
      <c r="AB15" s="13">
        <f ca="1"/>
        <v>6243.0363323139754</v>
      </c>
      <c r="AC15" s="13">
        <f ca="1"/>
        <v>6282.4671249476523</v>
      </c>
      <c r="AD15" s="13">
        <f ca="1"/>
        <v>6322.1523603325477</v>
      </c>
      <c r="AE15" s="13">
        <f ca="1"/>
        <v>6362.093719638724</v>
      </c>
      <c r="AF15" s="13">
        <f ca="1"/>
        <v>6402.2928954243107</v>
      </c>
      <c r="AG15" s="13">
        <f ca="1"/>
        <v>6442.7515917137789</v>
      </c>
      <c r="AH15" s="13">
        <f ca="1"/>
        <v>6483.4715240781661</v>
      </c>
      <c r="AI15" s="13">
        <f ca="1"/>
        <v>6524.4544197148934</v>
      </c>
      <c r="AJ15" s="13">
        <f ca="1"/>
        <v>6565.7020175288635</v>
      </c>
      <c r="AK15" s="13">
        <f ca="1"/>
        <v>6607.2160682134418</v>
      </c>
      <c r="AL15" s="56">
        <f ca="1"/>
        <v>6648.9983343327913</v>
      </c>
      <c r="AM15" s="10"/>
    </row>
    <row r="16" spans="2:39" ht="15">
      <c r="B16" s="10"/>
      <c r="C16" s="16" t="s">
        <v>96</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5"/>
      <c r="AM16" s="10"/>
    </row>
    <row r="17" spans="2:39" ht="15">
      <c r="B17" s="10"/>
      <c r="C17" s="45" t="str">
        <f>INDEX(_fuel,1)</f>
        <v>Electricity</v>
      </c>
      <c r="D17" s="18" t="s">
        <v>83</v>
      </c>
      <c r="E17" s="49">
        <f t="array" aca="1" ref="E17:AL17" ca="1">tlccFmElecBC-tlccFmElecPol</f>
        <v>0</v>
      </c>
      <c r="F17" s="49">
        <f ca="1"/>
        <v>0</v>
      </c>
      <c r="G17" s="49">
        <f ca="1"/>
        <v>0</v>
      </c>
      <c r="H17" s="49">
        <f ca="1"/>
        <v>1114.6999753493837</v>
      </c>
      <c r="I17" s="49">
        <f ca="1"/>
        <v>1109.0901914980277</v>
      </c>
      <c r="J17" s="49">
        <f ca="1"/>
        <v>1104.7184210181495</v>
      </c>
      <c r="K17" s="49">
        <f ca="1"/>
        <v>1101.0971852579914</v>
      </c>
      <c r="L17" s="49">
        <f ca="1"/>
        <v>1097.4405469845369</v>
      </c>
      <c r="M17" s="49">
        <f ca="1"/>
        <v>1094.4917950981326</v>
      </c>
      <c r="N17" s="49">
        <f ca="1"/>
        <v>1092.4358650055256</v>
      </c>
      <c r="O17" s="49">
        <f ca="1"/>
        <v>1090.9082204586157</v>
      </c>
      <c r="P17" s="49">
        <f ca="1"/>
        <v>1089.6107674863033</v>
      </c>
      <c r="Q17" s="49">
        <f ca="1"/>
        <v>1088.6427533622646</v>
      </c>
      <c r="R17" s="49">
        <f ca="1"/>
        <v>1087.8978190303624</v>
      </c>
      <c r="S17" s="49">
        <f ca="1"/>
        <v>1087.7629286884876</v>
      </c>
      <c r="T17" s="49">
        <f ca="1"/>
        <v>1087.8871135793052</v>
      </c>
      <c r="U17" s="49">
        <f ca="1"/>
        <v>1088.0922170075992</v>
      </c>
      <c r="V17" s="49">
        <f ca="1"/>
        <v>1088.408825144641</v>
      </c>
      <c r="W17" s="49">
        <f ca="1"/>
        <v>1088.7175806809428</v>
      </c>
      <c r="X17" s="49">
        <f ca="1"/>
        <v>1088.9752841163754</v>
      </c>
      <c r="Y17" s="49">
        <f ca="1"/>
        <v>1089.1467502802734</v>
      </c>
      <c r="Z17" s="49">
        <f ca="1"/>
        <v>1089.2638557565879</v>
      </c>
      <c r="AA17" s="49">
        <f ca="1"/>
        <v>1089.2638557565879</v>
      </c>
      <c r="AB17" s="49">
        <f ca="1"/>
        <v>1089.2638557565879</v>
      </c>
      <c r="AC17" s="49">
        <f ca="1"/>
        <v>1089.2638557565879</v>
      </c>
      <c r="AD17" s="49">
        <f ca="1"/>
        <v>1089.2638557565879</v>
      </c>
      <c r="AE17" s="49">
        <f ca="1"/>
        <v>1089.2638557565879</v>
      </c>
      <c r="AF17" s="49">
        <f ca="1"/>
        <v>1089.2638557565879</v>
      </c>
      <c r="AG17" s="49">
        <f ca="1"/>
        <v>1089.2638557565879</v>
      </c>
      <c r="AH17" s="49">
        <f ca="1"/>
        <v>1089.2638557565879</v>
      </c>
      <c r="AI17" s="49">
        <f ca="1"/>
        <v>1089.2638557565879</v>
      </c>
      <c r="AJ17" s="49">
        <f ca="1"/>
        <v>1089.2638557565879</v>
      </c>
      <c r="AK17" s="49">
        <f ca="1"/>
        <v>1089.2638557565879</v>
      </c>
      <c r="AL17" s="50">
        <f ca="1"/>
        <v>1089.2638557565879</v>
      </c>
      <c r="AM17" s="10"/>
    </row>
    <row r="18" spans="2:39" ht="15">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2:39" ht="15">
      <c r="B19" s="10"/>
      <c r="C19" s="22" t="s">
        <v>92</v>
      </c>
      <c r="D19" s="23"/>
      <c r="E19" s="24">
        <f t="array" ref="E19:AL19">_yS</f>
        <v>2019</v>
      </c>
      <c r="F19" s="24">
        <v>2020</v>
      </c>
      <c r="G19" s="24">
        <v>2021</v>
      </c>
      <c r="H19" s="24">
        <v>2022</v>
      </c>
      <c r="I19" s="24">
        <v>2023</v>
      </c>
      <c r="J19" s="24">
        <v>2024</v>
      </c>
      <c r="K19" s="24">
        <v>2025</v>
      </c>
      <c r="L19" s="24">
        <v>2026</v>
      </c>
      <c r="M19" s="24">
        <v>2027</v>
      </c>
      <c r="N19" s="24">
        <v>2028</v>
      </c>
      <c r="O19" s="24">
        <v>2029</v>
      </c>
      <c r="P19" s="24">
        <v>2030</v>
      </c>
      <c r="Q19" s="24">
        <v>2031</v>
      </c>
      <c r="R19" s="24">
        <v>2032</v>
      </c>
      <c r="S19" s="24">
        <v>2033</v>
      </c>
      <c r="T19" s="24">
        <v>2034</v>
      </c>
      <c r="U19" s="24">
        <v>2035</v>
      </c>
      <c r="V19" s="24">
        <v>2036</v>
      </c>
      <c r="W19" s="24">
        <v>2037</v>
      </c>
      <c r="X19" s="24">
        <v>2038</v>
      </c>
      <c r="Y19" s="24">
        <v>2039</v>
      </c>
      <c r="Z19" s="24">
        <v>2040</v>
      </c>
      <c r="AA19" s="24">
        <v>2041</v>
      </c>
      <c r="AB19" s="24">
        <v>2042</v>
      </c>
      <c r="AC19" s="24">
        <v>2043</v>
      </c>
      <c r="AD19" s="24">
        <v>2044</v>
      </c>
      <c r="AE19" s="24">
        <v>2045</v>
      </c>
      <c r="AF19" s="24">
        <v>2046</v>
      </c>
      <c r="AG19" s="24">
        <v>2047</v>
      </c>
      <c r="AH19" s="24">
        <v>2048</v>
      </c>
      <c r="AI19" s="24">
        <v>2049</v>
      </c>
      <c r="AJ19" s="24">
        <v>2050</v>
      </c>
      <c r="AK19" s="24">
        <v>2051</v>
      </c>
      <c r="AL19" s="25">
        <v>2052</v>
      </c>
      <c r="AM19" s="10"/>
    </row>
    <row r="20" spans="2:39" ht="15">
      <c r="B20" s="10"/>
      <c r="C20" s="27" t="str">
        <f>"No-Stds Case (CSL 0): " &amp; INDEX(_doName,6,1)</f>
        <v>No-Stds Case (CSL 0): EL 5</v>
      </c>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5"/>
      <c r="AM20" s="10"/>
    </row>
    <row r="21" spans="2:39" ht="15">
      <c r="B21" s="10"/>
      <c r="C21" s="16" t="s">
        <v>69</v>
      </c>
      <c r="D21" s="12" t="str">
        <f>_yearDol &amp; "$"</f>
        <v>2015$</v>
      </c>
      <c r="E21" s="13">
        <f>SUMPRODUCT(INDEX(bcEff,,1),INDEX(tlccQubc,,1))</f>
        <v>2144.0328531550244</v>
      </c>
      <c r="F21" s="13">
        <f>SUMPRODUCT(INDEX(bcEff,,2),INDEX(tlccQubc,,2))</f>
        <v>2144.0328531550244</v>
      </c>
      <c r="G21" s="13">
        <f>SUMPRODUCT(INDEX(bcEff,,3),INDEX(tlccQubc,,3))</f>
        <v>2144.0328531550244</v>
      </c>
      <c r="H21" s="13">
        <f>SUMPRODUCT(INDEX(bcEff,,4),INDEX(tlccQubc,,4))</f>
        <v>2144.0328531550244</v>
      </c>
      <c r="I21" s="13">
        <f>SUMPRODUCT(INDEX(bcEff,,5),INDEX(tlccQubc,,5))</f>
        <v>2144.0328531550244</v>
      </c>
      <c r="J21" s="13">
        <f>SUMPRODUCT(INDEX(bcEff,,6),INDEX(tlccQubc,,6))</f>
        <v>2144.0328531550244</v>
      </c>
      <c r="K21" s="13">
        <f>SUMPRODUCT(INDEX(bcEff,,7),INDEX(tlccQubc,,7))</f>
        <v>2144.0328531550244</v>
      </c>
      <c r="L21" s="13">
        <f>SUMPRODUCT(INDEX(bcEff,,8),INDEX(tlccQubc,,8))</f>
        <v>2144.0328531550244</v>
      </c>
      <c r="M21" s="13">
        <f>SUMPRODUCT(INDEX(bcEff,,9),INDEX(tlccQubc,,9))</f>
        <v>2144.0328531550244</v>
      </c>
      <c r="N21" s="13">
        <f>SUMPRODUCT(INDEX(bcEff,,10),INDEX(tlccQubc,,10))</f>
        <v>2144.0328531550244</v>
      </c>
      <c r="O21" s="13">
        <f>SUMPRODUCT(INDEX(bcEff,,11),INDEX(tlccQubc,,11))</f>
        <v>2144.0328531550244</v>
      </c>
      <c r="P21" s="13">
        <f>SUMPRODUCT(INDEX(bcEff,,12),INDEX(tlccQubc,,12))</f>
        <v>2144.0328531550244</v>
      </c>
      <c r="Q21" s="13">
        <f>SUMPRODUCT(INDEX(bcEff,,13),INDEX(tlccQubc,,13))</f>
        <v>2144.0328531550244</v>
      </c>
      <c r="R21" s="13">
        <f>SUMPRODUCT(INDEX(bcEff,,14),INDEX(tlccQubc,,14))</f>
        <v>2144.0328531550244</v>
      </c>
      <c r="S21" s="13">
        <f>SUMPRODUCT(INDEX(bcEff,,15),INDEX(tlccQubc,,15))</f>
        <v>2144.0328531550244</v>
      </c>
      <c r="T21" s="13">
        <f>SUMPRODUCT(INDEX(bcEff,,16),INDEX(tlccQubc,,16))</f>
        <v>2144.0328531550244</v>
      </c>
      <c r="U21" s="13">
        <f>SUMPRODUCT(INDEX(bcEff,,17),INDEX(tlccQubc,,17))</f>
        <v>2144.0328531550244</v>
      </c>
      <c r="V21" s="13">
        <f>SUMPRODUCT(INDEX(bcEff,,18),INDEX(tlccQubc,,18))</f>
        <v>2144.0328531550244</v>
      </c>
      <c r="W21" s="13">
        <f>SUMPRODUCT(INDEX(bcEff,,19),INDEX(tlccQubc,,19))</f>
        <v>2144.0328531550244</v>
      </c>
      <c r="X21" s="13">
        <f>SUMPRODUCT(INDEX(bcEff,,20),INDEX(tlccQubc,,20))</f>
        <v>2144.0328531550244</v>
      </c>
      <c r="Y21" s="13">
        <f>SUMPRODUCT(INDEX(bcEff,,21),INDEX(tlccQubc,,21))</f>
        <v>2144.0328531550244</v>
      </c>
      <c r="Z21" s="13">
        <f>SUMPRODUCT(INDEX(bcEff,,22),INDEX(tlccQubc,,22))</f>
        <v>2144.0328531550244</v>
      </c>
      <c r="AA21" s="13">
        <f>SUMPRODUCT(INDEX(bcEff,,23),INDEX(tlccQubc,,23))</f>
        <v>2144.0328531550244</v>
      </c>
      <c r="AB21" s="13">
        <f>SUMPRODUCT(INDEX(bcEff,,24),INDEX(tlccQubc,,24))</f>
        <v>2144.0328531550244</v>
      </c>
      <c r="AC21" s="13">
        <f>SUMPRODUCT(INDEX(bcEff,,25),INDEX(tlccQubc,,25))</f>
        <v>2144.0328531550244</v>
      </c>
      <c r="AD21" s="13">
        <f>SUMPRODUCT(INDEX(bcEff,,26),INDEX(tlccQubc,,26))</f>
        <v>2144.0328531550244</v>
      </c>
      <c r="AE21" s="13">
        <f>SUMPRODUCT(INDEX(bcEff,,27),INDEX(tlccQubc,,27))</f>
        <v>2144.0328531550244</v>
      </c>
      <c r="AF21" s="13">
        <f>SUMPRODUCT(INDEX(bcEff,,28),INDEX(tlccQubc,,28))</f>
        <v>2144.0328531550244</v>
      </c>
      <c r="AG21" s="13">
        <f>SUMPRODUCT(INDEX(bcEff,,29),INDEX(tlccQubc,,29))</f>
        <v>2144.0328531550244</v>
      </c>
      <c r="AH21" s="13">
        <f>SUMPRODUCT(INDEX(bcEff,,30),INDEX(tlccQubc,,30))</f>
        <v>2144.0328531550244</v>
      </c>
      <c r="AI21" s="13">
        <f>SUMPRODUCT(INDEX(bcEff,,31),INDEX(tlccQubc,,31))</f>
        <v>2144.0328531550244</v>
      </c>
      <c r="AJ21" s="13">
        <f>SUMPRODUCT(INDEX(bcEff,,32),INDEX(tlccQubc,,32))</f>
        <v>2144.0328531550244</v>
      </c>
      <c r="AK21" s="13">
        <f>SUMPRODUCT(INDEX(bcEff,,33),INDEX(tlccQubc,,33))</f>
        <v>2144.0328531550244</v>
      </c>
      <c r="AL21" s="56">
        <f>SUMPRODUCT(INDEX(bcEff,,34),INDEX(tlccQubc,,34))</f>
        <v>2144.0328531550244</v>
      </c>
      <c r="AM21" s="10"/>
    </row>
    <row r="22" spans="2:39" ht="15">
      <c r="B22" s="10"/>
      <c r="C22" s="16" t="str">
        <f>zEO&amp;" Costs"</f>
        <v>Operating Costs</v>
      </c>
      <c r="D22" s="12" t="str">
        <f>_yearDol &amp; "$"</f>
        <v>2015$</v>
      </c>
      <c r="E22" s="13">
        <f ca="1">SUMPRODUCT(INDEX(bcEff,,1),INDEX(tlccEubc,,1))</f>
        <v>74413.434487443592</v>
      </c>
      <c r="F22" s="13">
        <f ca="1">SUMPRODUCT(INDEX(bcEff,,2),INDEX(tlccEubc,,2))</f>
        <v>75016.891128705203</v>
      </c>
      <c r="G22" s="13">
        <f ca="1">SUMPRODUCT(INDEX(bcEff,,3),INDEX(tlccEubc,,3))</f>
        <v>75602.315404264024</v>
      </c>
      <c r="H22" s="13">
        <f ca="1">SUMPRODUCT(INDEX(bcEff,,4),INDEX(tlccEubc,,4))</f>
        <v>76130.664681441747</v>
      </c>
      <c r="I22" s="13">
        <f ca="1">SUMPRODUCT(INDEX(bcEff,,5),INDEX(tlccEubc,,5))</f>
        <v>76610.2096378235</v>
      </c>
      <c r="J22" s="13">
        <f ca="1">SUMPRODUCT(INDEX(bcEff,,6),INDEX(tlccEubc,,6))</f>
        <v>77092.83963691484</v>
      </c>
      <c r="K22" s="13">
        <f ca="1">SUMPRODUCT(INDEX(bcEff,,7),INDEX(tlccEubc,,7))</f>
        <v>77578.574995401359</v>
      </c>
      <c r="L22" s="13">
        <f ca="1">SUMPRODUCT(INDEX(bcEff,,8),INDEX(tlccEubc,,8))</f>
        <v>78067.436167120279</v>
      </c>
      <c r="M22" s="13">
        <f ca="1">SUMPRODUCT(INDEX(bcEff,,9),INDEX(tlccEubc,,9))</f>
        <v>78559.443744009404</v>
      </c>
      <c r="N22" s="13">
        <f ca="1">SUMPRODUCT(INDEX(bcEff,,10),INDEX(tlccEubc,,10))</f>
        <v>79054.618457063567</v>
      </c>
      <c r="O22" s="13">
        <f ca="1">SUMPRODUCT(INDEX(bcEff,,11),INDEX(tlccEubc,,11))</f>
        <v>79552.981177297086</v>
      </c>
      <c r="P22" s="13">
        <f ca="1">SUMPRODUCT(INDEX(bcEff,,12),INDEX(tlccEubc,,12))</f>
        <v>80054.552916713525</v>
      </c>
      <c r="Q22" s="13">
        <f ca="1">SUMPRODUCT(INDEX(bcEff,,13),INDEX(tlccEubc,,13))</f>
        <v>80559.354829282238</v>
      </c>
      <c r="R22" s="13">
        <f ca="1">SUMPRODUCT(INDEX(bcEff,,14),INDEX(tlccEubc,,14))</f>
        <v>81067.408211921531</v>
      </c>
      <c r="S22" s="13">
        <f ca="1">SUMPRODUCT(INDEX(bcEff,,15),INDEX(tlccEubc,,15))</f>
        <v>81578.734505489381</v>
      </c>
      <c r="T22" s="13">
        <f ca="1">SUMPRODUCT(INDEX(bcEff,,16),INDEX(tlccEubc,,16))</f>
        <v>82093.355295780522</v>
      </c>
      <c r="U22" s="13">
        <f ca="1">SUMPRODUCT(INDEX(bcEff,,17),INDEX(tlccEubc,,17))</f>
        <v>82611.292314531267</v>
      </c>
      <c r="V22" s="13">
        <f ca="1">SUMPRODUCT(INDEX(bcEff,,18),INDEX(tlccEubc,,18))</f>
        <v>83132.567440430881</v>
      </c>
      <c r="W22" s="13">
        <f ca="1">SUMPRODUCT(INDEX(bcEff,,19),INDEX(tlccEubc,,19))</f>
        <v>83657.202700140508</v>
      </c>
      <c r="X22" s="13">
        <f ca="1">SUMPRODUCT(INDEX(bcEff,,20),INDEX(tlccEubc,,20))</f>
        <v>84185.220269319252</v>
      </c>
      <c r="Y22" s="13">
        <f ca="1">SUMPRODUCT(INDEX(bcEff,,21),INDEX(tlccEubc,,21))</f>
        <v>84716.642473657383</v>
      </c>
      <c r="Z22" s="13">
        <f ca="1">SUMPRODUCT(INDEX(bcEff,,22),INDEX(tlccEubc,,22))</f>
        <v>85251.491789917054</v>
      </c>
      <c r="AA22" s="13">
        <f ca="1">SUMPRODUCT(INDEX(bcEff,,23),INDEX(tlccEubc,,23))</f>
        <v>85789.790846980468</v>
      </c>
      <c r="AB22" s="13">
        <f ca="1">SUMPRODUCT(INDEX(bcEff,,24),INDEX(tlccEubc,,24))</f>
        <v>86331.562426905264</v>
      </c>
      <c r="AC22" s="13">
        <f ca="1">SUMPRODUCT(INDEX(bcEff,,25),INDEX(tlccEubc,,25))</f>
        <v>86876.829465987452</v>
      </c>
      <c r="AD22" s="13">
        <f ca="1">SUMPRODUCT(INDEX(bcEff,,26),INDEX(tlccEubc,,26))</f>
        <v>87425.615055832255</v>
      </c>
      <c r="AE22" s="13">
        <f ca="1">SUMPRODUCT(INDEX(bcEff,,27),INDEX(tlccEubc,,27))</f>
        <v>87977.942444431945</v>
      </c>
      <c r="AF22" s="13">
        <f ca="1">SUMPRODUCT(INDEX(bcEff,,28),INDEX(tlccEubc,,28))</f>
        <v>88533.835037251934</v>
      </c>
      <c r="AG22" s="13">
        <f ca="1">SUMPRODUCT(INDEX(bcEff,,29),INDEX(tlccEubc,,29))</f>
        <v>89093.316398324227</v>
      </c>
      <c r="AH22" s="13">
        <f ca="1">SUMPRODUCT(INDEX(bcEff,,30),INDEX(tlccEubc,,30))</f>
        <v>89656.410251348731</v>
      </c>
      <c r="AI22" s="13">
        <f ca="1">SUMPRODUCT(INDEX(bcEff,,31),INDEX(tlccEubc,,31))</f>
        <v>90223.140480802424</v>
      </c>
      <c r="AJ22" s="13">
        <f ca="1">SUMPRODUCT(INDEX(bcEff,,32),INDEX(tlccEubc,,32))</f>
        <v>90793.53113305656</v>
      </c>
      <c r="AK22" s="13">
        <f ca="1">SUMPRODUCT(INDEX(bcEff,,33),INDEX(tlccEubc,,33))</f>
        <v>91367.606417501389</v>
      </c>
      <c r="AL22" s="56">
        <f ca="1">SUMPRODUCT(INDEX(bcEff,,34),INDEX(tlccEubc,,34))</f>
        <v>91945.390707679442</v>
      </c>
      <c r="AM22" s="10"/>
    </row>
    <row r="23" spans="2:39" ht="15">
      <c r="B23" s="10"/>
      <c r="C23" s="16" t="s">
        <v>79</v>
      </c>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5"/>
      <c r="AM23" s="10"/>
    </row>
    <row r="24" spans="2:39" ht="15">
      <c r="B24" s="10"/>
      <c r="C24" s="28" t="str">
        <f>INDEX(_fuel,1)</f>
        <v>Electricity</v>
      </c>
      <c r="D24" s="12" t="s">
        <v>83</v>
      </c>
      <c r="E24" s="39">
        <f ca="1">SUMPRODUCT(INDEX(bcEff,,1),INDEX(tlccFubcElec,,1))</f>
        <v>15700.075470133848</v>
      </c>
      <c r="F24" s="39">
        <f ca="1">SUMPRODUCT(INDEX(bcEff,,2),INDEX(tlccFubcElec,,2))</f>
        <v>15595.463312390406</v>
      </c>
      <c r="G24" s="39">
        <f ca="1">SUMPRODUCT(INDEX(bcEff,,3),INDEX(tlccFubcElec,,3))</f>
        <v>15502.897388691381</v>
      </c>
      <c r="H24" s="39">
        <f ca="1">SUMPRODUCT(INDEX(bcEff,,4),INDEX(tlccFubcElec,,4))</f>
        <v>15414.581204828053</v>
      </c>
      <c r="I24" s="39">
        <f ca="1">SUMPRODUCT(INDEX(bcEff,,5),INDEX(tlccFubcElec,,5))</f>
        <v>15337.00654740404</v>
      </c>
      <c r="J24" s="39">
        <f ca="1">SUMPRODUCT(INDEX(bcEff,,6),INDEX(tlccFubcElec,,6))</f>
        <v>15276.551705239177</v>
      </c>
      <c r="K24" s="39">
        <f ca="1">SUMPRODUCT(INDEX(bcEff,,7),INDEX(tlccFubcElec,,7))</f>
        <v>15226.475600528302</v>
      </c>
      <c r="L24" s="39">
        <f ca="1">SUMPRODUCT(INDEX(bcEff,,8),INDEX(tlccFubcElec,,8))</f>
        <v>15175.909933667877</v>
      </c>
      <c r="M24" s="39">
        <f ca="1">SUMPRODUCT(INDEX(bcEff,,9),INDEX(tlccFubcElec,,9))</f>
        <v>15135.13324360683</v>
      </c>
      <c r="N24" s="39">
        <f ca="1">SUMPRODUCT(INDEX(bcEff,,10),INDEX(tlccFubcElec,,10))</f>
        <v>15106.702901752738</v>
      </c>
      <c r="O24" s="39">
        <f ca="1">SUMPRODUCT(INDEX(bcEff,,11),INDEX(tlccFubcElec,,11))</f>
        <v>15085.577934101142</v>
      </c>
      <c r="P24" s="39">
        <f ca="1">SUMPRODUCT(INDEX(bcEff,,12),INDEX(tlccFubcElec,,12))</f>
        <v>15067.636160849699</v>
      </c>
      <c r="Q24" s="39">
        <f ca="1">SUMPRODUCT(INDEX(bcEff,,13),INDEX(tlccFubcElec,,13))</f>
        <v>15054.25001870167</v>
      </c>
      <c r="R24" s="39">
        <f ca="1">SUMPRODUCT(INDEX(bcEff,,14),INDEX(tlccFubcElec,,14))</f>
        <v>15043.948725972406</v>
      </c>
      <c r="S24" s="39">
        <f ca="1">SUMPRODUCT(INDEX(bcEff,,15),INDEX(tlccFubcElec,,15))</f>
        <v>15042.083400616209</v>
      </c>
      <c r="T24" s="39">
        <f ca="1">SUMPRODUCT(INDEX(bcEff,,16),INDEX(tlccFubcElec,,16))</f>
        <v>15043.800686097762</v>
      </c>
      <c r="U24" s="39">
        <f ca="1">SUMPRODUCT(INDEX(bcEff,,17),INDEX(tlccFubcElec,,17))</f>
        <v>15046.636950133541</v>
      </c>
      <c r="V24" s="39">
        <f ca="1">SUMPRODUCT(INDEX(bcEff,,18),INDEX(tlccFubcElec,,18))</f>
        <v>15051.015152292375</v>
      </c>
      <c r="W24" s="39">
        <f ca="1">SUMPRODUCT(INDEX(bcEff,,19),INDEX(tlccFubcElec,,19))</f>
        <v>15055.284765095905</v>
      </c>
      <c r="X24" s="39">
        <f ca="1">SUMPRODUCT(INDEX(bcEff,,20),INDEX(tlccFubcElec,,20))</f>
        <v>15058.848406093524</v>
      </c>
      <c r="Y24" s="39">
        <f ca="1">SUMPRODUCT(INDEX(bcEff,,21),INDEX(tlccFubcElec,,21))</f>
        <v>15061.219518649141</v>
      </c>
      <c r="Z24" s="39">
        <f ca="1">SUMPRODUCT(INDEX(bcEff,,22),INDEX(tlccFubcElec,,22))</f>
        <v>15062.838906748224</v>
      </c>
      <c r="AA24" s="39">
        <f ca="1">SUMPRODUCT(INDEX(bcEff,,23),INDEX(tlccFubcElec,,23))</f>
        <v>15062.838906748224</v>
      </c>
      <c r="AB24" s="39">
        <f ca="1">SUMPRODUCT(INDEX(bcEff,,24),INDEX(tlccFubcElec,,24))</f>
        <v>15062.838906748224</v>
      </c>
      <c r="AC24" s="39">
        <f ca="1">SUMPRODUCT(INDEX(bcEff,,25),INDEX(tlccFubcElec,,25))</f>
        <v>15062.838906748224</v>
      </c>
      <c r="AD24" s="39">
        <f ca="1">SUMPRODUCT(INDEX(bcEff,,26),INDEX(tlccFubcElec,,26))</f>
        <v>15062.838906748224</v>
      </c>
      <c r="AE24" s="39">
        <f ca="1">SUMPRODUCT(INDEX(bcEff,,27),INDEX(tlccFubcElec,,27))</f>
        <v>15062.838906748224</v>
      </c>
      <c r="AF24" s="39">
        <f ca="1">SUMPRODUCT(INDEX(bcEff,,28),INDEX(tlccFubcElec,,28))</f>
        <v>15062.838906748224</v>
      </c>
      <c r="AG24" s="39">
        <f ca="1">SUMPRODUCT(INDEX(bcEff,,29),INDEX(tlccFubcElec,,29))</f>
        <v>15062.838906748224</v>
      </c>
      <c r="AH24" s="39">
        <f ca="1">SUMPRODUCT(INDEX(bcEff,,30),INDEX(tlccFubcElec,,30))</f>
        <v>15062.838906748224</v>
      </c>
      <c r="AI24" s="39">
        <f ca="1">SUMPRODUCT(INDEX(bcEff,,31),INDEX(tlccFubcElec,,31))</f>
        <v>15062.838906748224</v>
      </c>
      <c r="AJ24" s="39">
        <f ca="1">SUMPRODUCT(INDEX(bcEff,,32),INDEX(tlccFubcElec,,32))</f>
        <v>15062.838906748224</v>
      </c>
      <c r="AK24" s="39">
        <f ca="1">SUMPRODUCT(INDEX(bcEff,,33),INDEX(tlccFubcElec,,33))</f>
        <v>15062.838906748224</v>
      </c>
      <c r="AL24" s="40">
        <f ca="1">SUMPRODUCT(INDEX(bcEff,,34),INDEX(tlccFubcElec,,34))</f>
        <v>15062.838906748224</v>
      </c>
      <c r="AM24" s="10"/>
    </row>
    <row r="25" spans="2:39" ht="15">
      <c r="B25" s="10"/>
      <c r="C25" s="41" t="str">
        <f ca="1">"Stds Case (CSL " &amp; stdCSL &amp; "): " &amp; INDEX(_doName,6,stdCSL+1)</f>
        <v>Stds Case (CSL 5): EL 5</v>
      </c>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3"/>
      <c r="AM25" s="10"/>
    </row>
    <row r="26" spans="2:39" ht="15">
      <c r="B26" s="10"/>
      <c r="C26" s="16" t="s">
        <v>69</v>
      </c>
      <c r="D26" s="12" t="str">
        <f>_yearDol &amp; "$"</f>
        <v>2015$</v>
      </c>
      <c r="E26" s="13">
        <f>SUMPRODUCT(INDEX(polEff,,1),INDEX(IF($E$19&lt;yearC,tlccQubc,tlccQupol),,1))</f>
        <v>2144.0328531550244</v>
      </c>
      <c r="F26" s="13">
        <f>SUMPRODUCT(INDEX(polEff,,2),INDEX(IF($F$19&lt;yearC,tlccQubc,tlccQupol),,2))</f>
        <v>2144.0328531550244</v>
      </c>
      <c r="G26" s="13">
        <f>SUMPRODUCT(INDEX(polEff,,3),INDEX(IF($G$19&lt;yearC,tlccQubc,tlccQupol),,3))</f>
        <v>2144.0328531550244</v>
      </c>
      <c r="H26" s="13">
        <f ca="1">SUMPRODUCT(INDEX(polEff,,4),INDEX(IF($H$19&lt;yearC,tlccQubc,tlccQupol),,4))</f>
        <v>2584.3679624837114</v>
      </c>
      <c r="I26" s="13">
        <f ca="1">SUMPRODUCT(INDEX(polEff,,5),INDEX(IF($I$19&lt;yearC,tlccQubc,tlccQupol),,5))</f>
        <v>2584.3679624837114</v>
      </c>
      <c r="J26" s="13">
        <f ca="1">SUMPRODUCT(INDEX(polEff,,6),INDEX(tlccQupol,,6))</f>
        <v>2584.3679624837114</v>
      </c>
      <c r="K26" s="13">
        <f ca="1">SUMPRODUCT(INDEX(polEff,,7),INDEX(tlccQupol,,7))</f>
        <v>2584.3679624837114</v>
      </c>
      <c r="L26" s="13">
        <f ca="1">SUMPRODUCT(INDEX(polEff,,8),INDEX(tlccQupol,,8))</f>
        <v>2584.3679624837114</v>
      </c>
      <c r="M26" s="13">
        <f ca="1">SUMPRODUCT(INDEX(polEff,,9),INDEX(tlccQupol,,9))</f>
        <v>2584.3679624837114</v>
      </c>
      <c r="N26" s="13">
        <f ca="1">SUMPRODUCT(INDEX(polEff,,10),INDEX(tlccQupol,,10))</f>
        <v>2584.3679624837114</v>
      </c>
      <c r="O26" s="13">
        <f ca="1">SUMPRODUCT(INDEX(polEff,,11),INDEX(tlccQupol,,11))</f>
        <v>2584.3679624837114</v>
      </c>
      <c r="P26" s="13">
        <f ca="1">SUMPRODUCT(INDEX(polEff,,12),INDEX(tlccQupol,,12))</f>
        <v>2584.3679624837114</v>
      </c>
      <c r="Q26" s="13">
        <f ca="1">SUMPRODUCT(INDEX(polEff,,13),INDEX(tlccQupol,,13))</f>
        <v>2584.3679624837114</v>
      </c>
      <c r="R26" s="13">
        <f ca="1">SUMPRODUCT(INDEX(polEff,,14),INDEX(tlccQupol,,14))</f>
        <v>2584.3679624837114</v>
      </c>
      <c r="S26" s="13">
        <f ca="1">SUMPRODUCT(INDEX(polEff,,15),INDEX(tlccQupol,,15))</f>
        <v>2584.3679624837114</v>
      </c>
      <c r="T26" s="13">
        <f ca="1">SUMPRODUCT(INDEX(polEff,,16),INDEX(tlccQupol,,16))</f>
        <v>2584.3679624837114</v>
      </c>
      <c r="U26" s="13">
        <f ca="1">SUMPRODUCT(INDEX(polEff,,17),INDEX(tlccQupol,,17))</f>
        <v>2584.3679624837114</v>
      </c>
      <c r="V26" s="13">
        <f ca="1">SUMPRODUCT(INDEX(polEff,,18),INDEX(tlccQupol,,18))</f>
        <v>2584.3679624837114</v>
      </c>
      <c r="W26" s="13">
        <f ca="1">SUMPRODUCT(INDEX(polEff,,19),INDEX(tlccQupol,,19))</f>
        <v>2584.3679624837114</v>
      </c>
      <c r="X26" s="13">
        <f ca="1">SUMPRODUCT(INDEX(polEff,,20),INDEX(tlccQupol,,20))</f>
        <v>2584.3679624837114</v>
      </c>
      <c r="Y26" s="13">
        <f ca="1">SUMPRODUCT(INDEX(polEff,,21),INDEX(tlccQupol,,21))</f>
        <v>2584.3679624837114</v>
      </c>
      <c r="Z26" s="13">
        <f ca="1">SUMPRODUCT(INDEX(polEff,,22),INDEX(tlccQupol,,22))</f>
        <v>2584.3679624837114</v>
      </c>
      <c r="AA26" s="13">
        <f ca="1">SUMPRODUCT(INDEX(polEff,,23),INDEX(tlccQupol,,23))</f>
        <v>2584.3679624837114</v>
      </c>
      <c r="AB26" s="13">
        <f ca="1">SUMPRODUCT(INDEX(polEff,,24),INDEX(tlccQupol,,24))</f>
        <v>2584.3679624837114</v>
      </c>
      <c r="AC26" s="13">
        <f ca="1">SUMPRODUCT(INDEX(polEff,,25),INDEX(tlccQupol,,25))</f>
        <v>2584.3679624837114</v>
      </c>
      <c r="AD26" s="13">
        <f ca="1">SUMPRODUCT(INDEX(polEff,,26),INDEX(tlccQupol,,26))</f>
        <v>2584.3679624837114</v>
      </c>
      <c r="AE26" s="13">
        <f ca="1">SUMPRODUCT(INDEX(polEff,,27),INDEX(tlccQupol,,27))</f>
        <v>2584.3679624837114</v>
      </c>
      <c r="AF26" s="13">
        <f ca="1">SUMPRODUCT(INDEX(polEff,,28),INDEX(tlccQupol,,28))</f>
        <v>2584.3679624837114</v>
      </c>
      <c r="AG26" s="13">
        <f ca="1">SUMPRODUCT(INDEX(polEff,,29),INDEX(tlccQupol,,29))</f>
        <v>2584.3679624837114</v>
      </c>
      <c r="AH26" s="13">
        <f ca="1">SUMPRODUCT(INDEX(polEff,,30),INDEX(tlccQupol,,30))</f>
        <v>2584.3679624837114</v>
      </c>
      <c r="AI26" s="13">
        <f ca="1">SUMPRODUCT(INDEX(polEff,,31),INDEX(tlccQupol,,31))</f>
        <v>2584.3679624837114</v>
      </c>
      <c r="AJ26" s="13">
        <f ca="1">SUMPRODUCT(INDEX(polEff,,32),INDEX(tlccQupol,,32))</f>
        <v>2584.3679624837114</v>
      </c>
      <c r="AK26" s="13">
        <f ca="1">SUMPRODUCT(INDEX(polEff,,33),INDEX(tlccQupol,,33))</f>
        <v>2584.3679624837114</v>
      </c>
      <c r="AL26" s="56">
        <f ca="1">SUMPRODUCT(INDEX(polEff,,34),INDEX(tlccQupol,,34))</f>
        <v>2584.3679624837114</v>
      </c>
      <c r="AM26" s="10"/>
    </row>
    <row r="27" spans="2:39" ht="15">
      <c r="B27" s="10"/>
      <c r="C27" s="16" t="str">
        <f>zEO&amp;" Costs"</f>
        <v>Operating Costs</v>
      </c>
      <c r="D27" s="12" t="str">
        <f>_yearDol &amp; "$"</f>
        <v>2015$</v>
      </c>
      <c r="E27" s="13">
        <f ca="1">SUMPRODUCT(INDEX(polEff,,1),INDEX(IF($E$19&lt;yearC,tlccEubc,tlccEupol),,1))</f>
        <v>74413.434487443592</v>
      </c>
      <c r="F27" s="13">
        <f ca="1">SUMPRODUCT(INDEX(polEff,,2),INDEX(IF($F$19&lt;yearC,tlccEubc,tlccEupol),,2))</f>
        <v>75016.891128705203</v>
      </c>
      <c r="G27" s="13">
        <f ca="1">SUMPRODUCT(INDEX(polEff,,3),INDEX(IF($G$19&lt;yearC,tlccEubc,tlccEupol),,3))</f>
        <v>75602.315404264024</v>
      </c>
      <c r="H27" s="13">
        <f ca="1">SUMPRODUCT(INDEX(polEff,,4),INDEX(IF($H$19&lt;yearC,tlccEubc,tlccEupol),,4))</f>
        <v>70625.302653366991</v>
      </c>
      <c r="I27" s="13">
        <f ca="1">SUMPRODUCT(INDEX(polEff,,5),INDEX(IF($I$19&lt;yearC,tlccEubc,tlccEupol),,5))</f>
        <v>71070.169486226936</v>
      </c>
      <c r="J27" s="13">
        <f ca="1">SUMPRODUCT(INDEX(polEff,,6),INDEX(tlccEupol,,6))</f>
        <v>71517.898268026634</v>
      </c>
      <c r="K27" s="13">
        <f ca="1">SUMPRODUCT(INDEX(polEff,,7),INDEX(tlccEupol,,7))</f>
        <v>71968.507846257649</v>
      </c>
      <c r="L27" s="13">
        <f ca="1">SUMPRODUCT(INDEX(polEff,,8),INDEX(tlccEupol,,8))</f>
        <v>72422.017195645312</v>
      </c>
      <c r="M27" s="13">
        <f ca="1">SUMPRODUCT(INDEX(polEff,,9),INDEX(tlccEupol,,9))</f>
        <v>72878.445419028605</v>
      </c>
      <c r="N27" s="13">
        <f ca="1">SUMPRODUCT(INDEX(polEff,,10),INDEX(tlccEupol,,10))</f>
        <v>73337.811748247957</v>
      </c>
      <c r="O27" s="13">
        <f ca="1">SUMPRODUCT(INDEX(polEff,,11),INDEX(tlccEupol,,11))</f>
        <v>73800.135545037672</v>
      </c>
      <c r="P27" s="13">
        <f ca="1">SUMPRODUCT(INDEX(polEff,,12),INDEX(tlccEupol,,12))</f>
        <v>74265.436301925743</v>
      </c>
      <c r="Q27" s="13">
        <f ca="1">SUMPRODUCT(INDEX(polEff,,13),INDEX(tlccEupol,,13))</f>
        <v>74733.733643139523</v>
      </c>
      <c r="R27" s="13">
        <f ca="1">SUMPRODUCT(INDEX(polEff,,14),INDEX(tlccEupol,,14))</f>
        <v>75205.047325518477</v>
      </c>
      <c r="S27" s="13">
        <f ca="1">SUMPRODUCT(INDEX(polEff,,15),INDEX(tlccEupol,,15))</f>
        <v>75679.397239432437</v>
      </c>
      <c r="T27" s="13">
        <f ca="1">SUMPRODUCT(INDEX(polEff,,16),INDEX(tlccEupol,,16))</f>
        <v>76156.803409707034</v>
      </c>
      <c r="U27" s="13">
        <f ca="1">SUMPRODUCT(INDEX(polEff,,17),INDEX(tlccEupol,,17))</f>
        <v>76637.285996555787</v>
      </c>
      <c r="V27" s="13">
        <f ca="1">SUMPRODUCT(INDEX(polEff,,18),INDEX(tlccEupol,,18))</f>
        <v>77120.865296518255</v>
      </c>
      <c r="W27" s="13">
        <f ca="1">SUMPRODUCT(INDEX(polEff,,19),INDEX(tlccEupol,,19))</f>
        <v>77607.561743405531</v>
      </c>
      <c r="X27" s="13">
        <f ca="1">SUMPRODUCT(INDEX(polEff,,20),INDEX(tlccEupol,,20))</f>
        <v>78097.39590925166</v>
      </c>
      <c r="Y27" s="13">
        <f ca="1">SUMPRODUCT(INDEX(polEff,,21),INDEX(tlccEupol,,21))</f>
        <v>78590.388505272495</v>
      </c>
      <c r="Z27" s="13">
        <f ca="1">SUMPRODUCT(INDEX(polEff,,22),INDEX(tlccEupol,,22))</f>
        <v>79086.560382831274</v>
      </c>
      <c r="AA27" s="13">
        <f ca="1">SUMPRODUCT(INDEX(polEff,,23),INDEX(tlccEupol,,23))</f>
        <v>79585.932534410444</v>
      </c>
      <c r="AB27" s="13">
        <f ca="1">SUMPRODUCT(INDEX(polEff,,24),INDEX(tlccEupol,,24))</f>
        <v>80088.526094591289</v>
      </c>
      <c r="AC27" s="13">
        <f ca="1">SUMPRODUCT(INDEX(polEff,,25),INDEX(tlccEupol,,25))</f>
        <v>80594.3623410398</v>
      </c>
      <c r="AD27" s="13">
        <f ca="1">SUMPRODUCT(INDEX(polEff,,26),INDEX(tlccEupol,,26))</f>
        <v>81103.462695499707</v>
      </c>
      <c r="AE27" s="13">
        <f ca="1">SUMPRODUCT(INDEX(polEff,,27),INDEX(tlccEupol,,27))</f>
        <v>81615.848724793221</v>
      </c>
      <c r="AF27" s="13">
        <f ca="1">SUMPRODUCT(INDEX(polEff,,28),INDEX(tlccEupol,,28))</f>
        <v>82131.542141827624</v>
      </c>
      <c r="AG27" s="13">
        <f ca="1">SUMPRODUCT(INDEX(polEff,,29),INDEX(tlccEupol,,29))</f>
        <v>82650.564806610448</v>
      </c>
      <c r="AH27" s="13">
        <f ca="1">SUMPRODUCT(INDEX(polEff,,30),INDEX(tlccEupol,,30))</f>
        <v>83172.938727270564</v>
      </c>
      <c r="AI27" s="13">
        <f ca="1">SUMPRODUCT(INDEX(polEff,,31),INDEX(tlccEupol,,31))</f>
        <v>83698.68606108753</v>
      </c>
      <c r="AJ27" s="13">
        <f ca="1">SUMPRODUCT(INDEX(polEff,,32),INDEX(tlccEupol,,32))</f>
        <v>84227.829115527697</v>
      </c>
      <c r="AK27" s="13">
        <f ca="1">SUMPRODUCT(INDEX(polEff,,33),INDEX(tlccEupol,,33))</f>
        <v>84760.390349287947</v>
      </c>
      <c r="AL27" s="56">
        <f ca="1">SUMPRODUCT(INDEX(polEff,,34),INDEX(tlccEupol,,34))</f>
        <v>85296.392373346651</v>
      </c>
      <c r="AM27" s="10"/>
    </row>
    <row r="28" spans="2:39" ht="15">
      <c r="B28" s="10"/>
      <c r="C28" s="16" t="s">
        <v>79</v>
      </c>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5"/>
      <c r="AM28" s="10"/>
    </row>
    <row r="29" spans="2:39" ht="15">
      <c r="B29" s="10"/>
      <c r="C29" s="45" t="str">
        <f>INDEX(_fuel,1)</f>
        <v>Electricity</v>
      </c>
      <c r="D29" s="18" t="s">
        <v>83</v>
      </c>
      <c r="E29" s="49">
        <f ca="1">SUMPRODUCT(INDEX(polEff,,1),INDEX(IF($E$19&lt;yearC,tlccFubcElec,tlccFupolElec),,1))</f>
        <v>15700.075470133848</v>
      </c>
      <c r="F29" s="49">
        <f ca="1">SUMPRODUCT(INDEX(polEff,,2),INDEX(IF($F$19&lt;yearC,tlccFubcElec,tlccFupolElec),,2))</f>
        <v>15595.463312390406</v>
      </c>
      <c r="G29" s="49">
        <f ca="1">SUMPRODUCT(INDEX(polEff,,3),INDEX(IF($G$19&lt;yearC,tlccFubcElec,tlccFupolElec),,3))</f>
        <v>15502.897388691381</v>
      </c>
      <c r="H29" s="49">
        <f ca="1">SUMPRODUCT(INDEX(polEff,,4),INDEX(IF($H$19&lt;yearC,tlccFubcElec,tlccFupolElec),,4))</f>
        <v>14299.881229478669</v>
      </c>
      <c r="I29" s="49">
        <f ca="1">SUMPRODUCT(INDEX(polEff,,5),INDEX(IF($I$19&lt;yearC,tlccFubcElec,tlccFupolElec),,5))</f>
        <v>14227.916355906013</v>
      </c>
      <c r="J29" s="49">
        <f ca="1">SUMPRODUCT(INDEX(polEff,,6),INDEX(tlccFupolElec,,6))</f>
        <v>14171.833284221027</v>
      </c>
      <c r="K29" s="49">
        <f ca="1">SUMPRODUCT(INDEX(polEff,,7),INDEX(tlccFupolElec,,7))</f>
        <v>14125.37841527031</v>
      </c>
      <c r="L29" s="49">
        <f ca="1">SUMPRODUCT(INDEX(polEff,,8),INDEX(tlccFupolElec,,8))</f>
        <v>14078.46938668334</v>
      </c>
      <c r="M29" s="49">
        <f ca="1">SUMPRODUCT(INDEX(polEff,,9),INDEX(tlccFupolElec,,9))</f>
        <v>14040.641448508697</v>
      </c>
      <c r="N29" s="49">
        <f ca="1">SUMPRODUCT(INDEX(polEff,,10),INDEX(tlccFupolElec,,10))</f>
        <v>14014.267036747213</v>
      </c>
      <c r="O29" s="49">
        <f ca="1">SUMPRODUCT(INDEX(polEff,,11),INDEX(tlccFupolElec,,11))</f>
        <v>13994.669713642526</v>
      </c>
      <c r="P29" s="49">
        <f ca="1">SUMPRODUCT(INDEX(polEff,,12),INDEX(tlccFupolElec,,12))</f>
        <v>13978.025393363396</v>
      </c>
      <c r="Q29" s="49">
        <f ca="1">SUMPRODUCT(INDEX(polEff,,13),INDEX(tlccFupolElec,,13))</f>
        <v>13965.607265339406</v>
      </c>
      <c r="R29" s="49">
        <f ca="1">SUMPRODUCT(INDEX(polEff,,14),INDEX(tlccFupolElec,,14))</f>
        <v>13956.050906942044</v>
      </c>
      <c r="S29" s="49">
        <f ca="1">SUMPRODUCT(INDEX(polEff,,15),INDEX(tlccFupolElec,,15))</f>
        <v>13954.320471927722</v>
      </c>
      <c r="T29" s="49">
        <f ca="1">SUMPRODUCT(INDEX(polEff,,16),INDEX(tlccFupolElec,,16))</f>
        <v>13955.913572518457</v>
      </c>
      <c r="U29" s="49">
        <f ca="1">SUMPRODUCT(INDEX(polEff,,17),INDEX(tlccFupolElec,,17))</f>
        <v>13958.544733125942</v>
      </c>
      <c r="V29" s="49">
        <f ca="1">SUMPRODUCT(INDEX(polEff,,18),INDEX(tlccFupolElec,,18))</f>
        <v>13962.606327147734</v>
      </c>
      <c r="W29" s="49">
        <f ca="1">SUMPRODUCT(INDEX(polEff,,19),INDEX(tlccFupolElec,,19))</f>
        <v>13966.567184414962</v>
      </c>
      <c r="X29" s="49">
        <f ca="1">SUMPRODUCT(INDEX(polEff,,20),INDEX(tlccFupolElec,,20))</f>
        <v>13969.873121977149</v>
      </c>
      <c r="Y29" s="49">
        <f ca="1">SUMPRODUCT(INDEX(polEff,,21),INDEX(tlccFupolElec,,21))</f>
        <v>13972.072768368867</v>
      </c>
      <c r="Z29" s="49">
        <f ca="1">SUMPRODUCT(INDEX(polEff,,22),INDEX(tlccFupolElec,,22))</f>
        <v>13973.575050991636</v>
      </c>
      <c r="AA29" s="49">
        <f ca="1">SUMPRODUCT(INDEX(polEff,,23),INDEX(tlccFupolElec,,23))</f>
        <v>13973.575050991636</v>
      </c>
      <c r="AB29" s="49">
        <f ca="1">SUMPRODUCT(INDEX(polEff,,24),INDEX(tlccFupolElec,,24))</f>
        <v>13973.575050991636</v>
      </c>
      <c r="AC29" s="49">
        <f ca="1">SUMPRODUCT(INDEX(polEff,,25),INDEX(tlccFupolElec,,25))</f>
        <v>13973.575050991636</v>
      </c>
      <c r="AD29" s="49">
        <f ca="1">SUMPRODUCT(INDEX(polEff,,26),INDEX(tlccFupolElec,,26))</f>
        <v>13973.575050991636</v>
      </c>
      <c r="AE29" s="49">
        <f ca="1">SUMPRODUCT(INDEX(polEff,,27),INDEX(tlccFupolElec,,27))</f>
        <v>13973.575050991636</v>
      </c>
      <c r="AF29" s="49">
        <f ca="1">SUMPRODUCT(INDEX(polEff,,28),INDEX(tlccFupolElec,,28))</f>
        <v>13973.575050991636</v>
      </c>
      <c r="AG29" s="49">
        <f ca="1">SUMPRODUCT(INDEX(polEff,,29),INDEX(tlccFupolElec,,29))</f>
        <v>13973.575050991636</v>
      </c>
      <c r="AH29" s="49">
        <f ca="1">SUMPRODUCT(INDEX(polEff,,30),INDEX(tlccFupolElec,,30))</f>
        <v>13973.575050991636</v>
      </c>
      <c r="AI29" s="49">
        <f ca="1">SUMPRODUCT(INDEX(polEff,,31),INDEX(tlccFupolElec,,31))</f>
        <v>13973.575050991636</v>
      </c>
      <c r="AJ29" s="49">
        <f ca="1">SUMPRODUCT(INDEX(polEff,,32),INDEX(tlccFupolElec,,32))</f>
        <v>13973.575050991636</v>
      </c>
      <c r="AK29" s="49">
        <f ca="1">SUMPRODUCT(INDEX(polEff,,33),INDEX(tlccFupolElec,,33))</f>
        <v>13973.575050991636</v>
      </c>
      <c r="AL29" s="50">
        <f ca="1">SUMPRODUCT(INDEX(polEff,,34),INDEX(tlccFupolElec,,34))</f>
        <v>13973.575050991636</v>
      </c>
      <c r="AM29" s="10"/>
    </row>
    <row r="30" spans="2:39" ht="15">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row>
    <row r="31" spans="2:39" ht="15">
      <c r="B31" s="10"/>
      <c r="C31" s="22" t="s">
        <v>91</v>
      </c>
      <c r="D31" s="23"/>
      <c r="E31" s="24">
        <f t="array" ref="E31:AL31">_yS</f>
        <v>2019</v>
      </c>
      <c r="F31" s="24">
        <v>2020</v>
      </c>
      <c r="G31" s="24">
        <v>2021</v>
      </c>
      <c r="H31" s="24">
        <v>2022</v>
      </c>
      <c r="I31" s="24">
        <v>2023</v>
      </c>
      <c r="J31" s="24">
        <v>2024</v>
      </c>
      <c r="K31" s="24">
        <v>2025</v>
      </c>
      <c r="L31" s="24">
        <v>2026</v>
      </c>
      <c r="M31" s="24">
        <v>2027</v>
      </c>
      <c r="N31" s="24">
        <v>2028</v>
      </c>
      <c r="O31" s="24">
        <v>2029</v>
      </c>
      <c r="P31" s="24">
        <v>2030</v>
      </c>
      <c r="Q31" s="24">
        <v>2031</v>
      </c>
      <c r="R31" s="24">
        <v>2032</v>
      </c>
      <c r="S31" s="24">
        <v>2033</v>
      </c>
      <c r="T31" s="24">
        <v>2034</v>
      </c>
      <c r="U31" s="24">
        <v>2035</v>
      </c>
      <c r="V31" s="24">
        <v>2036</v>
      </c>
      <c r="W31" s="24">
        <v>2037</v>
      </c>
      <c r="X31" s="24">
        <v>2038</v>
      </c>
      <c r="Y31" s="24">
        <v>2039</v>
      </c>
      <c r="Z31" s="24">
        <v>2040</v>
      </c>
      <c r="AA31" s="24">
        <v>2041</v>
      </c>
      <c r="AB31" s="24">
        <v>2042</v>
      </c>
      <c r="AC31" s="24">
        <v>2043</v>
      </c>
      <c r="AD31" s="24">
        <v>2044</v>
      </c>
      <c r="AE31" s="24">
        <v>2045</v>
      </c>
      <c r="AF31" s="24">
        <v>2046</v>
      </c>
      <c r="AG31" s="24">
        <v>2047</v>
      </c>
      <c r="AH31" s="24">
        <v>2048</v>
      </c>
      <c r="AI31" s="24">
        <v>2049</v>
      </c>
      <c r="AJ31" s="24">
        <v>2050</v>
      </c>
      <c r="AK31" s="24">
        <v>2051</v>
      </c>
      <c r="AL31" s="25">
        <v>2052</v>
      </c>
      <c r="AM31" s="10"/>
    </row>
    <row r="32" spans="2:39" ht="15">
      <c r="B32" s="10"/>
      <c r="C32" s="11" t="str">
        <f>"EL 0: " &amp; INDEX(_doName,6,1)</f>
        <v>EL 0: EL 5</v>
      </c>
      <c r="D32" s="12" t="s">
        <v>47</v>
      </c>
      <c r="E32" s="29">
        <f t="array" ref="E32:E38">IF($E$31&lt;yearC,INDEX(refEff,,1),MMULT(mRoll,INDEX(refEff,,1))+INDEX(elastAdjust,,1))</f>
        <v>0.10100000000000001</v>
      </c>
      <c r="F32" s="29">
        <f t="array" ref="F32:F38">IF($F$31&lt;yearC,INDEX(refEff,,2),MMULT(mRoll,INDEX(refEff,,2))+INDEX(elastAdjust,,2))</f>
        <v>0.10100000000000001</v>
      </c>
      <c r="G32" s="29">
        <f t="array" ref="G32:G38">IF($G$31&lt;yearC,INDEX(refEff,,3),MMULT(mRoll,INDEX(refEff,,3))+INDEX(elastAdjust,,3))</f>
        <v>0.10100000000000001</v>
      </c>
      <c r="H32" s="29">
        <f t="array" aca="1" ref="H32:H38" ca="1">IF($H$31&lt;yearC,INDEX(refEff,,4),MMULT(mRoll,INDEX(refEff,,4))+INDEX(elastAdjust,,4))</f>
        <v>0</v>
      </c>
      <c r="I32" s="29">
        <f t="array" aca="1" ref="I32:I38" ca="1">IF($I$31&lt;yearC,INDEX(refEff,,5),MMULT(mRoll,INDEX(refEff,,5))+INDEX(elastAdjust,,5))</f>
        <v>0</v>
      </c>
      <c r="J32" s="29">
        <f t="array" aca="1" ref="J32:J38" ca="1">MMULT(mRoll,INDEX(refEff,,6))+INDEX(elastAdjust,,6)</f>
        <v>0</v>
      </c>
      <c r="K32" s="29">
        <f t="array" aca="1" ref="K32:K38" ca="1">MMULT(mRoll,INDEX(refEff,,7))+INDEX(elastAdjust,,7)</f>
        <v>0</v>
      </c>
      <c r="L32" s="29">
        <f t="array" aca="1" ref="L32:L38" ca="1">MMULT(mRoll,INDEX(refEff,,8))+INDEX(elastAdjust,,8)</f>
        <v>0</v>
      </c>
      <c r="M32" s="29">
        <f t="array" aca="1" ref="M32:M38" ca="1">MMULT(mRoll,INDEX(refEff,,9))+INDEX(elastAdjust,,9)</f>
        <v>0</v>
      </c>
      <c r="N32" s="29">
        <f t="array" aca="1" ref="N32:N38" ca="1">MMULT(mRoll,INDEX(refEff,,10))+INDEX(elastAdjust,,10)</f>
        <v>0</v>
      </c>
      <c r="O32" s="29">
        <f t="array" aca="1" ref="O32:O38" ca="1">MMULT(mRoll,INDEX(refEff,,11))+INDEX(elastAdjust,,11)</f>
        <v>0</v>
      </c>
      <c r="P32" s="29">
        <f t="array" aca="1" ref="P32:P38" ca="1">MMULT(mRoll,INDEX(refEff,,12))+INDEX(elastAdjust,,12)</f>
        <v>0</v>
      </c>
      <c r="Q32" s="29">
        <f t="array" aca="1" ref="Q32:Q38" ca="1">MMULT(mRoll,INDEX(refEff,,13))+INDEX(elastAdjust,,13)</f>
        <v>0</v>
      </c>
      <c r="R32" s="29">
        <f t="array" aca="1" ref="R32:R38" ca="1">MMULT(mRoll,INDEX(refEff,,14))+INDEX(elastAdjust,,14)</f>
        <v>0</v>
      </c>
      <c r="S32" s="29">
        <f t="array" aca="1" ref="S32:S38" ca="1">MMULT(mRoll,INDEX(refEff,,15))+INDEX(elastAdjust,,15)</f>
        <v>0</v>
      </c>
      <c r="T32" s="29">
        <f t="array" aca="1" ref="T32:T38" ca="1">MMULT(mRoll,INDEX(refEff,,16))+INDEX(elastAdjust,,16)</f>
        <v>0</v>
      </c>
      <c r="U32" s="29">
        <f t="array" aca="1" ref="U32:U38" ca="1">MMULT(mRoll,INDEX(refEff,,17))+INDEX(elastAdjust,,17)</f>
        <v>0</v>
      </c>
      <c r="V32" s="29">
        <f t="array" aca="1" ref="V32:V38" ca="1">MMULT(mRoll,INDEX(refEff,,18))+INDEX(elastAdjust,,18)</f>
        <v>0</v>
      </c>
      <c r="W32" s="29">
        <f t="array" aca="1" ref="W32:W38" ca="1">MMULT(mRoll,INDEX(refEff,,19))+INDEX(elastAdjust,,19)</f>
        <v>0</v>
      </c>
      <c r="X32" s="29">
        <f t="array" aca="1" ref="X32:X38" ca="1">MMULT(mRoll,INDEX(refEff,,20))+INDEX(elastAdjust,,20)</f>
        <v>0</v>
      </c>
      <c r="Y32" s="29">
        <f t="array" aca="1" ref="Y32:Y38" ca="1">MMULT(mRoll,INDEX(refEff,,21))+INDEX(elastAdjust,,21)</f>
        <v>0</v>
      </c>
      <c r="Z32" s="29">
        <f t="array" aca="1" ref="Z32:Z38" ca="1">MMULT(mRoll,INDEX(refEff,,22))+INDEX(elastAdjust,,22)</f>
        <v>0</v>
      </c>
      <c r="AA32" s="29">
        <f t="array" aca="1" ref="AA32:AA38" ca="1">MMULT(mRoll,INDEX(refEff,,23))+INDEX(elastAdjust,,23)</f>
        <v>0</v>
      </c>
      <c r="AB32" s="29">
        <f t="array" aca="1" ref="AB32:AB38" ca="1">MMULT(mRoll,INDEX(refEff,,24))+INDEX(elastAdjust,,24)</f>
        <v>0</v>
      </c>
      <c r="AC32" s="29">
        <f t="array" aca="1" ref="AC32:AC38" ca="1">MMULT(mRoll,INDEX(refEff,,25))+INDEX(elastAdjust,,25)</f>
        <v>0</v>
      </c>
      <c r="AD32" s="29">
        <f t="array" aca="1" ref="AD32:AD38" ca="1">MMULT(mRoll,INDEX(refEff,,26))+INDEX(elastAdjust,,26)</f>
        <v>0</v>
      </c>
      <c r="AE32" s="29">
        <f t="array" aca="1" ref="AE32:AE38" ca="1">MMULT(mRoll,INDEX(refEff,,27))+INDEX(elastAdjust,,27)</f>
        <v>0</v>
      </c>
      <c r="AF32" s="29">
        <f t="array" aca="1" ref="AF32:AF38" ca="1">MMULT(mRoll,INDEX(refEff,,28))+INDEX(elastAdjust,,28)</f>
        <v>0</v>
      </c>
      <c r="AG32" s="29">
        <f t="array" aca="1" ref="AG32:AG38" ca="1">MMULT(mRoll,INDEX(refEff,,29))+INDEX(elastAdjust,,29)</f>
        <v>0</v>
      </c>
      <c r="AH32" s="29">
        <f t="array" aca="1" ref="AH32:AH38" ca="1">MMULT(mRoll,INDEX(refEff,,30))+INDEX(elastAdjust,,30)</f>
        <v>0</v>
      </c>
      <c r="AI32" s="29">
        <f t="array" aca="1" ref="AI32:AI38" ca="1">MMULT(mRoll,INDEX(refEff,,31))+INDEX(elastAdjust,,31)</f>
        <v>0</v>
      </c>
      <c r="AJ32" s="29">
        <f t="array" aca="1" ref="AJ32:AJ38" ca="1">MMULT(mRoll,INDEX(refEff,,32))+INDEX(elastAdjust,,32)</f>
        <v>0</v>
      </c>
      <c r="AK32" s="29">
        <f t="array" aca="1" ref="AK32:AK38" ca="1">MMULT(mRoll,INDEX(refEff,,33))+INDEX(elastAdjust,,33)</f>
        <v>0</v>
      </c>
      <c r="AL32" s="44">
        <f t="array" aca="1" ref="AL32:AL38" ca="1">MMULT(mRoll,INDEX(refEff,,34))+INDEX(elastAdjust,,34)</f>
        <v>0</v>
      </c>
      <c r="AM32" s="10"/>
    </row>
    <row r="33" spans="2:39" ht="15">
      <c r="B33" s="10"/>
      <c r="C33" s="11" t="str">
        <f>"EL 1: " &amp; INDEX(_doName,6,2)</f>
        <v>EL 1: EL 1</v>
      </c>
      <c r="D33" s="12" t="s">
        <v>47</v>
      </c>
      <c r="E33" s="29">
        <v>4.2999999999999997E-2</v>
      </c>
      <c r="F33" s="29">
        <v>4.2999999999999997E-2</v>
      </c>
      <c r="G33" s="29">
        <v>4.2999999999999997E-2</v>
      </c>
      <c r="H33" s="29">
        <f ca="1"/>
        <v>0</v>
      </c>
      <c r="I33" s="29">
        <f ca="1"/>
        <v>0</v>
      </c>
      <c r="J33" s="29">
        <f ca="1"/>
        <v>0</v>
      </c>
      <c r="K33" s="29">
        <f ca="1"/>
        <v>0</v>
      </c>
      <c r="L33" s="29">
        <f ca="1"/>
        <v>0</v>
      </c>
      <c r="M33" s="29">
        <f ca="1"/>
        <v>0</v>
      </c>
      <c r="N33" s="29">
        <f ca="1"/>
        <v>0</v>
      </c>
      <c r="O33" s="29">
        <f ca="1"/>
        <v>0</v>
      </c>
      <c r="P33" s="29">
        <f ca="1"/>
        <v>0</v>
      </c>
      <c r="Q33" s="29">
        <f ca="1"/>
        <v>0</v>
      </c>
      <c r="R33" s="29">
        <f ca="1"/>
        <v>0</v>
      </c>
      <c r="S33" s="29">
        <f ca="1"/>
        <v>0</v>
      </c>
      <c r="T33" s="29">
        <f ca="1"/>
        <v>0</v>
      </c>
      <c r="U33" s="29">
        <f ca="1"/>
        <v>0</v>
      </c>
      <c r="V33" s="29">
        <f ca="1"/>
        <v>0</v>
      </c>
      <c r="W33" s="29">
        <f ca="1"/>
        <v>0</v>
      </c>
      <c r="X33" s="29">
        <f ca="1"/>
        <v>0</v>
      </c>
      <c r="Y33" s="29">
        <f ca="1"/>
        <v>0</v>
      </c>
      <c r="Z33" s="29">
        <f ca="1"/>
        <v>0</v>
      </c>
      <c r="AA33" s="29">
        <f ca="1"/>
        <v>0</v>
      </c>
      <c r="AB33" s="29">
        <f ca="1"/>
        <v>0</v>
      </c>
      <c r="AC33" s="29">
        <f ca="1"/>
        <v>0</v>
      </c>
      <c r="AD33" s="29">
        <f ca="1"/>
        <v>0</v>
      </c>
      <c r="AE33" s="29">
        <f ca="1"/>
        <v>0</v>
      </c>
      <c r="AF33" s="29">
        <f ca="1"/>
        <v>0</v>
      </c>
      <c r="AG33" s="29">
        <f ca="1"/>
        <v>0</v>
      </c>
      <c r="AH33" s="29">
        <f ca="1"/>
        <v>0</v>
      </c>
      <c r="AI33" s="29">
        <f ca="1"/>
        <v>0</v>
      </c>
      <c r="AJ33" s="29">
        <f ca="1"/>
        <v>0</v>
      </c>
      <c r="AK33" s="29">
        <f ca="1"/>
        <v>0</v>
      </c>
      <c r="AL33" s="44">
        <f ca="1"/>
        <v>0</v>
      </c>
      <c r="AM33" s="10"/>
    </row>
    <row r="34" spans="2:39" ht="15">
      <c r="B34" s="10"/>
      <c r="C34" s="11" t="str">
        <f>"EL 2: " &amp; INDEX(_doName,6,3)</f>
        <v>EL 2: EL 2</v>
      </c>
      <c r="D34" s="12" t="s">
        <v>47</v>
      </c>
      <c r="E34" s="29">
        <v>8.7999999999999995E-2</v>
      </c>
      <c r="F34" s="29">
        <v>8.7999999999999995E-2</v>
      </c>
      <c r="G34" s="29">
        <v>8.7999999999999995E-2</v>
      </c>
      <c r="H34" s="29">
        <f ca="1"/>
        <v>0</v>
      </c>
      <c r="I34" s="29">
        <f ca="1"/>
        <v>0</v>
      </c>
      <c r="J34" s="29">
        <f ca="1"/>
        <v>0</v>
      </c>
      <c r="K34" s="29">
        <f ca="1"/>
        <v>0</v>
      </c>
      <c r="L34" s="29">
        <f ca="1"/>
        <v>0</v>
      </c>
      <c r="M34" s="29">
        <f ca="1"/>
        <v>0</v>
      </c>
      <c r="N34" s="29">
        <f ca="1"/>
        <v>0</v>
      </c>
      <c r="O34" s="29">
        <f ca="1"/>
        <v>0</v>
      </c>
      <c r="P34" s="29">
        <f ca="1"/>
        <v>0</v>
      </c>
      <c r="Q34" s="29">
        <f ca="1"/>
        <v>0</v>
      </c>
      <c r="R34" s="29">
        <f ca="1"/>
        <v>0</v>
      </c>
      <c r="S34" s="29">
        <f ca="1"/>
        <v>0</v>
      </c>
      <c r="T34" s="29">
        <f ca="1"/>
        <v>0</v>
      </c>
      <c r="U34" s="29">
        <f ca="1"/>
        <v>0</v>
      </c>
      <c r="V34" s="29">
        <f ca="1"/>
        <v>0</v>
      </c>
      <c r="W34" s="29">
        <f ca="1"/>
        <v>0</v>
      </c>
      <c r="X34" s="29">
        <f ca="1"/>
        <v>0</v>
      </c>
      <c r="Y34" s="29">
        <f ca="1"/>
        <v>0</v>
      </c>
      <c r="Z34" s="29">
        <f ca="1"/>
        <v>0</v>
      </c>
      <c r="AA34" s="29">
        <f ca="1"/>
        <v>0</v>
      </c>
      <c r="AB34" s="29">
        <f ca="1"/>
        <v>0</v>
      </c>
      <c r="AC34" s="29">
        <f ca="1"/>
        <v>0</v>
      </c>
      <c r="AD34" s="29">
        <f ca="1"/>
        <v>0</v>
      </c>
      <c r="AE34" s="29">
        <f ca="1"/>
        <v>0</v>
      </c>
      <c r="AF34" s="29">
        <f ca="1"/>
        <v>0</v>
      </c>
      <c r="AG34" s="29">
        <f ca="1"/>
        <v>0</v>
      </c>
      <c r="AH34" s="29">
        <f ca="1"/>
        <v>0</v>
      </c>
      <c r="AI34" s="29">
        <f ca="1"/>
        <v>0</v>
      </c>
      <c r="AJ34" s="29">
        <f ca="1"/>
        <v>0</v>
      </c>
      <c r="AK34" s="29">
        <f ca="1"/>
        <v>0</v>
      </c>
      <c r="AL34" s="44">
        <f ca="1"/>
        <v>0</v>
      </c>
      <c r="AM34" s="10"/>
    </row>
    <row r="35" spans="2:39" ht="15">
      <c r="B35" s="10"/>
      <c r="C35" s="11" t="str">
        <f>"EL 3: " &amp; INDEX(_doName,6,4)</f>
        <v>EL 3: EL 3</v>
      </c>
      <c r="D35" s="12" t="s">
        <v>47</v>
      </c>
      <c r="E35" s="29">
        <v>9.6000000000000002E-2</v>
      </c>
      <c r="F35" s="29">
        <v>9.6000000000000002E-2</v>
      </c>
      <c r="G35" s="29">
        <v>9.6000000000000002E-2</v>
      </c>
      <c r="H35" s="29">
        <f ca="1"/>
        <v>0</v>
      </c>
      <c r="I35" s="29">
        <f ca="1"/>
        <v>0</v>
      </c>
      <c r="J35" s="29">
        <f ca="1"/>
        <v>0</v>
      </c>
      <c r="K35" s="29">
        <f ca="1"/>
        <v>0</v>
      </c>
      <c r="L35" s="29">
        <f ca="1"/>
        <v>0</v>
      </c>
      <c r="M35" s="29">
        <f ca="1"/>
        <v>0</v>
      </c>
      <c r="N35" s="29">
        <f ca="1"/>
        <v>0</v>
      </c>
      <c r="O35" s="29">
        <f ca="1"/>
        <v>0</v>
      </c>
      <c r="P35" s="29">
        <f ca="1"/>
        <v>0</v>
      </c>
      <c r="Q35" s="29">
        <f ca="1"/>
        <v>0</v>
      </c>
      <c r="R35" s="29">
        <f ca="1"/>
        <v>0</v>
      </c>
      <c r="S35" s="29">
        <f ca="1"/>
        <v>0</v>
      </c>
      <c r="T35" s="29">
        <f ca="1"/>
        <v>0</v>
      </c>
      <c r="U35" s="29">
        <f ca="1"/>
        <v>0</v>
      </c>
      <c r="V35" s="29">
        <f ca="1"/>
        <v>0</v>
      </c>
      <c r="W35" s="29">
        <f ca="1"/>
        <v>0</v>
      </c>
      <c r="X35" s="29">
        <f ca="1"/>
        <v>0</v>
      </c>
      <c r="Y35" s="29">
        <f ca="1"/>
        <v>0</v>
      </c>
      <c r="Z35" s="29">
        <f ca="1"/>
        <v>0</v>
      </c>
      <c r="AA35" s="29">
        <f ca="1"/>
        <v>0</v>
      </c>
      <c r="AB35" s="29">
        <f ca="1"/>
        <v>0</v>
      </c>
      <c r="AC35" s="29">
        <f ca="1"/>
        <v>0</v>
      </c>
      <c r="AD35" s="29">
        <f ca="1"/>
        <v>0</v>
      </c>
      <c r="AE35" s="29">
        <f ca="1"/>
        <v>0</v>
      </c>
      <c r="AF35" s="29">
        <f ca="1"/>
        <v>0</v>
      </c>
      <c r="AG35" s="29">
        <f ca="1"/>
        <v>0</v>
      </c>
      <c r="AH35" s="29">
        <f ca="1"/>
        <v>0</v>
      </c>
      <c r="AI35" s="29">
        <f ca="1"/>
        <v>0</v>
      </c>
      <c r="AJ35" s="29">
        <f ca="1"/>
        <v>0</v>
      </c>
      <c r="AK35" s="29">
        <f ca="1"/>
        <v>0</v>
      </c>
      <c r="AL35" s="44">
        <f ca="1"/>
        <v>0</v>
      </c>
      <c r="AM35" s="10"/>
    </row>
    <row r="36" spans="2:39" ht="15">
      <c r="B36" s="10"/>
      <c r="C36" s="11" t="str">
        <f>"EL 4: " &amp; INDEX(_doName,6,5)</f>
        <v>EL 4: EL 4</v>
      </c>
      <c r="D36" s="12" t="s">
        <v>47</v>
      </c>
      <c r="E36" s="29">
        <v>0.107</v>
      </c>
      <c r="F36" s="29">
        <v>0.107</v>
      </c>
      <c r="G36" s="29">
        <v>0.107</v>
      </c>
      <c r="H36" s="29">
        <f ca="1"/>
        <v>0</v>
      </c>
      <c r="I36" s="29">
        <f ca="1"/>
        <v>0</v>
      </c>
      <c r="J36" s="29">
        <f ca="1"/>
        <v>0</v>
      </c>
      <c r="K36" s="29">
        <f ca="1"/>
        <v>0</v>
      </c>
      <c r="L36" s="29">
        <f ca="1"/>
        <v>0</v>
      </c>
      <c r="M36" s="29">
        <f ca="1"/>
        <v>0</v>
      </c>
      <c r="N36" s="29">
        <f ca="1"/>
        <v>0</v>
      </c>
      <c r="O36" s="29">
        <f ca="1"/>
        <v>0</v>
      </c>
      <c r="P36" s="29">
        <f ca="1"/>
        <v>0</v>
      </c>
      <c r="Q36" s="29">
        <f ca="1"/>
        <v>0</v>
      </c>
      <c r="R36" s="29">
        <f ca="1"/>
        <v>0</v>
      </c>
      <c r="S36" s="29">
        <f ca="1"/>
        <v>0</v>
      </c>
      <c r="T36" s="29">
        <f ca="1"/>
        <v>0</v>
      </c>
      <c r="U36" s="29">
        <f ca="1"/>
        <v>0</v>
      </c>
      <c r="V36" s="29">
        <f ca="1"/>
        <v>0</v>
      </c>
      <c r="W36" s="29">
        <f ca="1"/>
        <v>0</v>
      </c>
      <c r="X36" s="29">
        <f ca="1"/>
        <v>0</v>
      </c>
      <c r="Y36" s="29">
        <f ca="1"/>
        <v>0</v>
      </c>
      <c r="Z36" s="29">
        <f ca="1"/>
        <v>0</v>
      </c>
      <c r="AA36" s="29">
        <f ca="1"/>
        <v>0</v>
      </c>
      <c r="AB36" s="29">
        <f ca="1"/>
        <v>0</v>
      </c>
      <c r="AC36" s="29">
        <f ca="1"/>
        <v>0</v>
      </c>
      <c r="AD36" s="29">
        <f ca="1"/>
        <v>0</v>
      </c>
      <c r="AE36" s="29">
        <f ca="1"/>
        <v>0</v>
      </c>
      <c r="AF36" s="29">
        <f ca="1"/>
        <v>0</v>
      </c>
      <c r="AG36" s="29">
        <f ca="1"/>
        <v>0</v>
      </c>
      <c r="AH36" s="29">
        <f ca="1"/>
        <v>0</v>
      </c>
      <c r="AI36" s="29">
        <f ca="1"/>
        <v>0</v>
      </c>
      <c r="AJ36" s="29">
        <f ca="1"/>
        <v>0</v>
      </c>
      <c r="AK36" s="29">
        <f ca="1"/>
        <v>0</v>
      </c>
      <c r="AL36" s="44">
        <f ca="1"/>
        <v>0</v>
      </c>
      <c r="AM36" s="10"/>
    </row>
    <row r="37" spans="2:39" ht="15">
      <c r="B37" s="10"/>
      <c r="C37" s="11" t="str">
        <f>"EL 5: " &amp; INDEX(_doName,6,6)</f>
        <v>EL 5: EL 5</v>
      </c>
      <c r="D37" s="12" t="s">
        <v>47</v>
      </c>
      <c r="E37" s="29">
        <v>0.33800000000000002</v>
      </c>
      <c r="F37" s="29">
        <v>0.33800000000000002</v>
      </c>
      <c r="G37" s="29">
        <v>0.33800000000000002</v>
      </c>
      <c r="H37" s="29">
        <f ca="1"/>
        <v>0.77300000000000002</v>
      </c>
      <c r="I37" s="29">
        <f ca="1"/>
        <v>0.77300000000000002</v>
      </c>
      <c r="J37" s="29">
        <f ca="1"/>
        <v>0.77300000000000002</v>
      </c>
      <c r="K37" s="29">
        <f ca="1"/>
        <v>0.77300000000000002</v>
      </c>
      <c r="L37" s="29">
        <f ca="1"/>
        <v>0.77300000000000002</v>
      </c>
      <c r="M37" s="29">
        <f ca="1"/>
        <v>0.77300000000000002</v>
      </c>
      <c r="N37" s="29">
        <f ca="1"/>
        <v>0.77300000000000002</v>
      </c>
      <c r="O37" s="29">
        <f ca="1"/>
        <v>0.77300000000000002</v>
      </c>
      <c r="P37" s="29">
        <f ca="1"/>
        <v>0.77300000000000002</v>
      </c>
      <c r="Q37" s="29">
        <f ca="1"/>
        <v>0.77300000000000002</v>
      </c>
      <c r="R37" s="29">
        <f ca="1"/>
        <v>0.77300000000000002</v>
      </c>
      <c r="S37" s="29">
        <f ca="1"/>
        <v>0.77300000000000002</v>
      </c>
      <c r="T37" s="29">
        <f ca="1"/>
        <v>0.77300000000000002</v>
      </c>
      <c r="U37" s="29">
        <f ca="1"/>
        <v>0.77300000000000002</v>
      </c>
      <c r="V37" s="29">
        <f ca="1"/>
        <v>0.77300000000000002</v>
      </c>
      <c r="W37" s="29">
        <f ca="1"/>
        <v>0.77300000000000002</v>
      </c>
      <c r="X37" s="29">
        <f ca="1"/>
        <v>0.77300000000000002</v>
      </c>
      <c r="Y37" s="29">
        <f ca="1"/>
        <v>0.77300000000000002</v>
      </c>
      <c r="Z37" s="29">
        <f ca="1"/>
        <v>0.77300000000000002</v>
      </c>
      <c r="AA37" s="29">
        <f ca="1"/>
        <v>0.77300000000000002</v>
      </c>
      <c r="AB37" s="29">
        <f ca="1"/>
        <v>0.77300000000000002</v>
      </c>
      <c r="AC37" s="29">
        <f ca="1"/>
        <v>0.77300000000000002</v>
      </c>
      <c r="AD37" s="29">
        <f ca="1"/>
        <v>0.77300000000000002</v>
      </c>
      <c r="AE37" s="29">
        <f ca="1"/>
        <v>0.77300000000000002</v>
      </c>
      <c r="AF37" s="29">
        <f ca="1"/>
        <v>0.77300000000000002</v>
      </c>
      <c r="AG37" s="29">
        <f ca="1"/>
        <v>0.77300000000000002</v>
      </c>
      <c r="AH37" s="29">
        <f ca="1"/>
        <v>0.77300000000000002</v>
      </c>
      <c r="AI37" s="29">
        <f ca="1"/>
        <v>0.77300000000000002</v>
      </c>
      <c r="AJ37" s="29">
        <f ca="1"/>
        <v>0.77300000000000002</v>
      </c>
      <c r="AK37" s="29">
        <f ca="1"/>
        <v>0.77300000000000002</v>
      </c>
      <c r="AL37" s="44">
        <f ca="1"/>
        <v>0.77300000000000002</v>
      </c>
      <c r="AM37" s="10"/>
    </row>
    <row r="38" spans="2:39" ht="15">
      <c r="B38" s="10"/>
      <c r="C38" s="21" t="str">
        <f>"EL 6: " &amp; INDEX(_doName,6,7)</f>
        <v>EL 6: EL 6</v>
      </c>
      <c r="D38" s="18" t="s">
        <v>47</v>
      </c>
      <c r="E38" s="46">
        <v>0.22700000000000001</v>
      </c>
      <c r="F38" s="46">
        <v>0.22700000000000001</v>
      </c>
      <c r="G38" s="46">
        <v>0.22700000000000001</v>
      </c>
      <c r="H38" s="46">
        <f ca="1"/>
        <v>0.22700000000000001</v>
      </c>
      <c r="I38" s="46">
        <f ca="1"/>
        <v>0.22700000000000001</v>
      </c>
      <c r="J38" s="46">
        <f ca="1"/>
        <v>0.22700000000000001</v>
      </c>
      <c r="K38" s="46">
        <f ca="1"/>
        <v>0.22700000000000001</v>
      </c>
      <c r="L38" s="46">
        <f ca="1"/>
        <v>0.22700000000000001</v>
      </c>
      <c r="M38" s="46">
        <f ca="1"/>
        <v>0.22700000000000001</v>
      </c>
      <c r="N38" s="46">
        <f ca="1"/>
        <v>0.22700000000000001</v>
      </c>
      <c r="O38" s="46">
        <f ca="1"/>
        <v>0.22700000000000001</v>
      </c>
      <c r="P38" s="46">
        <f ca="1"/>
        <v>0.22700000000000001</v>
      </c>
      <c r="Q38" s="46">
        <f ca="1"/>
        <v>0.22700000000000001</v>
      </c>
      <c r="R38" s="46">
        <f ca="1"/>
        <v>0.22700000000000001</v>
      </c>
      <c r="S38" s="46">
        <f ca="1"/>
        <v>0.22700000000000001</v>
      </c>
      <c r="T38" s="46">
        <f ca="1"/>
        <v>0.22700000000000001</v>
      </c>
      <c r="U38" s="46">
        <f ca="1"/>
        <v>0.22700000000000001</v>
      </c>
      <c r="V38" s="46">
        <f ca="1"/>
        <v>0.22700000000000001</v>
      </c>
      <c r="W38" s="46">
        <f ca="1"/>
        <v>0.22700000000000001</v>
      </c>
      <c r="X38" s="46">
        <f ca="1"/>
        <v>0.22700000000000001</v>
      </c>
      <c r="Y38" s="46">
        <f ca="1"/>
        <v>0.22700000000000001</v>
      </c>
      <c r="Z38" s="46">
        <f ca="1"/>
        <v>0.22700000000000001</v>
      </c>
      <c r="AA38" s="46">
        <f ca="1"/>
        <v>0.22700000000000001</v>
      </c>
      <c r="AB38" s="46">
        <f ca="1"/>
        <v>0.22700000000000001</v>
      </c>
      <c r="AC38" s="46">
        <f ca="1"/>
        <v>0.22700000000000001</v>
      </c>
      <c r="AD38" s="46">
        <f ca="1"/>
        <v>0.22700000000000001</v>
      </c>
      <c r="AE38" s="46">
        <f ca="1"/>
        <v>0.22700000000000001</v>
      </c>
      <c r="AF38" s="46">
        <f ca="1"/>
        <v>0.22700000000000001</v>
      </c>
      <c r="AG38" s="46">
        <f ca="1"/>
        <v>0.22700000000000001</v>
      </c>
      <c r="AH38" s="46">
        <f ca="1"/>
        <v>0.22700000000000001</v>
      </c>
      <c r="AI38" s="46">
        <f ca="1"/>
        <v>0.22700000000000001</v>
      </c>
      <c r="AJ38" s="46">
        <f ca="1"/>
        <v>0.22700000000000001</v>
      </c>
      <c r="AK38" s="46">
        <f ca="1"/>
        <v>0.22700000000000001</v>
      </c>
      <c r="AL38" s="47">
        <f ca="1"/>
        <v>0.22700000000000001</v>
      </c>
      <c r="AM38" s="10"/>
    </row>
    <row r="39" spans="2:39" ht="15">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2:39" ht="15">
      <c r="B40" s="10"/>
      <c r="C40" s="22" t="s">
        <v>90</v>
      </c>
      <c r="D40" s="23"/>
      <c r="E40" s="24">
        <f t="array" ref="E40:AL40">_yS</f>
        <v>2019</v>
      </c>
      <c r="F40" s="24">
        <v>2020</v>
      </c>
      <c r="G40" s="24">
        <v>2021</v>
      </c>
      <c r="H40" s="24">
        <v>2022</v>
      </c>
      <c r="I40" s="24">
        <v>2023</v>
      </c>
      <c r="J40" s="24">
        <v>2024</v>
      </c>
      <c r="K40" s="24">
        <v>2025</v>
      </c>
      <c r="L40" s="24">
        <v>2026</v>
      </c>
      <c r="M40" s="24">
        <v>2027</v>
      </c>
      <c r="N40" s="24">
        <v>2028</v>
      </c>
      <c r="O40" s="24">
        <v>2029</v>
      </c>
      <c r="P40" s="24">
        <v>2030</v>
      </c>
      <c r="Q40" s="24">
        <v>2031</v>
      </c>
      <c r="R40" s="24">
        <v>2032</v>
      </c>
      <c r="S40" s="24">
        <v>2033</v>
      </c>
      <c r="T40" s="24">
        <v>2034</v>
      </c>
      <c r="U40" s="24">
        <v>2035</v>
      </c>
      <c r="V40" s="24">
        <v>2036</v>
      </c>
      <c r="W40" s="24">
        <v>2037</v>
      </c>
      <c r="X40" s="24">
        <v>2038</v>
      </c>
      <c r="Y40" s="24">
        <v>2039</v>
      </c>
      <c r="Z40" s="24">
        <v>2040</v>
      </c>
      <c r="AA40" s="24">
        <v>2041</v>
      </c>
      <c r="AB40" s="24">
        <v>2042</v>
      </c>
      <c r="AC40" s="24">
        <v>2043</v>
      </c>
      <c r="AD40" s="24">
        <v>2044</v>
      </c>
      <c r="AE40" s="24">
        <v>2045</v>
      </c>
      <c r="AF40" s="24">
        <v>2046</v>
      </c>
      <c r="AG40" s="24">
        <v>2047</v>
      </c>
      <c r="AH40" s="24">
        <v>2048</v>
      </c>
      <c r="AI40" s="24">
        <v>2049</v>
      </c>
      <c r="AJ40" s="24">
        <v>2050</v>
      </c>
      <c r="AK40" s="24">
        <v>2051</v>
      </c>
      <c r="AL40" s="25">
        <v>2052</v>
      </c>
      <c r="AM40" s="10"/>
    </row>
    <row r="41" spans="2:39" ht="15">
      <c r="B41" s="10"/>
      <c r="C41" s="11" t="str">
        <f>"EL 0: " &amp; INDEX(_doName,6,1)</f>
        <v>EL 0: EL 5</v>
      </c>
      <c r="D41" s="12" t="s">
        <v>47</v>
      </c>
      <c r="E41" s="29">
        <f t="array" ref="E41:E47">TRANSPOSE(bcRad)</f>
        <v>0.10100000000000001</v>
      </c>
      <c r="F41" s="29">
        <f t="array" ref="F41:AL41">$E$41</f>
        <v>0.10100000000000001</v>
      </c>
      <c r="G41" s="29">
        <v>0.10100000000000001</v>
      </c>
      <c r="H41" s="29">
        <v>0.10100000000000001</v>
      </c>
      <c r="I41" s="29">
        <v>0.10100000000000001</v>
      </c>
      <c r="J41" s="29">
        <v>0.10100000000000001</v>
      </c>
      <c r="K41" s="29">
        <v>0.10100000000000001</v>
      </c>
      <c r="L41" s="29">
        <v>0.10100000000000001</v>
      </c>
      <c r="M41" s="29">
        <v>0.10100000000000001</v>
      </c>
      <c r="N41" s="29">
        <v>0.10100000000000001</v>
      </c>
      <c r="O41" s="29">
        <v>0.10100000000000001</v>
      </c>
      <c r="P41" s="29">
        <v>0.10100000000000001</v>
      </c>
      <c r="Q41" s="29">
        <v>0.10100000000000001</v>
      </c>
      <c r="R41" s="29">
        <v>0.10100000000000001</v>
      </c>
      <c r="S41" s="29">
        <v>0.10100000000000001</v>
      </c>
      <c r="T41" s="29">
        <v>0.10100000000000001</v>
      </c>
      <c r="U41" s="29">
        <v>0.10100000000000001</v>
      </c>
      <c r="V41" s="29">
        <v>0.10100000000000001</v>
      </c>
      <c r="W41" s="29">
        <v>0.10100000000000001</v>
      </c>
      <c r="X41" s="29">
        <v>0.10100000000000001</v>
      </c>
      <c r="Y41" s="29">
        <v>0.10100000000000001</v>
      </c>
      <c r="Z41" s="29">
        <v>0.10100000000000001</v>
      </c>
      <c r="AA41" s="29">
        <v>0.10100000000000001</v>
      </c>
      <c r="AB41" s="29">
        <v>0.10100000000000001</v>
      </c>
      <c r="AC41" s="29">
        <v>0.10100000000000001</v>
      </c>
      <c r="AD41" s="29">
        <v>0.10100000000000001</v>
      </c>
      <c r="AE41" s="29">
        <v>0.10100000000000001</v>
      </c>
      <c r="AF41" s="29">
        <v>0.10100000000000001</v>
      </c>
      <c r="AG41" s="29">
        <v>0.10100000000000001</v>
      </c>
      <c r="AH41" s="29">
        <v>0.10100000000000001</v>
      </c>
      <c r="AI41" s="29">
        <v>0.10100000000000001</v>
      </c>
      <c r="AJ41" s="29">
        <v>0.10100000000000001</v>
      </c>
      <c r="AK41" s="29">
        <v>0.10100000000000001</v>
      </c>
      <c r="AL41" s="44">
        <v>0.10100000000000001</v>
      </c>
      <c r="AM41" s="10"/>
    </row>
    <row r="42" spans="2:39" ht="15">
      <c r="B42" s="10"/>
      <c r="C42" s="11" t="str">
        <f>"EL 1: " &amp; INDEX(_doName,6,2)</f>
        <v>EL 1: EL 1</v>
      </c>
      <c r="D42" s="12" t="s">
        <v>47</v>
      </c>
      <c r="E42" s="29">
        <v>4.2999999999999997E-2</v>
      </c>
      <c r="F42" s="29">
        <f t="array" ref="F42:AL42">$E$42</f>
        <v>4.2999999999999997E-2</v>
      </c>
      <c r="G42" s="29">
        <v>4.2999999999999997E-2</v>
      </c>
      <c r="H42" s="29">
        <v>4.2999999999999997E-2</v>
      </c>
      <c r="I42" s="29">
        <v>4.2999999999999997E-2</v>
      </c>
      <c r="J42" s="29">
        <v>4.2999999999999997E-2</v>
      </c>
      <c r="K42" s="29">
        <v>4.2999999999999997E-2</v>
      </c>
      <c r="L42" s="29">
        <v>4.2999999999999997E-2</v>
      </c>
      <c r="M42" s="29">
        <v>4.2999999999999997E-2</v>
      </c>
      <c r="N42" s="29">
        <v>4.2999999999999997E-2</v>
      </c>
      <c r="O42" s="29">
        <v>4.2999999999999997E-2</v>
      </c>
      <c r="P42" s="29">
        <v>4.2999999999999997E-2</v>
      </c>
      <c r="Q42" s="29">
        <v>4.2999999999999997E-2</v>
      </c>
      <c r="R42" s="29">
        <v>4.2999999999999997E-2</v>
      </c>
      <c r="S42" s="29">
        <v>4.2999999999999997E-2</v>
      </c>
      <c r="T42" s="29">
        <v>4.2999999999999997E-2</v>
      </c>
      <c r="U42" s="29">
        <v>4.2999999999999997E-2</v>
      </c>
      <c r="V42" s="29">
        <v>4.2999999999999997E-2</v>
      </c>
      <c r="W42" s="29">
        <v>4.2999999999999997E-2</v>
      </c>
      <c r="X42" s="29">
        <v>4.2999999999999997E-2</v>
      </c>
      <c r="Y42" s="29">
        <v>4.2999999999999997E-2</v>
      </c>
      <c r="Z42" s="29">
        <v>4.2999999999999997E-2</v>
      </c>
      <c r="AA42" s="29">
        <v>4.2999999999999997E-2</v>
      </c>
      <c r="AB42" s="29">
        <v>4.2999999999999997E-2</v>
      </c>
      <c r="AC42" s="29">
        <v>4.2999999999999997E-2</v>
      </c>
      <c r="AD42" s="29">
        <v>4.2999999999999997E-2</v>
      </c>
      <c r="AE42" s="29">
        <v>4.2999999999999997E-2</v>
      </c>
      <c r="AF42" s="29">
        <v>4.2999999999999997E-2</v>
      </c>
      <c r="AG42" s="29">
        <v>4.2999999999999997E-2</v>
      </c>
      <c r="AH42" s="29">
        <v>4.2999999999999997E-2</v>
      </c>
      <c r="AI42" s="29">
        <v>4.2999999999999997E-2</v>
      </c>
      <c r="AJ42" s="29">
        <v>4.2999999999999997E-2</v>
      </c>
      <c r="AK42" s="29">
        <v>4.2999999999999997E-2</v>
      </c>
      <c r="AL42" s="44">
        <v>4.2999999999999997E-2</v>
      </c>
      <c r="AM42" s="10"/>
    </row>
    <row r="43" spans="2:39" ht="15">
      <c r="B43" s="10"/>
      <c r="C43" s="11" t="str">
        <f>"EL 2: " &amp; INDEX(_doName,6,3)</f>
        <v>EL 2: EL 2</v>
      </c>
      <c r="D43" s="12" t="s">
        <v>47</v>
      </c>
      <c r="E43" s="29">
        <v>8.7999999999999995E-2</v>
      </c>
      <c r="F43" s="29">
        <f t="array" ref="F43:AL43">$E$43</f>
        <v>8.7999999999999995E-2</v>
      </c>
      <c r="G43" s="29">
        <v>8.7999999999999995E-2</v>
      </c>
      <c r="H43" s="29">
        <v>8.7999999999999995E-2</v>
      </c>
      <c r="I43" s="29">
        <v>8.7999999999999995E-2</v>
      </c>
      <c r="J43" s="29">
        <v>8.7999999999999995E-2</v>
      </c>
      <c r="K43" s="29">
        <v>8.7999999999999995E-2</v>
      </c>
      <c r="L43" s="29">
        <v>8.7999999999999995E-2</v>
      </c>
      <c r="M43" s="29">
        <v>8.7999999999999995E-2</v>
      </c>
      <c r="N43" s="29">
        <v>8.7999999999999995E-2</v>
      </c>
      <c r="O43" s="29">
        <v>8.7999999999999995E-2</v>
      </c>
      <c r="P43" s="29">
        <v>8.7999999999999995E-2</v>
      </c>
      <c r="Q43" s="29">
        <v>8.7999999999999995E-2</v>
      </c>
      <c r="R43" s="29">
        <v>8.7999999999999995E-2</v>
      </c>
      <c r="S43" s="29">
        <v>8.7999999999999995E-2</v>
      </c>
      <c r="T43" s="29">
        <v>8.7999999999999995E-2</v>
      </c>
      <c r="U43" s="29">
        <v>8.7999999999999995E-2</v>
      </c>
      <c r="V43" s="29">
        <v>8.7999999999999995E-2</v>
      </c>
      <c r="W43" s="29">
        <v>8.7999999999999995E-2</v>
      </c>
      <c r="X43" s="29">
        <v>8.7999999999999995E-2</v>
      </c>
      <c r="Y43" s="29">
        <v>8.7999999999999995E-2</v>
      </c>
      <c r="Z43" s="29">
        <v>8.7999999999999995E-2</v>
      </c>
      <c r="AA43" s="29">
        <v>8.7999999999999995E-2</v>
      </c>
      <c r="AB43" s="29">
        <v>8.7999999999999995E-2</v>
      </c>
      <c r="AC43" s="29">
        <v>8.7999999999999995E-2</v>
      </c>
      <c r="AD43" s="29">
        <v>8.7999999999999995E-2</v>
      </c>
      <c r="AE43" s="29">
        <v>8.7999999999999995E-2</v>
      </c>
      <c r="AF43" s="29">
        <v>8.7999999999999995E-2</v>
      </c>
      <c r="AG43" s="29">
        <v>8.7999999999999995E-2</v>
      </c>
      <c r="AH43" s="29">
        <v>8.7999999999999995E-2</v>
      </c>
      <c r="AI43" s="29">
        <v>8.7999999999999995E-2</v>
      </c>
      <c r="AJ43" s="29">
        <v>8.7999999999999995E-2</v>
      </c>
      <c r="AK43" s="29">
        <v>8.7999999999999995E-2</v>
      </c>
      <c r="AL43" s="44">
        <v>8.7999999999999995E-2</v>
      </c>
      <c r="AM43" s="10"/>
    </row>
    <row r="44" spans="2:39" ht="15">
      <c r="B44" s="10"/>
      <c r="C44" s="11" t="str">
        <f>"EL 3: " &amp; INDEX(_doName,6,4)</f>
        <v>EL 3: EL 3</v>
      </c>
      <c r="D44" s="12" t="s">
        <v>47</v>
      </c>
      <c r="E44" s="29">
        <v>9.6000000000000002E-2</v>
      </c>
      <c r="F44" s="29">
        <f t="array" ref="F44:AL44">$E$44</f>
        <v>9.6000000000000002E-2</v>
      </c>
      <c r="G44" s="29">
        <v>9.6000000000000002E-2</v>
      </c>
      <c r="H44" s="29">
        <v>9.6000000000000002E-2</v>
      </c>
      <c r="I44" s="29">
        <v>9.6000000000000002E-2</v>
      </c>
      <c r="J44" s="29">
        <v>9.6000000000000002E-2</v>
      </c>
      <c r="K44" s="29">
        <v>9.6000000000000002E-2</v>
      </c>
      <c r="L44" s="29">
        <v>9.6000000000000002E-2</v>
      </c>
      <c r="M44" s="29">
        <v>9.6000000000000002E-2</v>
      </c>
      <c r="N44" s="29">
        <v>9.6000000000000002E-2</v>
      </c>
      <c r="O44" s="29">
        <v>9.6000000000000002E-2</v>
      </c>
      <c r="P44" s="29">
        <v>9.6000000000000002E-2</v>
      </c>
      <c r="Q44" s="29">
        <v>9.6000000000000002E-2</v>
      </c>
      <c r="R44" s="29">
        <v>9.6000000000000002E-2</v>
      </c>
      <c r="S44" s="29">
        <v>9.6000000000000002E-2</v>
      </c>
      <c r="T44" s="29">
        <v>9.6000000000000002E-2</v>
      </c>
      <c r="U44" s="29">
        <v>9.6000000000000002E-2</v>
      </c>
      <c r="V44" s="29">
        <v>9.6000000000000002E-2</v>
      </c>
      <c r="W44" s="29">
        <v>9.6000000000000002E-2</v>
      </c>
      <c r="X44" s="29">
        <v>9.6000000000000002E-2</v>
      </c>
      <c r="Y44" s="29">
        <v>9.6000000000000002E-2</v>
      </c>
      <c r="Z44" s="29">
        <v>9.6000000000000002E-2</v>
      </c>
      <c r="AA44" s="29">
        <v>9.6000000000000002E-2</v>
      </c>
      <c r="AB44" s="29">
        <v>9.6000000000000002E-2</v>
      </c>
      <c r="AC44" s="29">
        <v>9.6000000000000002E-2</v>
      </c>
      <c r="AD44" s="29">
        <v>9.6000000000000002E-2</v>
      </c>
      <c r="AE44" s="29">
        <v>9.6000000000000002E-2</v>
      </c>
      <c r="AF44" s="29">
        <v>9.6000000000000002E-2</v>
      </c>
      <c r="AG44" s="29">
        <v>9.6000000000000002E-2</v>
      </c>
      <c r="AH44" s="29">
        <v>9.6000000000000002E-2</v>
      </c>
      <c r="AI44" s="29">
        <v>9.6000000000000002E-2</v>
      </c>
      <c r="AJ44" s="29">
        <v>9.6000000000000002E-2</v>
      </c>
      <c r="AK44" s="29">
        <v>9.6000000000000002E-2</v>
      </c>
      <c r="AL44" s="44">
        <v>9.6000000000000002E-2</v>
      </c>
      <c r="AM44" s="10"/>
    </row>
    <row r="45" spans="2:39" ht="15">
      <c r="B45" s="10"/>
      <c r="C45" s="11" t="str">
        <f>"EL 4: " &amp; INDEX(_doName,6,5)</f>
        <v>EL 4: EL 4</v>
      </c>
      <c r="D45" s="12" t="s">
        <v>47</v>
      </c>
      <c r="E45" s="29">
        <v>0.107</v>
      </c>
      <c r="F45" s="29">
        <f t="array" ref="F45:AL45">$E$45</f>
        <v>0.107</v>
      </c>
      <c r="G45" s="29">
        <v>0.107</v>
      </c>
      <c r="H45" s="29">
        <v>0.107</v>
      </c>
      <c r="I45" s="29">
        <v>0.107</v>
      </c>
      <c r="J45" s="29">
        <v>0.107</v>
      </c>
      <c r="K45" s="29">
        <v>0.107</v>
      </c>
      <c r="L45" s="29">
        <v>0.107</v>
      </c>
      <c r="M45" s="29">
        <v>0.107</v>
      </c>
      <c r="N45" s="29">
        <v>0.107</v>
      </c>
      <c r="O45" s="29">
        <v>0.107</v>
      </c>
      <c r="P45" s="29">
        <v>0.107</v>
      </c>
      <c r="Q45" s="29">
        <v>0.107</v>
      </c>
      <c r="R45" s="29">
        <v>0.107</v>
      </c>
      <c r="S45" s="29">
        <v>0.107</v>
      </c>
      <c r="T45" s="29">
        <v>0.107</v>
      </c>
      <c r="U45" s="29">
        <v>0.107</v>
      </c>
      <c r="V45" s="29">
        <v>0.107</v>
      </c>
      <c r="W45" s="29">
        <v>0.107</v>
      </c>
      <c r="X45" s="29">
        <v>0.107</v>
      </c>
      <c r="Y45" s="29">
        <v>0.107</v>
      </c>
      <c r="Z45" s="29">
        <v>0.107</v>
      </c>
      <c r="AA45" s="29">
        <v>0.107</v>
      </c>
      <c r="AB45" s="29">
        <v>0.107</v>
      </c>
      <c r="AC45" s="29">
        <v>0.107</v>
      </c>
      <c r="AD45" s="29">
        <v>0.107</v>
      </c>
      <c r="AE45" s="29">
        <v>0.107</v>
      </c>
      <c r="AF45" s="29">
        <v>0.107</v>
      </c>
      <c r="AG45" s="29">
        <v>0.107</v>
      </c>
      <c r="AH45" s="29">
        <v>0.107</v>
      </c>
      <c r="AI45" s="29">
        <v>0.107</v>
      </c>
      <c r="AJ45" s="29">
        <v>0.107</v>
      </c>
      <c r="AK45" s="29">
        <v>0.107</v>
      </c>
      <c r="AL45" s="44">
        <v>0.107</v>
      </c>
      <c r="AM45" s="10"/>
    </row>
    <row r="46" spans="2:39" ht="15">
      <c r="B46" s="10"/>
      <c r="C46" s="11" t="str">
        <f>"EL 5: " &amp; INDEX(_doName,6,6)</f>
        <v>EL 5: EL 5</v>
      </c>
      <c r="D46" s="12" t="s">
        <v>47</v>
      </c>
      <c r="E46" s="29">
        <v>0.33800000000000002</v>
      </c>
      <c r="F46" s="29">
        <f t="array" ref="F46:AL46">$E$46</f>
        <v>0.33800000000000002</v>
      </c>
      <c r="G46" s="29">
        <v>0.33800000000000002</v>
      </c>
      <c r="H46" s="29">
        <v>0.33800000000000002</v>
      </c>
      <c r="I46" s="29">
        <v>0.33800000000000002</v>
      </c>
      <c r="J46" s="29">
        <v>0.33800000000000002</v>
      </c>
      <c r="K46" s="29">
        <v>0.33800000000000002</v>
      </c>
      <c r="L46" s="29">
        <v>0.33800000000000002</v>
      </c>
      <c r="M46" s="29">
        <v>0.33800000000000002</v>
      </c>
      <c r="N46" s="29">
        <v>0.33800000000000002</v>
      </c>
      <c r="O46" s="29">
        <v>0.33800000000000002</v>
      </c>
      <c r="P46" s="29">
        <v>0.33800000000000002</v>
      </c>
      <c r="Q46" s="29">
        <v>0.33800000000000002</v>
      </c>
      <c r="R46" s="29">
        <v>0.33800000000000002</v>
      </c>
      <c r="S46" s="29">
        <v>0.33800000000000002</v>
      </c>
      <c r="T46" s="29">
        <v>0.33800000000000002</v>
      </c>
      <c r="U46" s="29">
        <v>0.33800000000000002</v>
      </c>
      <c r="V46" s="29">
        <v>0.33800000000000002</v>
      </c>
      <c r="W46" s="29">
        <v>0.33800000000000002</v>
      </c>
      <c r="X46" s="29">
        <v>0.33800000000000002</v>
      </c>
      <c r="Y46" s="29">
        <v>0.33800000000000002</v>
      </c>
      <c r="Z46" s="29">
        <v>0.33800000000000002</v>
      </c>
      <c r="AA46" s="29">
        <v>0.33800000000000002</v>
      </c>
      <c r="AB46" s="29">
        <v>0.33800000000000002</v>
      </c>
      <c r="AC46" s="29">
        <v>0.33800000000000002</v>
      </c>
      <c r="AD46" s="29">
        <v>0.33800000000000002</v>
      </c>
      <c r="AE46" s="29">
        <v>0.33800000000000002</v>
      </c>
      <c r="AF46" s="29">
        <v>0.33800000000000002</v>
      </c>
      <c r="AG46" s="29">
        <v>0.33800000000000002</v>
      </c>
      <c r="AH46" s="29">
        <v>0.33800000000000002</v>
      </c>
      <c r="AI46" s="29">
        <v>0.33800000000000002</v>
      </c>
      <c r="AJ46" s="29">
        <v>0.33800000000000002</v>
      </c>
      <c r="AK46" s="29">
        <v>0.33800000000000002</v>
      </c>
      <c r="AL46" s="44">
        <v>0.33800000000000002</v>
      </c>
      <c r="AM46" s="10"/>
    </row>
    <row r="47" spans="2:39">
      <c r="B47" s="10"/>
      <c r="C47" s="21" t="str">
        <f>"EL 6: " &amp; INDEX(_doName,6,7)</f>
        <v>EL 6: EL 6</v>
      </c>
      <c r="D47" s="18" t="s">
        <v>47</v>
      </c>
      <c r="E47" s="46">
        <v>0.22700000000000001</v>
      </c>
      <c r="F47" s="46">
        <f t="array" ref="F47:AL47">$E$47</f>
        <v>0.22700000000000001</v>
      </c>
      <c r="G47" s="46">
        <v>0.22700000000000001</v>
      </c>
      <c r="H47" s="46">
        <v>0.22700000000000001</v>
      </c>
      <c r="I47" s="46">
        <v>0.22700000000000001</v>
      </c>
      <c r="J47" s="46">
        <v>0.22700000000000001</v>
      </c>
      <c r="K47" s="46">
        <v>0.22700000000000001</v>
      </c>
      <c r="L47" s="46">
        <v>0.22700000000000001</v>
      </c>
      <c r="M47" s="46">
        <v>0.22700000000000001</v>
      </c>
      <c r="N47" s="46">
        <v>0.22700000000000001</v>
      </c>
      <c r="O47" s="46">
        <v>0.22700000000000001</v>
      </c>
      <c r="P47" s="46">
        <v>0.22700000000000001</v>
      </c>
      <c r="Q47" s="46">
        <v>0.22700000000000001</v>
      </c>
      <c r="R47" s="46">
        <v>0.22700000000000001</v>
      </c>
      <c r="S47" s="46">
        <v>0.22700000000000001</v>
      </c>
      <c r="T47" s="46">
        <v>0.22700000000000001</v>
      </c>
      <c r="U47" s="46">
        <v>0.22700000000000001</v>
      </c>
      <c r="V47" s="46">
        <v>0.22700000000000001</v>
      </c>
      <c r="W47" s="46">
        <v>0.22700000000000001</v>
      </c>
      <c r="X47" s="46">
        <v>0.22700000000000001</v>
      </c>
      <c r="Y47" s="46">
        <v>0.22700000000000001</v>
      </c>
      <c r="Z47" s="46">
        <v>0.22700000000000001</v>
      </c>
      <c r="AA47" s="46">
        <v>0.22700000000000001</v>
      </c>
      <c r="AB47" s="46">
        <v>0.22700000000000001</v>
      </c>
      <c r="AC47" s="46">
        <v>0.22700000000000001</v>
      </c>
      <c r="AD47" s="46">
        <v>0.22700000000000001</v>
      </c>
      <c r="AE47" s="46">
        <v>0.22700000000000001</v>
      </c>
      <c r="AF47" s="46">
        <v>0.22700000000000001</v>
      </c>
      <c r="AG47" s="46">
        <v>0.22700000000000001</v>
      </c>
      <c r="AH47" s="46">
        <v>0.22700000000000001</v>
      </c>
      <c r="AI47" s="46">
        <v>0.22700000000000001</v>
      </c>
      <c r="AJ47" s="46">
        <v>0.22700000000000001</v>
      </c>
      <c r="AK47" s="46">
        <v>0.22700000000000001</v>
      </c>
      <c r="AL47" s="47">
        <v>0.22700000000000001</v>
      </c>
      <c r="AM47" s="10"/>
    </row>
    <row r="48" spans="2:39">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2:39" ht="15" hidden="1">
      <c r="B49" s="10"/>
      <c r="C49" s="22" t="s">
        <v>89</v>
      </c>
      <c r="D49" s="23"/>
      <c r="E49" s="24">
        <f t="array" ref="E49:AL49">_yS</f>
        <v>2019</v>
      </c>
      <c r="F49" s="24">
        <v>2020</v>
      </c>
      <c r="G49" s="24">
        <v>2021</v>
      </c>
      <c r="H49" s="24">
        <v>2022</v>
      </c>
      <c r="I49" s="24">
        <v>2023</v>
      </c>
      <c r="J49" s="24">
        <v>2024</v>
      </c>
      <c r="K49" s="24">
        <v>2025</v>
      </c>
      <c r="L49" s="24">
        <v>2026</v>
      </c>
      <c r="M49" s="24">
        <v>2027</v>
      </c>
      <c r="N49" s="24">
        <v>2028</v>
      </c>
      <c r="O49" s="24">
        <v>2029</v>
      </c>
      <c r="P49" s="24">
        <v>2030</v>
      </c>
      <c r="Q49" s="24">
        <v>2031</v>
      </c>
      <c r="R49" s="24">
        <v>2032</v>
      </c>
      <c r="S49" s="24">
        <v>2033</v>
      </c>
      <c r="T49" s="24">
        <v>2034</v>
      </c>
      <c r="U49" s="24">
        <v>2035</v>
      </c>
      <c r="V49" s="24">
        <v>2036</v>
      </c>
      <c r="W49" s="24">
        <v>2037</v>
      </c>
      <c r="X49" s="24">
        <v>2038</v>
      </c>
      <c r="Y49" s="24">
        <v>2039</v>
      </c>
      <c r="Z49" s="24">
        <v>2040</v>
      </c>
      <c r="AA49" s="24">
        <v>2041</v>
      </c>
      <c r="AB49" s="24">
        <v>2042</v>
      </c>
      <c r="AC49" s="24">
        <v>2043</v>
      </c>
      <c r="AD49" s="24">
        <v>2044</v>
      </c>
      <c r="AE49" s="24">
        <v>2045</v>
      </c>
      <c r="AF49" s="24">
        <v>2046</v>
      </c>
      <c r="AG49" s="24">
        <v>2047</v>
      </c>
      <c r="AH49" s="24">
        <v>2048</v>
      </c>
      <c r="AI49" s="24">
        <v>2049</v>
      </c>
      <c r="AJ49" s="24">
        <v>2050</v>
      </c>
      <c r="AK49" s="24">
        <v>2051</v>
      </c>
      <c r="AL49" s="25">
        <v>2052</v>
      </c>
      <c r="AM49" s="10"/>
    </row>
    <row r="50" spans="2:39" ht="15" hidden="1">
      <c r="B50" s="10"/>
      <c r="C50" s="11" t="str">
        <f>"EL 0: " &amp; INDEX(_doName,6,1)</f>
        <v>EL 0: EL 5</v>
      </c>
      <c r="D50" s="12"/>
      <c r="E50" s="13">
        <f t="array" ref="E50:AL50">tlccQubc0</f>
        <v>1511.50310595065</v>
      </c>
      <c r="F50" s="13">
        <v>1511.50310595065</v>
      </c>
      <c r="G50" s="13">
        <v>1511.50310595065</v>
      </c>
      <c r="H50" s="13">
        <v>1511.50310595065</v>
      </c>
      <c r="I50" s="13">
        <v>1511.50310595065</v>
      </c>
      <c r="J50" s="13">
        <v>1511.50310595065</v>
      </c>
      <c r="K50" s="13">
        <v>1511.50310595065</v>
      </c>
      <c r="L50" s="13">
        <v>1511.50310595065</v>
      </c>
      <c r="M50" s="13">
        <v>1511.50310595065</v>
      </c>
      <c r="N50" s="13">
        <v>1511.50310595065</v>
      </c>
      <c r="O50" s="13">
        <v>1511.50310595065</v>
      </c>
      <c r="P50" s="13">
        <v>1511.50310595065</v>
      </c>
      <c r="Q50" s="13">
        <v>1511.50310595065</v>
      </c>
      <c r="R50" s="13">
        <v>1511.50310595065</v>
      </c>
      <c r="S50" s="13">
        <v>1511.50310595065</v>
      </c>
      <c r="T50" s="13">
        <v>1511.50310595065</v>
      </c>
      <c r="U50" s="13">
        <v>1511.50310595065</v>
      </c>
      <c r="V50" s="13">
        <v>1511.50310595065</v>
      </c>
      <c r="W50" s="13">
        <v>1511.50310595065</v>
      </c>
      <c r="X50" s="13">
        <v>1511.50310595065</v>
      </c>
      <c r="Y50" s="13">
        <v>1511.50310595065</v>
      </c>
      <c r="Z50" s="13">
        <v>1511.50310595065</v>
      </c>
      <c r="AA50" s="13">
        <v>1511.50310595065</v>
      </c>
      <c r="AB50" s="13">
        <v>1511.50310595065</v>
      </c>
      <c r="AC50" s="13">
        <v>1511.50310595065</v>
      </c>
      <c r="AD50" s="13">
        <v>1511.50310595065</v>
      </c>
      <c r="AE50" s="13">
        <v>1511.50310595065</v>
      </c>
      <c r="AF50" s="13">
        <v>1511.50310595065</v>
      </c>
      <c r="AG50" s="13">
        <v>1511.50310595065</v>
      </c>
      <c r="AH50" s="13">
        <v>1511.50310595065</v>
      </c>
      <c r="AI50" s="13">
        <v>1511.50310595065</v>
      </c>
      <c r="AJ50" s="13">
        <v>1511.50310595065</v>
      </c>
      <c r="AK50" s="13">
        <v>1511.50310595065</v>
      </c>
      <c r="AL50" s="56">
        <v>1511.50310595065</v>
      </c>
      <c r="AM50" s="10"/>
    </row>
    <row r="51" spans="2:39" ht="15" hidden="1">
      <c r="B51" s="10"/>
      <c r="C51" s="11" t="str">
        <f>"EL 1: " &amp; INDEX(_doName,6,2)</f>
        <v>EL 1: EL 1</v>
      </c>
      <c r="D51" s="12"/>
      <c r="E51" s="13">
        <f t="array" ref="E51:AL51">tlccQubc1</f>
        <v>1949.6807457627001</v>
      </c>
      <c r="F51" s="13">
        <v>1949.6807457627001</v>
      </c>
      <c r="G51" s="13">
        <v>1949.6807457627001</v>
      </c>
      <c r="H51" s="13">
        <v>1949.6807457627001</v>
      </c>
      <c r="I51" s="13">
        <v>1949.6807457627001</v>
      </c>
      <c r="J51" s="13">
        <v>1949.6807457627001</v>
      </c>
      <c r="K51" s="13">
        <v>1949.6807457627001</v>
      </c>
      <c r="L51" s="13">
        <v>1949.6807457627001</v>
      </c>
      <c r="M51" s="13">
        <v>1949.6807457627001</v>
      </c>
      <c r="N51" s="13">
        <v>1949.6807457627001</v>
      </c>
      <c r="O51" s="13">
        <v>1949.6807457627001</v>
      </c>
      <c r="P51" s="13">
        <v>1949.6807457627001</v>
      </c>
      <c r="Q51" s="13">
        <v>1949.6807457627001</v>
      </c>
      <c r="R51" s="13">
        <v>1949.6807457627001</v>
      </c>
      <c r="S51" s="13">
        <v>1949.6807457627001</v>
      </c>
      <c r="T51" s="13">
        <v>1949.6807457627001</v>
      </c>
      <c r="U51" s="13">
        <v>1949.6807457627001</v>
      </c>
      <c r="V51" s="13">
        <v>1949.6807457627001</v>
      </c>
      <c r="W51" s="13">
        <v>1949.6807457627001</v>
      </c>
      <c r="X51" s="13">
        <v>1949.6807457627001</v>
      </c>
      <c r="Y51" s="13">
        <v>1949.6807457627001</v>
      </c>
      <c r="Z51" s="13">
        <v>1949.6807457627001</v>
      </c>
      <c r="AA51" s="13">
        <v>1949.6807457627001</v>
      </c>
      <c r="AB51" s="13">
        <v>1949.6807457627001</v>
      </c>
      <c r="AC51" s="13">
        <v>1949.6807457627001</v>
      </c>
      <c r="AD51" s="13">
        <v>1949.6807457627001</v>
      </c>
      <c r="AE51" s="13">
        <v>1949.6807457627001</v>
      </c>
      <c r="AF51" s="13">
        <v>1949.6807457627001</v>
      </c>
      <c r="AG51" s="13">
        <v>1949.6807457627001</v>
      </c>
      <c r="AH51" s="13">
        <v>1949.6807457627001</v>
      </c>
      <c r="AI51" s="13">
        <v>1949.6807457627001</v>
      </c>
      <c r="AJ51" s="13">
        <v>1949.6807457627001</v>
      </c>
      <c r="AK51" s="13">
        <v>1949.6807457627001</v>
      </c>
      <c r="AL51" s="56">
        <v>1949.6807457627001</v>
      </c>
      <c r="AM51" s="10"/>
    </row>
    <row r="52" spans="2:39" ht="15" hidden="1">
      <c r="B52" s="10"/>
      <c r="C52" s="11" t="str">
        <f>"EL 2: " &amp; INDEX(_doName,6,3)</f>
        <v>EL 2: EL 2</v>
      </c>
      <c r="D52" s="12"/>
      <c r="E52" s="13">
        <f t="array" ref="E52:AL52">tlccQubc2</f>
        <v>2086.3818090452301</v>
      </c>
      <c r="F52" s="13">
        <v>2086.3818090452301</v>
      </c>
      <c r="G52" s="13">
        <v>2086.3818090452301</v>
      </c>
      <c r="H52" s="13">
        <v>2086.3818090452301</v>
      </c>
      <c r="I52" s="13">
        <v>2086.3818090452301</v>
      </c>
      <c r="J52" s="13">
        <v>2086.3818090452301</v>
      </c>
      <c r="K52" s="13">
        <v>2086.3818090452301</v>
      </c>
      <c r="L52" s="13">
        <v>2086.3818090452301</v>
      </c>
      <c r="M52" s="13">
        <v>2086.3818090452301</v>
      </c>
      <c r="N52" s="13">
        <v>2086.3818090452301</v>
      </c>
      <c r="O52" s="13">
        <v>2086.3818090452301</v>
      </c>
      <c r="P52" s="13">
        <v>2086.3818090452301</v>
      </c>
      <c r="Q52" s="13">
        <v>2086.3818090452301</v>
      </c>
      <c r="R52" s="13">
        <v>2086.3818090452301</v>
      </c>
      <c r="S52" s="13">
        <v>2086.3818090452301</v>
      </c>
      <c r="T52" s="13">
        <v>2086.3818090452301</v>
      </c>
      <c r="U52" s="13">
        <v>2086.3818090452301</v>
      </c>
      <c r="V52" s="13">
        <v>2086.3818090452301</v>
      </c>
      <c r="W52" s="13">
        <v>2086.3818090452301</v>
      </c>
      <c r="X52" s="13">
        <v>2086.3818090452301</v>
      </c>
      <c r="Y52" s="13">
        <v>2086.3818090452301</v>
      </c>
      <c r="Z52" s="13">
        <v>2086.3818090452301</v>
      </c>
      <c r="AA52" s="13">
        <v>2086.3818090452301</v>
      </c>
      <c r="AB52" s="13">
        <v>2086.3818090452301</v>
      </c>
      <c r="AC52" s="13">
        <v>2086.3818090452301</v>
      </c>
      <c r="AD52" s="13">
        <v>2086.3818090452301</v>
      </c>
      <c r="AE52" s="13">
        <v>2086.3818090452301</v>
      </c>
      <c r="AF52" s="13">
        <v>2086.3818090452301</v>
      </c>
      <c r="AG52" s="13">
        <v>2086.3818090452301</v>
      </c>
      <c r="AH52" s="13">
        <v>2086.3818090452301</v>
      </c>
      <c r="AI52" s="13">
        <v>2086.3818090452301</v>
      </c>
      <c r="AJ52" s="13">
        <v>2086.3818090452301</v>
      </c>
      <c r="AK52" s="13">
        <v>2086.3818090452301</v>
      </c>
      <c r="AL52" s="56">
        <v>2086.3818090452301</v>
      </c>
      <c r="AM52" s="10"/>
    </row>
    <row r="53" spans="2:39" ht="15" hidden="1">
      <c r="B53" s="10"/>
      <c r="C53" s="11" t="str">
        <f>"EL 3: " &amp; INDEX(_doName,6,4)</f>
        <v>EL 3: EL 3</v>
      </c>
      <c r="D53" s="12"/>
      <c r="E53" s="13">
        <f t="array" ref="E53:AL53">tlccQubc3</f>
        <v>2698.0561926605501</v>
      </c>
      <c r="F53" s="13">
        <v>2698.0561926605501</v>
      </c>
      <c r="G53" s="13">
        <v>2698.0561926605501</v>
      </c>
      <c r="H53" s="13">
        <v>2698.0561926605501</v>
      </c>
      <c r="I53" s="13">
        <v>2698.0561926605501</v>
      </c>
      <c r="J53" s="13">
        <v>2698.0561926605501</v>
      </c>
      <c r="K53" s="13">
        <v>2698.0561926605501</v>
      </c>
      <c r="L53" s="13">
        <v>2698.0561926605501</v>
      </c>
      <c r="M53" s="13">
        <v>2698.0561926605501</v>
      </c>
      <c r="N53" s="13">
        <v>2698.0561926605501</v>
      </c>
      <c r="O53" s="13">
        <v>2698.0561926605501</v>
      </c>
      <c r="P53" s="13">
        <v>2698.0561926605501</v>
      </c>
      <c r="Q53" s="13">
        <v>2698.0561926605501</v>
      </c>
      <c r="R53" s="13">
        <v>2698.0561926605501</v>
      </c>
      <c r="S53" s="13">
        <v>2698.0561926605501</v>
      </c>
      <c r="T53" s="13">
        <v>2698.0561926605501</v>
      </c>
      <c r="U53" s="13">
        <v>2698.0561926605501</v>
      </c>
      <c r="V53" s="13">
        <v>2698.0561926605501</v>
      </c>
      <c r="W53" s="13">
        <v>2698.0561926605501</v>
      </c>
      <c r="X53" s="13">
        <v>2698.0561926605501</v>
      </c>
      <c r="Y53" s="13">
        <v>2698.0561926605501</v>
      </c>
      <c r="Z53" s="13">
        <v>2698.0561926605501</v>
      </c>
      <c r="AA53" s="13">
        <v>2698.0561926605501</v>
      </c>
      <c r="AB53" s="13">
        <v>2698.0561926605501</v>
      </c>
      <c r="AC53" s="13">
        <v>2698.0561926605501</v>
      </c>
      <c r="AD53" s="13">
        <v>2698.0561926605501</v>
      </c>
      <c r="AE53" s="13">
        <v>2698.0561926605501</v>
      </c>
      <c r="AF53" s="13">
        <v>2698.0561926605501</v>
      </c>
      <c r="AG53" s="13">
        <v>2698.0561926605501</v>
      </c>
      <c r="AH53" s="13">
        <v>2698.0561926605501</v>
      </c>
      <c r="AI53" s="13">
        <v>2698.0561926605501</v>
      </c>
      <c r="AJ53" s="13">
        <v>2698.0561926605501</v>
      </c>
      <c r="AK53" s="13">
        <v>2698.0561926605501</v>
      </c>
      <c r="AL53" s="56">
        <v>2698.0561926605501</v>
      </c>
      <c r="AM53" s="10"/>
    </row>
    <row r="54" spans="2:39" ht="15" hidden="1">
      <c r="B54" s="10"/>
      <c r="C54" s="11" t="str">
        <f>"EL 4: " &amp; INDEX(_doName,6,5)</f>
        <v>EL 4: EL 4</v>
      </c>
      <c r="D54" s="12"/>
      <c r="E54" s="13">
        <f t="array" ref="E54:AL54">tlccQubc4</f>
        <v>2310.9753206002802</v>
      </c>
      <c r="F54" s="13">
        <v>2310.9753206002802</v>
      </c>
      <c r="G54" s="13">
        <v>2310.9753206002802</v>
      </c>
      <c r="H54" s="13">
        <v>2310.9753206002802</v>
      </c>
      <c r="I54" s="13">
        <v>2310.9753206002802</v>
      </c>
      <c r="J54" s="13">
        <v>2310.9753206002802</v>
      </c>
      <c r="K54" s="13">
        <v>2310.9753206002802</v>
      </c>
      <c r="L54" s="13">
        <v>2310.9753206002802</v>
      </c>
      <c r="M54" s="13">
        <v>2310.9753206002802</v>
      </c>
      <c r="N54" s="13">
        <v>2310.9753206002802</v>
      </c>
      <c r="O54" s="13">
        <v>2310.9753206002802</v>
      </c>
      <c r="P54" s="13">
        <v>2310.9753206002802</v>
      </c>
      <c r="Q54" s="13">
        <v>2310.9753206002802</v>
      </c>
      <c r="R54" s="13">
        <v>2310.9753206002802</v>
      </c>
      <c r="S54" s="13">
        <v>2310.9753206002802</v>
      </c>
      <c r="T54" s="13">
        <v>2310.9753206002802</v>
      </c>
      <c r="U54" s="13">
        <v>2310.9753206002802</v>
      </c>
      <c r="V54" s="13">
        <v>2310.9753206002802</v>
      </c>
      <c r="W54" s="13">
        <v>2310.9753206002802</v>
      </c>
      <c r="X54" s="13">
        <v>2310.9753206002802</v>
      </c>
      <c r="Y54" s="13">
        <v>2310.9753206002802</v>
      </c>
      <c r="Z54" s="13">
        <v>2310.9753206002802</v>
      </c>
      <c r="AA54" s="13">
        <v>2310.9753206002802</v>
      </c>
      <c r="AB54" s="13">
        <v>2310.9753206002802</v>
      </c>
      <c r="AC54" s="13">
        <v>2310.9753206002802</v>
      </c>
      <c r="AD54" s="13">
        <v>2310.9753206002802</v>
      </c>
      <c r="AE54" s="13">
        <v>2310.9753206002802</v>
      </c>
      <c r="AF54" s="13">
        <v>2310.9753206002802</v>
      </c>
      <c r="AG54" s="13">
        <v>2310.9753206002802</v>
      </c>
      <c r="AH54" s="13">
        <v>2310.9753206002802</v>
      </c>
      <c r="AI54" s="13">
        <v>2310.9753206002802</v>
      </c>
      <c r="AJ54" s="13">
        <v>2310.9753206002802</v>
      </c>
      <c r="AK54" s="13">
        <v>2310.9753206002802</v>
      </c>
      <c r="AL54" s="56">
        <v>2310.9753206002802</v>
      </c>
      <c r="AM54" s="10"/>
    </row>
    <row r="55" spans="2:39" ht="15" hidden="1">
      <c r="B55" s="10"/>
      <c r="C55" s="11" t="str">
        <f>"EL 5: " &amp; INDEX(_doName,6,6)</f>
        <v>EL 5: EL 5</v>
      </c>
      <c r="D55" s="12"/>
      <c r="E55" s="13">
        <f t="array" ref="E55:AL55">tlccQubc5</f>
        <v>2332.0783975747399</v>
      </c>
      <c r="F55" s="13">
        <v>2332.0783975747399</v>
      </c>
      <c r="G55" s="13">
        <v>2332.0783975747399</v>
      </c>
      <c r="H55" s="13">
        <v>2332.0783975747399</v>
      </c>
      <c r="I55" s="13">
        <v>2332.0783975747399</v>
      </c>
      <c r="J55" s="13">
        <v>2332.0783975747399</v>
      </c>
      <c r="K55" s="13">
        <v>2332.0783975747399</v>
      </c>
      <c r="L55" s="13">
        <v>2332.0783975747399</v>
      </c>
      <c r="M55" s="13">
        <v>2332.0783975747399</v>
      </c>
      <c r="N55" s="13">
        <v>2332.0783975747399</v>
      </c>
      <c r="O55" s="13">
        <v>2332.0783975747399</v>
      </c>
      <c r="P55" s="13">
        <v>2332.0783975747399</v>
      </c>
      <c r="Q55" s="13">
        <v>2332.0783975747399</v>
      </c>
      <c r="R55" s="13">
        <v>2332.0783975747399</v>
      </c>
      <c r="S55" s="13">
        <v>2332.0783975747399</v>
      </c>
      <c r="T55" s="13">
        <v>2332.0783975747399</v>
      </c>
      <c r="U55" s="13">
        <v>2332.0783975747399</v>
      </c>
      <c r="V55" s="13">
        <v>2332.0783975747399</v>
      </c>
      <c r="W55" s="13">
        <v>2332.0783975747399</v>
      </c>
      <c r="X55" s="13">
        <v>2332.0783975747399</v>
      </c>
      <c r="Y55" s="13">
        <v>2332.0783975747399</v>
      </c>
      <c r="Z55" s="13">
        <v>2332.0783975747399</v>
      </c>
      <c r="AA55" s="13">
        <v>2332.0783975747399</v>
      </c>
      <c r="AB55" s="13">
        <v>2332.0783975747399</v>
      </c>
      <c r="AC55" s="13">
        <v>2332.0783975747399</v>
      </c>
      <c r="AD55" s="13">
        <v>2332.0783975747399</v>
      </c>
      <c r="AE55" s="13">
        <v>2332.0783975747399</v>
      </c>
      <c r="AF55" s="13">
        <v>2332.0783975747399</v>
      </c>
      <c r="AG55" s="13">
        <v>2332.0783975747399</v>
      </c>
      <c r="AH55" s="13">
        <v>2332.0783975747399</v>
      </c>
      <c r="AI55" s="13">
        <v>2332.0783975747399</v>
      </c>
      <c r="AJ55" s="13">
        <v>2332.0783975747399</v>
      </c>
      <c r="AK55" s="13">
        <v>2332.0783975747399</v>
      </c>
      <c r="AL55" s="56">
        <v>2332.0783975747399</v>
      </c>
      <c r="AM55" s="10"/>
    </row>
    <row r="56" spans="2:39" ht="15" hidden="1">
      <c r="B56" s="10"/>
      <c r="C56" s="21" t="str">
        <f>"EL 6: " &amp; INDEX(_doName,6,7)</f>
        <v>EL 6: EL 6</v>
      </c>
      <c r="D56" s="18"/>
      <c r="E56" s="58">
        <f t="array" ref="E56:AL56">tlccQubc6</f>
        <v>1891.6428018076101</v>
      </c>
      <c r="F56" s="58">
        <v>1891.6428018076101</v>
      </c>
      <c r="G56" s="58">
        <v>1891.6428018076101</v>
      </c>
      <c r="H56" s="58">
        <v>1891.6428018076101</v>
      </c>
      <c r="I56" s="58">
        <v>1891.6428018076101</v>
      </c>
      <c r="J56" s="58">
        <v>1891.6428018076101</v>
      </c>
      <c r="K56" s="58">
        <v>1891.6428018076101</v>
      </c>
      <c r="L56" s="58">
        <v>1891.6428018076101</v>
      </c>
      <c r="M56" s="58">
        <v>1891.6428018076101</v>
      </c>
      <c r="N56" s="58">
        <v>1891.6428018076101</v>
      </c>
      <c r="O56" s="58">
        <v>1891.6428018076101</v>
      </c>
      <c r="P56" s="58">
        <v>1891.6428018076101</v>
      </c>
      <c r="Q56" s="58">
        <v>1891.6428018076101</v>
      </c>
      <c r="R56" s="58">
        <v>1891.6428018076101</v>
      </c>
      <c r="S56" s="58">
        <v>1891.6428018076101</v>
      </c>
      <c r="T56" s="58">
        <v>1891.6428018076101</v>
      </c>
      <c r="U56" s="58">
        <v>1891.6428018076101</v>
      </c>
      <c r="V56" s="58">
        <v>1891.6428018076101</v>
      </c>
      <c r="W56" s="58">
        <v>1891.6428018076101</v>
      </c>
      <c r="X56" s="58">
        <v>1891.6428018076101</v>
      </c>
      <c r="Y56" s="58">
        <v>1891.6428018076101</v>
      </c>
      <c r="Z56" s="58">
        <v>1891.6428018076101</v>
      </c>
      <c r="AA56" s="58">
        <v>1891.6428018076101</v>
      </c>
      <c r="AB56" s="58">
        <v>1891.6428018076101</v>
      </c>
      <c r="AC56" s="58">
        <v>1891.6428018076101</v>
      </c>
      <c r="AD56" s="58">
        <v>1891.6428018076101</v>
      </c>
      <c r="AE56" s="58">
        <v>1891.6428018076101</v>
      </c>
      <c r="AF56" s="58">
        <v>1891.6428018076101</v>
      </c>
      <c r="AG56" s="58">
        <v>1891.6428018076101</v>
      </c>
      <c r="AH56" s="58">
        <v>1891.6428018076101</v>
      </c>
      <c r="AI56" s="58">
        <v>1891.6428018076101</v>
      </c>
      <c r="AJ56" s="58">
        <v>1891.6428018076101</v>
      </c>
      <c r="AK56" s="58">
        <v>1891.6428018076101</v>
      </c>
      <c r="AL56" s="59">
        <v>1891.6428018076101</v>
      </c>
      <c r="AM56" s="10"/>
    </row>
    <row r="57" spans="2:39" ht="15" hidden="1">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2:39" ht="15" hidden="1">
      <c r="B58" s="10"/>
      <c r="C58" s="22" t="s">
        <v>88</v>
      </c>
      <c r="D58" s="23"/>
      <c r="E58" s="24">
        <f t="array" ref="E58:AL58">_yS</f>
        <v>2019</v>
      </c>
      <c r="F58" s="24">
        <v>2020</v>
      </c>
      <c r="G58" s="24">
        <v>2021</v>
      </c>
      <c r="H58" s="24">
        <v>2022</v>
      </c>
      <c r="I58" s="24">
        <v>2023</v>
      </c>
      <c r="J58" s="24">
        <v>2024</v>
      </c>
      <c r="K58" s="24">
        <v>2025</v>
      </c>
      <c r="L58" s="24">
        <v>2026</v>
      </c>
      <c r="M58" s="24">
        <v>2027</v>
      </c>
      <c r="N58" s="24">
        <v>2028</v>
      </c>
      <c r="O58" s="24">
        <v>2029</v>
      </c>
      <c r="P58" s="24">
        <v>2030</v>
      </c>
      <c r="Q58" s="24">
        <v>2031</v>
      </c>
      <c r="R58" s="24">
        <v>2032</v>
      </c>
      <c r="S58" s="24">
        <v>2033</v>
      </c>
      <c r="T58" s="24">
        <v>2034</v>
      </c>
      <c r="U58" s="24">
        <v>2035</v>
      </c>
      <c r="V58" s="24">
        <v>2036</v>
      </c>
      <c r="W58" s="24">
        <v>2037</v>
      </c>
      <c r="X58" s="24">
        <v>2038</v>
      </c>
      <c r="Y58" s="24">
        <v>2039</v>
      </c>
      <c r="Z58" s="24">
        <v>2040</v>
      </c>
      <c r="AA58" s="24">
        <v>2041</v>
      </c>
      <c r="AB58" s="24">
        <v>2042</v>
      </c>
      <c r="AC58" s="24">
        <v>2043</v>
      </c>
      <c r="AD58" s="24">
        <v>2044</v>
      </c>
      <c r="AE58" s="24">
        <v>2045</v>
      </c>
      <c r="AF58" s="24">
        <v>2046</v>
      </c>
      <c r="AG58" s="24">
        <v>2047</v>
      </c>
      <c r="AH58" s="24">
        <v>2048</v>
      </c>
      <c r="AI58" s="24">
        <v>2049</v>
      </c>
      <c r="AJ58" s="24">
        <v>2050</v>
      </c>
      <c r="AK58" s="24">
        <v>2051</v>
      </c>
      <c r="AL58" s="25">
        <v>2052</v>
      </c>
      <c r="AM58" s="10"/>
    </row>
    <row r="59" spans="2:39" ht="15" hidden="1">
      <c r="B59" s="10"/>
      <c r="C59" s="11" t="str">
        <f>"EL 0: " &amp; INDEX(_doName,6,1)</f>
        <v>EL 0: EL 5</v>
      </c>
      <c r="D59" s="12"/>
      <c r="E59" s="13">
        <f t="array" aca="1" ref="E59:AL59" ca="1">tlccEubc0</f>
        <v>43907.315976520942</v>
      </c>
      <c r="F59" s="13">
        <f ca="1"/>
        <v>44263.382883101818</v>
      </c>
      <c r="G59" s="13">
        <f ca="1"/>
        <v>44608.809872520309</v>
      </c>
      <c r="H59" s="13">
        <f ca="1"/>
        <v>44920.5600130534</v>
      </c>
      <c r="I59" s="13">
        <f ca="1"/>
        <v>45203.513381216413</v>
      </c>
      <c r="J59" s="13">
        <f ca="1"/>
        <v>45488.287065105797</v>
      </c>
      <c r="K59" s="13">
        <f ca="1"/>
        <v>45774.893052491534</v>
      </c>
      <c r="L59" s="13">
        <f ca="1"/>
        <v>46063.343412069211</v>
      </c>
      <c r="M59" s="13">
        <f ca="1"/>
        <v>46353.650294020183</v>
      </c>
      <c r="N59" s="13">
        <f ca="1"/>
        <v>46645.825930575695</v>
      </c>
      <c r="O59" s="13">
        <f ca="1"/>
        <v>46939.882636584967</v>
      </c>
      <c r="P59" s="13">
        <f ca="1"/>
        <v>47235.832810087129</v>
      </c>
      <c r="Q59" s="13">
        <f ca="1"/>
        <v>47533.688932887737</v>
      </c>
      <c r="R59" s="13">
        <f ca="1"/>
        <v>47833.463571138658</v>
      </c>
      <c r="S59" s="13">
        <f ca="1"/>
        <v>48135.169375922815</v>
      </c>
      <c r="T59" s="13">
        <f ca="1"/>
        <v>48438.819083842303</v>
      </c>
      <c r="U59" s="13">
        <f ca="1"/>
        <v>48744.42551761154</v>
      </c>
      <c r="V59" s="13">
        <f ca="1"/>
        <v>49052.001586653707</v>
      </c>
      <c r="W59" s="13">
        <f ca="1"/>
        <v>49361.56028770229</v>
      </c>
      <c r="X59" s="13">
        <f ca="1"/>
        <v>49673.114705406188</v>
      </c>
      <c r="Y59" s="13">
        <f ca="1"/>
        <v>49986.67801293973</v>
      </c>
      <c r="Z59" s="13">
        <f ca="1"/>
        <v>50302.263472616418</v>
      </c>
      <c r="AA59" s="13">
        <f ca="1"/>
        <v>50619.884436507484</v>
      </c>
      <c r="AB59" s="13">
        <f ca="1"/>
        <v>50939.554347064695</v>
      </c>
      <c r="AC59" s="13">
        <f ca="1"/>
        <v>51261.286737747512</v>
      </c>
      <c r="AD59" s="13">
        <f ca="1"/>
        <v>51585.095233654822</v>
      </c>
      <c r="AE59" s="13">
        <f ca="1"/>
        <v>51910.993552161097</v>
      </c>
      <c r="AF59" s="13">
        <f ca="1"/>
        <v>52238.995503557053</v>
      </c>
      <c r="AG59" s="13">
        <f ca="1"/>
        <v>52569.114991694878</v>
      </c>
      <c r="AH59" s="13">
        <f ca="1"/>
        <v>52901.366014638268</v>
      </c>
      <c r="AI59" s="13">
        <f ca="1"/>
        <v>53235.762665316557</v>
      </c>
      <c r="AJ59" s="13">
        <f ca="1"/>
        <v>53572.31913218413</v>
      </c>
      <c r="AK59" s="13">
        <f ca="1"/>
        <v>53911.049699884039</v>
      </c>
      <c r="AL59" s="56">
        <f ca="1"/>
        <v>54251.968749916603</v>
      </c>
      <c r="AM59" s="10"/>
    </row>
    <row r="60" spans="2:39" ht="15" hidden="1">
      <c r="B60" s="10"/>
      <c r="C60" s="11" t="str">
        <f>"EL 1: " &amp; INDEX(_doName,6,2)</f>
        <v>EL 1: EL 1</v>
      </c>
      <c r="D60" s="12"/>
      <c r="E60" s="13">
        <f t="array" aca="1" ref="E60:AL60" ca="1">tlccEubc1</f>
        <v>90399.62846316419</v>
      </c>
      <c r="F60" s="13">
        <f ca="1"/>
        <v>91132.725336590782</v>
      </c>
      <c r="G60" s="13">
        <f ca="1"/>
        <v>91843.915961890641</v>
      </c>
      <c r="H60" s="13">
        <f ca="1"/>
        <v>92485.770200774175</v>
      </c>
      <c r="I60" s="13">
        <f ca="1"/>
        <v>93068.335515584477</v>
      </c>
      <c r="J60" s="13">
        <f ca="1"/>
        <v>93654.648630999116</v>
      </c>
      <c r="K60" s="13">
        <f ca="1"/>
        <v>94244.73422832512</v>
      </c>
      <c r="L60" s="13">
        <f ca="1"/>
        <v>94838.617155485437</v>
      </c>
      <c r="M60" s="13">
        <f ca="1"/>
        <v>95436.322428171727</v>
      </c>
      <c r="N60" s="13">
        <f ca="1"/>
        <v>96037.875231005979</v>
      </c>
      <c r="O60" s="13">
        <f ca="1"/>
        <v>96643.300918710403</v>
      </c>
      <c r="P60" s="13">
        <f ca="1"/>
        <v>97252.625017284503</v>
      </c>
      <c r="Q60" s="13">
        <f ca="1"/>
        <v>97865.873225192583</v>
      </c>
      <c r="R60" s="13">
        <f ca="1"/>
        <v>98483.071414557053</v>
      </c>
      <c r="S60" s="13">
        <f ca="1"/>
        <v>99104.245632362858</v>
      </c>
      <c r="T60" s="13">
        <f ca="1"/>
        <v>99729.422101668111</v>
      </c>
      <c r="U60" s="13">
        <f ca="1"/>
        <v>100358.62722282525</v>
      </c>
      <c r="V60" s="13">
        <f ca="1"/>
        <v>100991.88757470918</v>
      </c>
      <c r="W60" s="13">
        <f ca="1"/>
        <v>101629.22991595577</v>
      </c>
      <c r="X60" s="13">
        <f ca="1"/>
        <v>102270.68118620773</v>
      </c>
      <c r="Y60" s="13">
        <f ca="1"/>
        <v>102916.26850737017</v>
      </c>
      <c r="Z60" s="13">
        <f ca="1"/>
        <v>103566.01918487465</v>
      </c>
      <c r="AA60" s="13">
        <f ca="1"/>
        <v>104219.96070895274</v>
      </c>
      <c r="AB60" s="13">
        <f ca="1"/>
        <v>104878.12075591799</v>
      </c>
      <c r="AC60" s="13">
        <f ca="1"/>
        <v>105540.52718945732</v>
      </c>
      <c r="AD60" s="13">
        <f ca="1"/>
        <v>106207.20806193171</v>
      </c>
      <c r="AE60" s="13">
        <f ca="1"/>
        <v>106878.19161568597</v>
      </c>
      <c r="AF60" s="13">
        <f ca="1"/>
        <v>107553.50628436764</v>
      </c>
      <c r="AG60" s="13">
        <f ca="1"/>
        <v>108233.18069425577</v>
      </c>
      <c r="AH60" s="13">
        <f ca="1"/>
        <v>108917.24366559859</v>
      </c>
      <c r="AI60" s="13">
        <f ca="1"/>
        <v>109605.72421396121</v>
      </c>
      <c r="AJ60" s="13">
        <f ca="1"/>
        <v>110298.65155158237</v>
      </c>
      <c r="AK60" s="13">
        <f ca="1"/>
        <v>110996.05508874147</v>
      </c>
      <c r="AL60" s="56">
        <f ca="1"/>
        <v>111697.96443513459</v>
      </c>
      <c r="AM60" s="10"/>
    </row>
    <row r="61" spans="2:39" ht="15" hidden="1">
      <c r="B61" s="10"/>
      <c r="C61" s="11" t="str">
        <f>"EL 2: " &amp; INDEX(_doName,6,3)</f>
        <v>EL 2: EL 2</v>
      </c>
      <c r="D61" s="12"/>
      <c r="E61" s="13">
        <f t="array" aca="1" ref="E61:AL61" ca="1">tlccEubc2</f>
        <v>77538.624544292135</v>
      </c>
      <c r="F61" s="13">
        <f ca="1"/>
        <v>78167.42495187762</v>
      </c>
      <c r="G61" s="13">
        <f ca="1"/>
        <v>78777.435676612207</v>
      </c>
      <c r="H61" s="13">
        <f ca="1"/>
        <v>79327.974386638263</v>
      </c>
      <c r="I61" s="13">
        <f ca="1"/>
        <v>79827.659108639287</v>
      </c>
      <c r="J61" s="13">
        <f ca="1"/>
        <v>80330.558437921951</v>
      </c>
      <c r="K61" s="13">
        <f ca="1"/>
        <v>80836.693544425172</v>
      </c>
      <c r="L61" s="13">
        <f ca="1"/>
        <v>81346.085740999435</v>
      </c>
      <c r="M61" s="13">
        <f ca="1"/>
        <v>81858.756484395795</v>
      </c>
      <c r="N61" s="13">
        <f ca="1"/>
        <v>82374.72737626225</v>
      </c>
      <c r="O61" s="13">
        <f ca="1"/>
        <v>82894.020164146903</v>
      </c>
      <c r="P61" s="13">
        <f ca="1"/>
        <v>83416.656742508363</v>
      </c>
      <c r="Q61" s="13">
        <f ca="1"/>
        <v>83942.659153733053</v>
      </c>
      <c r="R61" s="13">
        <f ca="1"/>
        <v>84472.049589160015</v>
      </c>
      <c r="S61" s="13">
        <f ca="1"/>
        <v>85004.850390113104</v>
      </c>
      <c r="T61" s="13">
        <f ca="1"/>
        <v>85541.08404894</v>
      </c>
      <c r="U61" s="13">
        <f ca="1"/>
        <v>86080.773210058847</v>
      </c>
      <c r="V61" s="13">
        <f ca="1"/>
        <v>86623.940671012824</v>
      </c>
      <c r="W61" s="13">
        <f ca="1"/>
        <v>87170.609383531249</v>
      </c>
      <c r="X61" s="13">
        <f ca="1"/>
        <v>87720.802454598917</v>
      </c>
      <c r="Y61" s="13">
        <f ca="1"/>
        <v>88274.543147532881</v>
      </c>
      <c r="Z61" s="13">
        <f ca="1"/>
        <v>88831.854883066684</v>
      </c>
      <c r="AA61" s="13">
        <f ca="1"/>
        <v>89392.761240442691</v>
      </c>
      <c r="AB61" s="13">
        <f ca="1"/>
        <v>89957.285958511435</v>
      </c>
      <c r="AC61" s="13">
        <f ca="1"/>
        <v>90525.452936839938</v>
      </c>
      <c r="AD61" s="13">
        <f ca="1"/>
        <v>91097.286236826534</v>
      </c>
      <c r="AE61" s="13">
        <f ca="1"/>
        <v>91672.81008282493</v>
      </c>
      <c r="AF61" s="13">
        <f ca="1"/>
        <v>92252.048863275195</v>
      </c>
      <c r="AG61" s="13">
        <f ca="1"/>
        <v>92835.027131843555</v>
      </c>
      <c r="AH61" s="13">
        <f ca="1"/>
        <v>93421.769608569724</v>
      </c>
      <c r="AI61" s="13">
        <f ca="1"/>
        <v>94012.301181022893</v>
      </c>
      <c r="AJ61" s="13">
        <f ca="1"/>
        <v>94606.64690546559</v>
      </c>
      <c r="AK61" s="13">
        <f ca="1"/>
        <v>95204.832008025784</v>
      </c>
      <c r="AL61" s="56">
        <f ca="1"/>
        <v>95806.881885877607</v>
      </c>
      <c r="AM61" s="10"/>
    </row>
    <row r="62" spans="2:39" ht="15" hidden="1">
      <c r="B62" s="10"/>
      <c r="C62" s="11" t="str">
        <f>"EL 3: " &amp; INDEX(_doName,6,4)</f>
        <v>EL 3: EL 3</v>
      </c>
      <c r="D62" s="12"/>
      <c r="E62" s="13">
        <f t="array" aca="1" ref="E62:AL62" ca="1">tlccEubc3</f>
        <v>104667.3773275048</v>
      </c>
      <c r="F62" s="13">
        <f ca="1"/>
        <v>105516.17868181368</v>
      </c>
      <c r="G62" s="13">
        <f ca="1"/>
        <v>106339.61633079003</v>
      </c>
      <c r="H62" s="13">
        <f ca="1"/>
        <v>107082.77425027038</v>
      </c>
      <c r="I62" s="13">
        <f ca="1"/>
        <v>107757.28569085676</v>
      </c>
      <c r="J62" s="13">
        <f ca="1"/>
        <v>108436.1364464014</v>
      </c>
      <c r="K62" s="13">
        <f ca="1"/>
        <v>109119.35509365518</v>
      </c>
      <c r="L62" s="13">
        <f ca="1"/>
        <v>109806.97040228205</v>
      </c>
      <c r="M62" s="13">
        <f ca="1"/>
        <v>110499.01133619341</v>
      </c>
      <c r="N62" s="13">
        <f ca="1"/>
        <v>111195.50705489353</v>
      </c>
      <c r="O62" s="13">
        <f ca="1"/>
        <v>111896.48691483332</v>
      </c>
      <c r="P62" s="13">
        <f ca="1"/>
        <v>112601.98047077416</v>
      </c>
      <c r="Q62" s="13">
        <f ca="1"/>
        <v>113312.01747716163</v>
      </c>
      <c r="R62" s="13">
        <f ca="1"/>
        <v>114026.62788950854</v>
      </c>
      <c r="S62" s="13">
        <f ca="1"/>
        <v>114745.84186578817</v>
      </c>
      <c r="T62" s="13">
        <f ca="1"/>
        <v>115469.68976783694</v>
      </c>
      <c r="U62" s="13">
        <f ca="1"/>
        <v>116198.2021627677</v>
      </c>
      <c r="V62" s="13">
        <f ca="1"/>
        <v>116931.40982439209</v>
      </c>
      <c r="W62" s="13">
        <f ca="1"/>
        <v>117669.34373465402</v>
      </c>
      <c r="X62" s="13">
        <f ca="1"/>
        <v>118412.0350850729</v>
      </c>
      <c r="Y62" s="13">
        <f ca="1"/>
        <v>119159.51527819654</v>
      </c>
      <c r="Z62" s="13">
        <f ca="1"/>
        <v>119911.81592906572</v>
      </c>
      <c r="AA62" s="13">
        <f ca="1"/>
        <v>120668.96886668753</v>
      </c>
      <c r="AB62" s="13">
        <f ca="1"/>
        <v>121431.00613552064</v>
      </c>
      <c r="AC62" s="13">
        <f ca="1"/>
        <v>122197.95999697024</v>
      </c>
      <c r="AD62" s="13">
        <f ca="1"/>
        <v>122969.86293089375</v>
      </c>
      <c r="AE62" s="13">
        <f ca="1"/>
        <v>123746.74763711751</v>
      </c>
      <c r="AF62" s="13">
        <f ca="1"/>
        <v>124528.64703696402</v>
      </c>
      <c r="AG62" s="13">
        <f ca="1"/>
        <v>125315.59427479038</v>
      </c>
      <c r="AH62" s="13">
        <f ca="1"/>
        <v>126107.62271953652</v>
      </c>
      <c r="AI62" s="13">
        <f ca="1"/>
        <v>126904.76596628643</v>
      </c>
      <c r="AJ62" s="13">
        <f ca="1"/>
        <v>127707.0578378387</v>
      </c>
      <c r="AK62" s="13">
        <f ca="1"/>
        <v>128514.53238628904</v>
      </c>
      <c r="AL62" s="56">
        <f ca="1"/>
        <v>129327.22389462375</v>
      </c>
      <c r="AM62" s="10"/>
    </row>
    <row r="63" spans="2:39" ht="15" hidden="1">
      <c r="B63" s="10"/>
      <c r="C63" s="11" t="str">
        <f>"EL 4: " &amp; INDEX(_doName,6,5)</f>
        <v>EL 4: EL 4</v>
      </c>
      <c r="D63" s="12"/>
      <c r="E63" s="13">
        <f t="array" aca="1" ref="E63:AL63" ca="1">tlccEubc4</f>
        <v>92371.505302103731</v>
      </c>
      <c r="F63" s="13">
        <f ca="1"/>
        <v>93120.593134453389</v>
      </c>
      <c r="G63" s="13">
        <f ca="1"/>
        <v>93847.2968801713</v>
      </c>
      <c r="H63" s="13">
        <f ca="1"/>
        <v>94503.151812742915</v>
      </c>
      <c r="I63" s="13">
        <f ca="1"/>
        <v>95098.424558667451</v>
      </c>
      <c r="J63" s="13">
        <f ca="1"/>
        <v>95697.526855545555</v>
      </c>
      <c r="K63" s="13">
        <f ca="1"/>
        <v>96300.483923055057</v>
      </c>
      <c r="L63" s="13">
        <f ca="1"/>
        <v>96907.321151123659</v>
      </c>
      <c r="M63" s="13">
        <f ca="1"/>
        <v>97518.064101107506</v>
      </c>
      <c r="N63" s="13">
        <f ca="1"/>
        <v>98132.738506977956</v>
      </c>
      <c r="O63" s="13">
        <f ca="1"/>
        <v>98751.370276516638</v>
      </c>
      <c r="P63" s="13">
        <f ca="1"/>
        <v>99373.985492519234</v>
      </c>
      <c r="Q63" s="13">
        <f ca="1"/>
        <v>100000.6104140073</v>
      </c>
      <c r="R63" s="13">
        <f ca="1"/>
        <v>100631.27147744925</v>
      </c>
      <c r="S63" s="13">
        <f ca="1"/>
        <v>101265.99529798969</v>
      </c>
      <c r="T63" s="13">
        <f ca="1"/>
        <v>101904.80867068752</v>
      </c>
      <c r="U63" s="13">
        <f ca="1"/>
        <v>102547.73857176286</v>
      </c>
      <c r="V63" s="13">
        <f ca="1"/>
        <v>103194.81215985284</v>
      </c>
      <c r="W63" s="13">
        <f ca="1"/>
        <v>103846.05677727632</v>
      </c>
      <c r="X63" s="13">
        <f ca="1"/>
        <v>104501.49995130731</v>
      </c>
      <c r="Y63" s="13">
        <f ca="1"/>
        <v>105161.16939545803</v>
      </c>
      <c r="Z63" s="13">
        <f ca="1"/>
        <v>105825.09301077026</v>
      </c>
      <c r="AA63" s="13">
        <f ca="1"/>
        <v>106493.29888711698</v>
      </c>
      <c r="AB63" s="13">
        <f ca="1"/>
        <v>107165.81530451194</v>
      </c>
      <c r="AC63" s="13">
        <f ca="1"/>
        <v>107842.67073442959</v>
      </c>
      <c r="AD63" s="13">
        <f ca="1"/>
        <v>108523.89384113376</v>
      </c>
      <c r="AE63" s="13">
        <f ca="1"/>
        <v>109209.51348301634</v>
      </c>
      <c r="AF63" s="13">
        <f ca="1"/>
        <v>109899.55871394485</v>
      </c>
      <c r="AG63" s="13">
        <f ca="1"/>
        <v>110594.05878462008</v>
      </c>
      <c r="AH63" s="13">
        <f ca="1"/>
        <v>111293.04314394317</v>
      </c>
      <c r="AI63" s="13">
        <f ca="1"/>
        <v>111996.54144039228</v>
      </c>
      <c r="AJ63" s="13">
        <f ca="1"/>
        <v>112704.58352340964</v>
      </c>
      <c r="AK63" s="13">
        <f ca="1"/>
        <v>113417.19944479743</v>
      </c>
      <c r="AL63" s="56">
        <f ca="1"/>
        <v>114134.41946012489</v>
      </c>
      <c r="AM63" s="10"/>
    </row>
    <row r="64" spans="2:39" ht="15" hidden="1">
      <c r="B64" s="10"/>
      <c r="C64" s="11" t="str">
        <f>"EL 5: " &amp; INDEX(_doName,6,6)</f>
        <v>EL 5: EL 5</v>
      </c>
      <c r="D64" s="12"/>
      <c r="E64" s="13">
        <f t="array" aca="1" ref="E64:AL64" ca="1">tlccEubc5</f>
        <v>84370.689020043923</v>
      </c>
      <c r="F64" s="13">
        <f ca="1"/>
        <v>85054.894136601943</v>
      </c>
      <c r="G64" s="13">
        <f ca="1"/>
        <v>85718.653978331742</v>
      </c>
      <c r="H64" s="13">
        <f ca="1"/>
        <v>86317.701621620523</v>
      </c>
      <c r="I64" s="13">
        <f ca="1"/>
        <v>86861.414442627924</v>
      </c>
      <c r="J64" s="13">
        <f ca="1"/>
        <v>87408.625115613962</v>
      </c>
      <c r="K64" s="13">
        <f ca="1"/>
        <v>87959.35667583812</v>
      </c>
      <c r="L64" s="13">
        <f ca="1"/>
        <v>88513.632314063521</v>
      </c>
      <c r="M64" s="13">
        <f ca="1"/>
        <v>89071.475377633207</v>
      </c>
      <c r="N64" s="13">
        <f ca="1"/>
        <v>89632.909371554502</v>
      </c>
      <c r="O64" s="13">
        <f ca="1"/>
        <v>90197.95795959</v>
      </c>
      <c r="P64" s="13">
        <f ca="1"/>
        <v>90766.644965357555</v>
      </c>
      <c r="Q64" s="13">
        <f ca="1"/>
        <v>91338.994373437177</v>
      </c>
      <c r="R64" s="13">
        <f ca="1"/>
        <v>91915.030330485723</v>
      </c>
      <c r="S64" s="13">
        <f ca="1"/>
        <v>92494.777146360255</v>
      </c>
      <c r="T64" s="13">
        <f ca="1"/>
        <v>93078.259295248688</v>
      </c>
      <c r="U64" s="13">
        <f ca="1"/>
        <v>93665.501416808882</v>
      </c>
      <c r="V64" s="13">
        <f ca="1"/>
        <v>94256.528317315446</v>
      </c>
      <c r="W64" s="13">
        <f ca="1"/>
        <v>94851.364970814873</v>
      </c>
      <c r="X64" s="13">
        <f ca="1"/>
        <v>95450.036520289155</v>
      </c>
      <c r="Y64" s="13">
        <f ca="1"/>
        <v>96052.568278826962</v>
      </c>
      <c r="Z64" s="13">
        <f ca="1"/>
        <v>96658.985730803892</v>
      </c>
      <c r="AA64" s="13">
        <f ca="1"/>
        <v>97269.314533070676</v>
      </c>
      <c r="AB64" s="13">
        <f ca="1"/>
        <v>97883.580516149945</v>
      </c>
      <c r="AC64" s="13">
        <f ca="1"/>
        <v>98501.809685441214</v>
      </c>
      <c r="AD64" s="13">
        <f ca="1"/>
        <v>99124.028222435227</v>
      </c>
      <c r="AE64" s="13">
        <f ca="1"/>
        <v>99750.262485935891</v>
      </c>
      <c r="AF64" s="13">
        <f ca="1"/>
        <v>100380.53901329165</v>
      </c>
      <c r="AG64" s="13">
        <f ca="1"/>
        <v>101014.88452163539</v>
      </c>
      <c r="AH64" s="13">
        <f ca="1"/>
        <v>101653.32590913305</v>
      </c>
      <c r="AI64" s="13">
        <f ca="1"/>
        <v>102295.89025624112</v>
      </c>
      <c r="AJ64" s="13">
        <f ca="1"/>
        <v>102942.60482697359</v>
      </c>
      <c r="AK64" s="13">
        <f ca="1"/>
        <v>103593.49707017677</v>
      </c>
      <c r="AL64" s="56">
        <f ca="1"/>
        <v>104248.59462081471</v>
      </c>
      <c r="AM64" s="10"/>
    </row>
    <row r="65" spans="2:39" ht="15" hidden="1">
      <c r="B65" s="10"/>
      <c r="C65" s="21" t="str">
        <f>"EL 6: " &amp; INDEX(_doName,6,7)</f>
        <v>EL 6: EL 6</v>
      </c>
      <c r="D65" s="18"/>
      <c r="E65" s="58">
        <f t="array" aca="1" ref="E65:AL65" ca="1">tlccEubc6</f>
        <v>47661.235288373544</v>
      </c>
      <c r="F65" s="58">
        <f ca="1"/>
        <v>48047.744648727748</v>
      </c>
      <c r="G65" s="58">
        <f ca="1"/>
        <v>48422.70441685462</v>
      </c>
      <c r="H65" s="58">
        <f ca="1"/>
        <v>48761.108085324704</v>
      </c>
      <c r="I65" s="58">
        <f ca="1"/>
        <v>49068.25295983415</v>
      </c>
      <c r="J65" s="58">
        <f ca="1"/>
        <v>49377.373780588641</v>
      </c>
      <c r="K65" s="58">
        <f ca="1"/>
        <v>49688.483560269822</v>
      </c>
      <c r="L65" s="58">
        <f ca="1"/>
        <v>50001.595399403879</v>
      </c>
      <c r="M65" s="58">
        <f ca="1"/>
        <v>50316.722486969404</v>
      </c>
      <c r="N65" s="58">
        <f ca="1"/>
        <v>50633.878101009876</v>
      </c>
      <c r="O65" s="58">
        <f ca="1"/>
        <v>50953.075609250329</v>
      </c>
      <c r="P65" s="58">
        <f ca="1"/>
        <v>51274.328469718152</v>
      </c>
      <c r="Q65" s="58">
        <f ca="1"/>
        <v>51597.650231368818</v>
      </c>
      <c r="R65" s="58">
        <f ca="1"/>
        <v>51923.054534715571</v>
      </c>
      <c r="S65" s="58">
        <f ca="1"/>
        <v>52250.555112463815</v>
      </c>
      <c r="T65" s="58">
        <f ca="1"/>
        <v>52580.165790149913</v>
      </c>
      <c r="U65" s="58">
        <f ca="1"/>
        <v>52911.900486784602</v>
      </c>
      <c r="V65" s="58">
        <f ca="1"/>
        <v>53245.773215500929</v>
      </c>
      <c r="W65" s="58">
        <f ca="1"/>
        <v>53581.798084206814</v>
      </c>
      <c r="X65" s="58">
        <f ca="1"/>
        <v>53919.989296242216</v>
      </c>
      <c r="Y65" s="58">
        <f ca="1"/>
        <v>54260.361151040808</v>
      </c>
      <c r="Z65" s="58">
        <f ca="1"/>
        <v>54602.92804479679</v>
      </c>
      <c r="AA65" s="58">
        <f ca="1"/>
        <v>54947.704471136014</v>
      </c>
      <c r="AB65" s="58">
        <f ca="1"/>
        <v>55294.70502179204</v>
      </c>
      <c r="AC65" s="58">
        <f ca="1"/>
        <v>55643.944387286967</v>
      </c>
      <c r="AD65" s="58">
        <f ca="1"/>
        <v>55995.437357617113</v>
      </c>
      <c r="AE65" s="58">
        <f ca="1"/>
        <v>56349.198822943668</v>
      </c>
      <c r="AF65" s="58">
        <f ca="1"/>
        <v>56705.243774288203</v>
      </c>
      <c r="AG65" s="58">
        <f ca="1"/>
        <v>57063.587304232737</v>
      </c>
      <c r="AH65" s="58">
        <f ca="1"/>
        <v>57424.2446076255</v>
      </c>
      <c r="AI65" s="58">
        <f ca="1"/>
        <v>57787.230982291308</v>
      </c>
      <c r="AJ65" s="58">
        <f ca="1"/>
        <v>58152.561829746832</v>
      </c>
      <c r="AK65" s="58">
        <f ca="1"/>
        <v>58520.252655921242</v>
      </c>
      <c r="AL65" s="59">
        <f ca="1"/>
        <v>58890.319071882033</v>
      </c>
      <c r="AM65" s="10"/>
    </row>
    <row r="66" spans="2:39" ht="15" hidden="1">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2:39" ht="15" hidden="1">
      <c r="B67" s="10"/>
      <c r="C67" s="22" t="s">
        <v>87</v>
      </c>
      <c r="D67" s="23"/>
      <c r="E67" s="24">
        <f t="array" ref="E67:AL67">_yS</f>
        <v>2019</v>
      </c>
      <c r="F67" s="24">
        <v>2020</v>
      </c>
      <c r="G67" s="24">
        <v>2021</v>
      </c>
      <c r="H67" s="24">
        <v>2022</v>
      </c>
      <c r="I67" s="24">
        <v>2023</v>
      </c>
      <c r="J67" s="24">
        <v>2024</v>
      </c>
      <c r="K67" s="24">
        <v>2025</v>
      </c>
      <c r="L67" s="24">
        <v>2026</v>
      </c>
      <c r="M67" s="24">
        <v>2027</v>
      </c>
      <c r="N67" s="24">
        <v>2028</v>
      </c>
      <c r="O67" s="24">
        <v>2029</v>
      </c>
      <c r="P67" s="24">
        <v>2030</v>
      </c>
      <c r="Q67" s="24">
        <v>2031</v>
      </c>
      <c r="R67" s="24">
        <v>2032</v>
      </c>
      <c r="S67" s="24">
        <v>2033</v>
      </c>
      <c r="T67" s="24">
        <v>2034</v>
      </c>
      <c r="U67" s="24">
        <v>2035</v>
      </c>
      <c r="V67" s="24">
        <v>2036</v>
      </c>
      <c r="W67" s="24">
        <v>2037</v>
      </c>
      <c r="X67" s="24">
        <v>2038</v>
      </c>
      <c r="Y67" s="24">
        <v>2039</v>
      </c>
      <c r="Z67" s="24">
        <v>2040</v>
      </c>
      <c r="AA67" s="24">
        <v>2041</v>
      </c>
      <c r="AB67" s="24">
        <v>2042</v>
      </c>
      <c r="AC67" s="24">
        <v>2043</v>
      </c>
      <c r="AD67" s="24">
        <v>2044</v>
      </c>
      <c r="AE67" s="24">
        <v>2045</v>
      </c>
      <c r="AF67" s="24">
        <v>2046</v>
      </c>
      <c r="AG67" s="24">
        <v>2047</v>
      </c>
      <c r="AH67" s="24">
        <v>2048</v>
      </c>
      <c r="AI67" s="24">
        <v>2049</v>
      </c>
      <c r="AJ67" s="24">
        <v>2050</v>
      </c>
      <c r="AK67" s="24">
        <v>2051</v>
      </c>
      <c r="AL67" s="25">
        <v>2052</v>
      </c>
      <c r="AM67" s="10"/>
    </row>
    <row r="68" spans="2:39" ht="15" hidden="1">
      <c r="B68" s="10"/>
      <c r="C68" s="11" t="str">
        <f>"EL 0: " &amp; INDEX(_doName,6,1)</f>
        <v>EL 0: EL 5</v>
      </c>
      <c r="D68" s="12"/>
      <c r="E68" s="13">
        <f t="array" aca="1" ref="E68:AL68" ca="1">tlccFubcElec0</f>
        <v>9263.7596862796563</v>
      </c>
      <c r="F68" s="13">
        <f ca="1"/>
        <v>9202.0337479908867</v>
      </c>
      <c r="G68" s="13">
        <f ca="1"/>
        <v>9147.4156365099916</v>
      </c>
      <c r="H68" s="13">
        <f ca="1"/>
        <v>9095.3050651133472</v>
      </c>
      <c r="I68" s="13">
        <f ca="1"/>
        <v>9049.5324836064228</v>
      </c>
      <c r="J68" s="13">
        <f ca="1"/>
        <v>9013.8613729323006</v>
      </c>
      <c r="K68" s="13">
        <f ca="1"/>
        <v>8984.3141901210438</v>
      </c>
      <c r="L68" s="13">
        <f ca="1"/>
        <v>8954.4781433413646</v>
      </c>
      <c r="M68" s="13">
        <f ca="1"/>
        <v>8930.4180387739652</v>
      </c>
      <c r="N68" s="13">
        <f ca="1"/>
        <v>8913.6428420409266</v>
      </c>
      <c r="O68" s="13">
        <f ca="1"/>
        <v>8901.1781488566739</v>
      </c>
      <c r="P68" s="13">
        <f ca="1"/>
        <v>8890.5916853671679</v>
      </c>
      <c r="Q68" s="13">
        <f ca="1"/>
        <v>8882.6932517436071</v>
      </c>
      <c r="R68" s="13">
        <f ca="1"/>
        <v>8876.6150197960324</v>
      </c>
      <c r="S68" s="13">
        <f ca="1"/>
        <v>8875.5143928678735</v>
      </c>
      <c r="T68" s="13">
        <f ca="1"/>
        <v>8876.527669526582</v>
      </c>
      <c r="U68" s="13">
        <f ca="1"/>
        <v>8878.2011945032154</v>
      </c>
      <c r="V68" s="13">
        <f ca="1"/>
        <v>8880.7845332097404</v>
      </c>
      <c r="W68" s="13">
        <f ca="1"/>
        <v>8883.3037992502541</v>
      </c>
      <c r="X68" s="13">
        <f ca="1"/>
        <v>8885.406509767341</v>
      </c>
      <c r="Y68" s="13">
        <f ca="1"/>
        <v>8886.805574182421</v>
      </c>
      <c r="Z68" s="13">
        <f ca="1"/>
        <v>8887.7610869261189</v>
      </c>
      <c r="AA68" s="13">
        <f ca="1"/>
        <v>8887.7610869261189</v>
      </c>
      <c r="AB68" s="13">
        <f ca="1"/>
        <v>8887.7610869261189</v>
      </c>
      <c r="AC68" s="13">
        <f ca="1"/>
        <v>8887.7610869261189</v>
      </c>
      <c r="AD68" s="13">
        <f ca="1"/>
        <v>8887.7610869261189</v>
      </c>
      <c r="AE68" s="13">
        <f ca="1"/>
        <v>8887.7610869261189</v>
      </c>
      <c r="AF68" s="13">
        <f ca="1"/>
        <v>8887.7610869261189</v>
      </c>
      <c r="AG68" s="13">
        <f ca="1"/>
        <v>8887.7610869261189</v>
      </c>
      <c r="AH68" s="13">
        <f ca="1"/>
        <v>8887.7610869261189</v>
      </c>
      <c r="AI68" s="13">
        <f ca="1"/>
        <v>8887.7610869261189</v>
      </c>
      <c r="AJ68" s="13">
        <f ca="1"/>
        <v>8887.7610869261189</v>
      </c>
      <c r="AK68" s="13">
        <f ca="1"/>
        <v>8887.7610869261189</v>
      </c>
      <c r="AL68" s="56">
        <f ca="1"/>
        <v>8887.7610869261189</v>
      </c>
      <c r="AM68" s="10"/>
    </row>
    <row r="69" spans="2:39" ht="15" hidden="1">
      <c r="B69" s="10"/>
      <c r="C69" s="11" t="str">
        <f>"EL 1: " &amp; INDEX(_doName,6,2)</f>
        <v>EL 1: EL 1</v>
      </c>
      <c r="D69" s="12"/>
      <c r="E69" s="13">
        <f t="array" aca="1" ref="E69:AL69" ca="1">tlccFubcElec1</f>
        <v>19072.91336731979</v>
      </c>
      <c r="F69" s="13">
        <f ca="1"/>
        <v>18945.827441802758</v>
      </c>
      <c r="G69" s="13">
        <f ca="1"/>
        <v>18833.375635641954</v>
      </c>
      <c r="H69" s="13">
        <f ca="1"/>
        <v>18726.086538404059</v>
      </c>
      <c r="I69" s="13">
        <f ca="1"/>
        <v>18631.846563356656</v>
      </c>
      <c r="J69" s="13">
        <f ca="1"/>
        <v>18558.404243322027</v>
      </c>
      <c r="K69" s="13">
        <f ca="1"/>
        <v>18497.57031875012</v>
      </c>
      <c r="L69" s="13">
        <f ca="1"/>
        <v>18436.141659682573</v>
      </c>
      <c r="M69" s="13">
        <f ca="1"/>
        <v>18386.604937491662</v>
      </c>
      <c r="N69" s="13">
        <f ca="1"/>
        <v>18352.066922166967</v>
      </c>
      <c r="O69" s="13">
        <f ca="1"/>
        <v>18326.403690249845</v>
      </c>
      <c r="P69" s="13">
        <f ca="1"/>
        <v>18304.607496497032</v>
      </c>
      <c r="Q69" s="13">
        <f ca="1"/>
        <v>18288.345617374369</v>
      </c>
      <c r="R69" s="13">
        <f ca="1"/>
        <v>18275.831304040625</v>
      </c>
      <c r="S69" s="13">
        <f ca="1"/>
        <v>18273.565251944998</v>
      </c>
      <c r="T69" s="13">
        <f ca="1"/>
        <v>18275.651460847555</v>
      </c>
      <c r="U69" s="13">
        <f ca="1"/>
        <v>18279.097037803167</v>
      </c>
      <c r="V69" s="13">
        <f ca="1"/>
        <v>18284.415806533856</v>
      </c>
      <c r="W69" s="13">
        <f ca="1"/>
        <v>18289.60265772248</v>
      </c>
      <c r="X69" s="13">
        <f ca="1"/>
        <v>18293.931873601035</v>
      </c>
      <c r="Y69" s="13">
        <f ca="1"/>
        <v>18296.812370860011</v>
      </c>
      <c r="Z69" s="13">
        <f ca="1"/>
        <v>18298.779651143512</v>
      </c>
      <c r="AA69" s="13">
        <f ca="1"/>
        <v>18298.779651143512</v>
      </c>
      <c r="AB69" s="13">
        <f ca="1"/>
        <v>18298.779651143512</v>
      </c>
      <c r="AC69" s="13">
        <f ca="1"/>
        <v>18298.779651143512</v>
      </c>
      <c r="AD69" s="13">
        <f ca="1"/>
        <v>18298.779651143512</v>
      </c>
      <c r="AE69" s="13">
        <f ca="1"/>
        <v>18298.779651143512</v>
      </c>
      <c r="AF69" s="13">
        <f ca="1"/>
        <v>18298.779651143512</v>
      </c>
      <c r="AG69" s="13">
        <f ca="1"/>
        <v>18298.779651143512</v>
      </c>
      <c r="AH69" s="13">
        <f ca="1"/>
        <v>18298.779651143512</v>
      </c>
      <c r="AI69" s="13">
        <f ca="1"/>
        <v>18298.779651143512</v>
      </c>
      <c r="AJ69" s="13">
        <f ca="1"/>
        <v>18298.779651143512</v>
      </c>
      <c r="AK69" s="13">
        <f ca="1"/>
        <v>18298.779651143512</v>
      </c>
      <c r="AL69" s="56">
        <f ca="1"/>
        <v>18298.779651143512</v>
      </c>
      <c r="AM69" s="10"/>
    </row>
    <row r="70" spans="2:39" ht="15" hidden="1">
      <c r="B70" s="10"/>
      <c r="C70" s="11" t="str">
        <f>"EL 2: " &amp; INDEX(_doName,6,3)</f>
        <v>EL 2: EL 2</v>
      </c>
      <c r="D70" s="12"/>
      <c r="E70" s="13">
        <f t="array" aca="1" ref="E70:AL70" ca="1">tlccFubcElec2</f>
        <v>16359.441888160331</v>
      </c>
      <c r="F70" s="13">
        <f ca="1"/>
        <v>16250.436264674345</v>
      </c>
      <c r="G70" s="13">
        <f ca="1"/>
        <v>16153.982788864068</v>
      </c>
      <c r="H70" s="13">
        <f ca="1"/>
        <v>16061.95753201453</v>
      </c>
      <c r="I70" s="13">
        <f ca="1"/>
        <v>15981.124920570323</v>
      </c>
      <c r="J70" s="13">
        <f ca="1"/>
        <v>15918.131116551012</v>
      </c>
      <c r="K70" s="13">
        <f ca="1"/>
        <v>15865.95193266356</v>
      </c>
      <c r="L70" s="13">
        <f ca="1"/>
        <v>15813.262626162274</v>
      </c>
      <c r="M70" s="13">
        <f ca="1"/>
        <v>15770.77341057129</v>
      </c>
      <c r="N70" s="13">
        <f ca="1"/>
        <v>15741.149060910853</v>
      </c>
      <c r="O70" s="13">
        <f ca="1"/>
        <v>15719.136894068533</v>
      </c>
      <c r="P70" s="13">
        <f ca="1"/>
        <v>15700.441608339757</v>
      </c>
      <c r="Q70" s="13">
        <f ca="1"/>
        <v>15686.493279556627</v>
      </c>
      <c r="R70" s="13">
        <f ca="1"/>
        <v>15675.759356646646</v>
      </c>
      <c r="S70" s="13">
        <f ca="1"/>
        <v>15673.815691991958</v>
      </c>
      <c r="T70" s="13">
        <f ca="1"/>
        <v>15675.605099443808</v>
      </c>
      <c r="U70" s="13">
        <f ca="1"/>
        <v>15678.560479929785</v>
      </c>
      <c r="V70" s="13">
        <f ca="1"/>
        <v>15683.12255633052</v>
      </c>
      <c r="W70" s="13">
        <f ca="1"/>
        <v>15687.571482877223</v>
      </c>
      <c r="X70" s="13">
        <f ca="1"/>
        <v>15691.284788454748</v>
      </c>
      <c r="Y70" s="13">
        <f ca="1"/>
        <v>15693.755482187251</v>
      </c>
      <c r="Z70" s="13">
        <f ca="1"/>
        <v>15695.44288079573</v>
      </c>
      <c r="AA70" s="13">
        <f ca="1"/>
        <v>15695.44288079573</v>
      </c>
      <c r="AB70" s="13">
        <f ca="1"/>
        <v>15695.44288079573</v>
      </c>
      <c r="AC70" s="13">
        <f ca="1"/>
        <v>15695.44288079573</v>
      </c>
      <c r="AD70" s="13">
        <f ca="1"/>
        <v>15695.44288079573</v>
      </c>
      <c r="AE70" s="13">
        <f ca="1"/>
        <v>15695.44288079573</v>
      </c>
      <c r="AF70" s="13">
        <f ca="1"/>
        <v>15695.44288079573</v>
      </c>
      <c r="AG70" s="13">
        <f ca="1"/>
        <v>15695.44288079573</v>
      </c>
      <c r="AH70" s="13">
        <f ca="1"/>
        <v>15695.44288079573</v>
      </c>
      <c r="AI70" s="13">
        <f ca="1"/>
        <v>15695.44288079573</v>
      </c>
      <c r="AJ70" s="13">
        <f ca="1"/>
        <v>15695.44288079573</v>
      </c>
      <c r="AK70" s="13">
        <f ca="1"/>
        <v>15695.44288079573</v>
      </c>
      <c r="AL70" s="56">
        <f ca="1"/>
        <v>15695.44288079573</v>
      </c>
      <c r="AM70" s="10"/>
    </row>
    <row r="71" spans="2:39" ht="15" hidden="1">
      <c r="B71" s="10"/>
      <c r="C71" s="11" t="str">
        <f>"EL 3: " &amp; INDEX(_doName,6,4)</f>
        <v>EL 3: EL 3</v>
      </c>
      <c r="D71" s="12"/>
      <c r="E71" s="13">
        <f t="array" aca="1" ref="E71:AL71" ca="1">tlccFubcElec3</f>
        <v>22083.186115809334</v>
      </c>
      <c r="F71" s="13">
        <f ca="1"/>
        <v>21936.04225310501</v>
      </c>
      <c r="G71" s="13">
        <f ca="1"/>
        <v>21805.84220884943</v>
      </c>
      <c r="H71" s="13">
        <f ca="1"/>
        <v>21681.619702467095</v>
      </c>
      <c r="I71" s="13">
        <f ca="1"/>
        <v>21572.505857694596</v>
      </c>
      <c r="J71" s="13">
        <f ca="1"/>
        <v>21487.472156189906</v>
      </c>
      <c r="K71" s="13">
        <f ca="1"/>
        <v>21417.036829787259</v>
      </c>
      <c r="L71" s="13">
        <f ca="1"/>
        <v>21345.912902104683</v>
      </c>
      <c r="M71" s="13">
        <f ca="1"/>
        <v>21288.557812473573</v>
      </c>
      <c r="N71" s="13">
        <f ca="1"/>
        <v>21248.568671549107</v>
      </c>
      <c r="O71" s="13">
        <f ca="1"/>
        <v>21218.85501869259</v>
      </c>
      <c r="P71" s="13">
        <f ca="1"/>
        <v>21193.618737585981</v>
      </c>
      <c r="Q71" s="13">
        <f ca="1"/>
        <v>21174.790250487946</v>
      </c>
      <c r="R71" s="13">
        <f ca="1"/>
        <v>21160.300806471798</v>
      </c>
      <c r="S71" s="13">
        <f ca="1"/>
        <v>21157.67710398796</v>
      </c>
      <c r="T71" s="13">
        <f ca="1"/>
        <v>21160.0925786763</v>
      </c>
      <c r="U71" s="13">
        <f ca="1"/>
        <v>21164.08197010915</v>
      </c>
      <c r="V71" s="13">
        <f ca="1"/>
        <v>21170.240198667354</v>
      </c>
      <c r="W71" s="13">
        <f ca="1"/>
        <v>21176.245689173578</v>
      </c>
      <c r="X71" s="13">
        <f ca="1"/>
        <v>21181.258184021139</v>
      </c>
      <c r="Y71" s="13">
        <f ca="1"/>
        <v>21184.593309381955</v>
      </c>
      <c r="Z71" s="13">
        <f ca="1"/>
        <v>21186.871084979517</v>
      </c>
      <c r="AA71" s="13">
        <f ca="1"/>
        <v>21186.871084979517</v>
      </c>
      <c r="AB71" s="13">
        <f ca="1"/>
        <v>21186.871084979517</v>
      </c>
      <c r="AC71" s="13">
        <f ca="1"/>
        <v>21186.871084979517</v>
      </c>
      <c r="AD71" s="13">
        <f ca="1"/>
        <v>21186.871084979517</v>
      </c>
      <c r="AE71" s="13">
        <f ca="1"/>
        <v>21186.871084979517</v>
      </c>
      <c r="AF71" s="13">
        <f ca="1"/>
        <v>21186.871084979517</v>
      </c>
      <c r="AG71" s="13">
        <f ca="1"/>
        <v>21186.871084979517</v>
      </c>
      <c r="AH71" s="13">
        <f ca="1"/>
        <v>21186.871084979517</v>
      </c>
      <c r="AI71" s="13">
        <f ca="1"/>
        <v>21186.871084979517</v>
      </c>
      <c r="AJ71" s="13">
        <f ca="1"/>
        <v>21186.871084979517</v>
      </c>
      <c r="AK71" s="13">
        <f ca="1"/>
        <v>21186.871084979517</v>
      </c>
      <c r="AL71" s="56">
        <f ca="1"/>
        <v>21186.871084979517</v>
      </c>
      <c r="AM71" s="10"/>
    </row>
    <row r="72" spans="2:39" ht="15" hidden="1">
      <c r="B72" s="10"/>
      <c r="C72" s="11" t="str">
        <f>"EL 4: " &amp; INDEX(_doName,6,5)</f>
        <v>EL 4: EL 4</v>
      </c>
      <c r="D72" s="12"/>
      <c r="E72" s="13">
        <f t="array" aca="1" ref="E72:AL72" ca="1">tlccFubcElec4</f>
        <v>19488.948662591414</v>
      </c>
      <c r="F72" s="13">
        <f ca="1"/>
        <v>19359.090626200232</v>
      </c>
      <c r="G72" s="13">
        <f ca="1"/>
        <v>19244.185921550408</v>
      </c>
      <c r="H72" s="13">
        <f ca="1"/>
        <v>19134.556539407469</v>
      </c>
      <c r="I72" s="13">
        <f ca="1"/>
        <v>19038.260918476812</v>
      </c>
      <c r="J72" s="13">
        <f ca="1"/>
        <v>18963.216609448024</v>
      </c>
      <c r="K72" s="13">
        <f ca="1"/>
        <v>18901.055721381636</v>
      </c>
      <c r="L72" s="13">
        <f ca="1"/>
        <v>18838.287125943531</v>
      </c>
      <c r="M72" s="13">
        <f ca="1"/>
        <v>18787.669864851894</v>
      </c>
      <c r="N72" s="13">
        <f ca="1"/>
        <v>18752.3784757176</v>
      </c>
      <c r="O72" s="13">
        <f ca="1"/>
        <v>18726.155454634416</v>
      </c>
      <c r="P72" s="13">
        <f ca="1"/>
        <v>18703.883822980264</v>
      </c>
      <c r="Q72" s="13">
        <f ca="1"/>
        <v>18687.267225333369</v>
      </c>
      <c r="R72" s="13">
        <f ca="1"/>
        <v>18674.479938702749</v>
      </c>
      <c r="S72" s="13">
        <f ca="1"/>
        <v>18672.164457469866</v>
      </c>
      <c r="T72" s="13">
        <f ca="1"/>
        <v>18674.296172610513</v>
      </c>
      <c r="U72" s="13">
        <f ca="1"/>
        <v>18677.816907545322</v>
      </c>
      <c r="V72" s="13">
        <f ca="1"/>
        <v>18683.251693974868</v>
      </c>
      <c r="W72" s="13">
        <f ca="1"/>
        <v>18688.551685359973</v>
      </c>
      <c r="X72" s="13">
        <f ca="1"/>
        <v>18692.975333933296</v>
      </c>
      <c r="Y72" s="13">
        <f ca="1"/>
        <v>18695.918663152159</v>
      </c>
      <c r="Z72" s="13">
        <f ca="1"/>
        <v>18697.928855497274</v>
      </c>
      <c r="AA72" s="13">
        <f ca="1"/>
        <v>18697.928855497274</v>
      </c>
      <c r="AB72" s="13">
        <f ca="1"/>
        <v>18697.928855497274</v>
      </c>
      <c r="AC72" s="13">
        <f ca="1"/>
        <v>18697.928855497274</v>
      </c>
      <c r="AD72" s="13">
        <f ca="1"/>
        <v>18697.928855497274</v>
      </c>
      <c r="AE72" s="13">
        <f ca="1"/>
        <v>18697.928855497274</v>
      </c>
      <c r="AF72" s="13">
        <f ca="1"/>
        <v>18697.928855497274</v>
      </c>
      <c r="AG72" s="13">
        <f ca="1"/>
        <v>18697.928855497274</v>
      </c>
      <c r="AH72" s="13">
        <f ca="1"/>
        <v>18697.928855497274</v>
      </c>
      <c r="AI72" s="13">
        <f ca="1"/>
        <v>18697.928855497274</v>
      </c>
      <c r="AJ72" s="13">
        <f ca="1"/>
        <v>18697.928855497274</v>
      </c>
      <c r="AK72" s="13">
        <f ca="1"/>
        <v>18697.928855497274</v>
      </c>
      <c r="AL72" s="56">
        <f ca="1"/>
        <v>18697.928855497274</v>
      </c>
      <c r="AM72" s="10"/>
    </row>
    <row r="73" spans="2:39" ht="15" hidden="1">
      <c r="B73" s="10"/>
      <c r="C73" s="11" t="str">
        <f>"EL 5: " &amp; INDEX(_doName,6,6)</f>
        <v>EL 5: EL 5</v>
      </c>
      <c r="D73" s="12"/>
      <c r="E73" s="13">
        <f t="array" aca="1" ref="E73:AL73" ca="1">tlccFubcElec5</f>
        <v>17800.901063172925</v>
      </c>
      <c r="F73" s="13">
        <f ca="1"/>
        <v>17682.29076263402</v>
      </c>
      <c r="G73" s="13">
        <f ca="1"/>
        <v>17577.338601561798</v>
      </c>
      <c r="H73" s="13">
        <f ca="1"/>
        <v>17477.204837605139</v>
      </c>
      <c r="I73" s="13">
        <f ca="1"/>
        <v>17389.24992271054</v>
      </c>
      <c r="J73" s="13">
        <f ca="1"/>
        <v>17320.705623913153</v>
      </c>
      <c r="K73" s="13">
        <f ca="1"/>
        <v>17263.928840433156</v>
      </c>
      <c r="L73" s="13">
        <f ca="1"/>
        <v>17206.596986539327</v>
      </c>
      <c r="M73" s="13">
        <f ca="1"/>
        <v>17160.363971491646</v>
      </c>
      <c r="N73" s="13">
        <f ca="1"/>
        <v>17128.129368320497</v>
      </c>
      <c r="O73" s="13">
        <f ca="1"/>
        <v>17104.177670773304</v>
      </c>
      <c r="P73" s="13">
        <f ca="1"/>
        <v>17083.835110563683</v>
      </c>
      <c r="Q73" s="13">
        <f ca="1"/>
        <v>17068.657770018541</v>
      </c>
      <c r="R73" s="13">
        <f ca="1"/>
        <v>17056.978062297057</v>
      </c>
      <c r="S73" s="13">
        <f ca="1"/>
        <v>17054.863137933829</v>
      </c>
      <c r="T73" s="13">
        <f ca="1"/>
        <v>17056.810213220982</v>
      </c>
      <c r="U73" s="13">
        <f ca="1"/>
        <v>17060.025997475394</v>
      </c>
      <c r="V73" s="13">
        <f ca="1"/>
        <v>17064.990046445237</v>
      </c>
      <c r="W73" s="13">
        <f ca="1"/>
        <v>17069.830975728557</v>
      </c>
      <c r="X73" s="13">
        <f ca="1"/>
        <v>17073.87146718632</v>
      </c>
      <c r="Y73" s="13">
        <f ca="1"/>
        <v>17076.559858085613</v>
      </c>
      <c r="Z73" s="13">
        <f ca="1"/>
        <v>17078.395936350935</v>
      </c>
      <c r="AA73" s="13">
        <f ca="1"/>
        <v>17078.395936350935</v>
      </c>
      <c r="AB73" s="13">
        <f ca="1"/>
        <v>17078.395936350935</v>
      </c>
      <c r="AC73" s="13">
        <f ca="1"/>
        <v>17078.395936350935</v>
      </c>
      <c r="AD73" s="13">
        <f ca="1"/>
        <v>17078.395936350935</v>
      </c>
      <c r="AE73" s="13">
        <f ca="1"/>
        <v>17078.395936350935</v>
      </c>
      <c r="AF73" s="13">
        <f ca="1"/>
        <v>17078.395936350935</v>
      </c>
      <c r="AG73" s="13">
        <f ca="1"/>
        <v>17078.395936350935</v>
      </c>
      <c r="AH73" s="13">
        <f ca="1"/>
        <v>17078.395936350935</v>
      </c>
      <c r="AI73" s="13">
        <f ca="1"/>
        <v>17078.395936350935</v>
      </c>
      <c r="AJ73" s="13">
        <f ca="1"/>
        <v>17078.395936350935</v>
      </c>
      <c r="AK73" s="13">
        <f ca="1"/>
        <v>17078.395936350935</v>
      </c>
      <c r="AL73" s="56">
        <f ca="1"/>
        <v>17078.395936350935</v>
      </c>
      <c r="AM73" s="10"/>
    </row>
    <row r="74" spans="2:39" ht="15" hidden="1">
      <c r="B74" s="10"/>
      <c r="C74" s="21" t="str">
        <f>"EL 6: " &amp; INDEX(_doName,6,7)</f>
        <v>EL 6: EL 6</v>
      </c>
      <c r="D74" s="18"/>
      <c r="E74" s="58">
        <f t="array" aca="1" ref="E74:AL74" ca="1">tlccFubcElec6</f>
        <v>10055.778182816377</v>
      </c>
      <c r="F74" s="58">
        <f ca="1"/>
        <v>9988.7748963993799</v>
      </c>
      <c r="G74" s="58">
        <f ca="1"/>
        <v>9929.4871306956047</v>
      </c>
      <c r="H74" s="58">
        <f ca="1"/>
        <v>9872.9212908324862</v>
      </c>
      <c r="I74" s="58">
        <f ca="1"/>
        <v>9823.2353164467077</v>
      </c>
      <c r="J74" s="58">
        <f ca="1"/>
        <v>9784.5144527130615</v>
      </c>
      <c r="K74" s="58">
        <f ca="1"/>
        <v>9752.4410908881455</v>
      </c>
      <c r="L74" s="58">
        <f ca="1"/>
        <v>9720.0541682531639</v>
      </c>
      <c r="M74" s="58">
        <f ca="1"/>
        <v>9693.9370103411929</v>
      </c>
      <c r="N74" s="58">
        <f ca="1"/>
        <v>9675.7275939667161</v>
      </c>
      <c r="O74" s="58">
        <f ca="1"/>
        <v>9662.1972138594538</v>
      </c>
      <c r="P74" s="58">
        <f ca="1"/>
        <v>9650.7056454038684</v>
      </c>
      <c r="Q74" s="58">
        <f ca="1"/>
        <v>9642.1319238048673</v>
      </c>
      <c r="R74" s="58">
        <f ca="1"/>
        <v>9635.534024649618</v>
      </c>
      <c r="S74" s="58">
        <f ca="1"/>
        <v>9634.3392980346798</v>
      </c>
      <c r="T74" s="58">
        <f ca="1"/>
        <v>9635.4392062428888</v>
      </c>
      <c r="U74" s="58">
        <f ca="1"/>
        <v>9637.2558116513101</v>
      </c>
      <c r="V74" s="58">
        <f ca="1"/>
        <v>9640.0600166267886</v>
      </c>
      <c r="W74" s="58">
        <f ca="1"/>
        <v>9642.7946709512544</v>
      </c>
      <c r="X74" s="58">
        <f ca="1"/>
        <v>9645.0771557369753</v>
      </c>
      <c r="Y74" s="58">
        <f ca="1"/>
        <v>9646.5958351822501</v>
      </c>
      <c r="Z74" s="58">
        <f ca="1"/>
        <v>9647.6330408662125</v>
      </c>
      <c r="AA74" s="58">
        <f ca="1"/>
        <v>9647.6330408662125</v>
      </c>
      <c r="AB74" s="58">
        <f ca="1"/>
        <v>9647.6330408662125</v>
      </c>
      <c r="AC74" s="58">
        <f ca="1"/>
        <v>9647.6330408662125</v>
      </c>
      <c r="AD74" s="58">
        <f ca="1"/>
        <v>9647.6330408662125</v>
      </c>
      <c r="AE74" s="58">
        <f ca="1"/>
        <v>9647.6330408662125</v>
      </c>
      <c r="AF74" s="58">
        <f ca="1"/>
        <v>9647.6330408662125</v>
      </c>
      <c r="AG74" s="58">
        <f ca="1"/>
        <v>9647.6330408662125</v>
      </c>
      <c r="AH74" s="58">
        <f ca="1"/>
        <v>9647.6330408662125</v>
      </c>
      <c r="AI74" s="58">
        <f ca="1"/>
        <v>9647.6330408662125</v>
      </c>
      <c r="AJ74" s="58">
        <f ca="1"/>
        <v>9647.6330408662125</v>
      </c>
      <c r="AK74" s="58">
        <f ca="1"/>
        <v>9647.6330408662125</v>
      </c>
      <c r="AL74" s="59">
        <f ca="1"/>
        <v>9647.6330408662125</v>
      </c>
      <c r="AM74" s="10"/>
    </row>
    <row r="75" spans="2:39" ht="15" hidden="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2:39" ht="15" hidden="1">
      <c r="B76" s="10"/>
      <c r="C76" s="22" t="s">
        <v>86</v>
      </c>
      <c r="D76" s="23"/>
      <c r="E76" s="24">
        <f t="array" ref="E76:AL76">_yS</f>
        <v>2019</v>
      </c>
      <c r="F76" s="24">
        <v>2020</v>
      </c>
      <c r="G76" s="24">
        <v>2021</v>
      </c>
      <c r="H76" s="24">
        <v>2022</v>
      </c>
      <c r="I76" s="24">
        <v>2023</v>
      </c>
      <c r="J76" s="24">
        <v>2024</v>
      </c>
      <c r="K76" s="24">
        <v>2025</v>
      </c>
      <c r="L76" s="24">
        <v>2026</v>
      </c>
      <c r="M76" s="24">
        <v>2027</v>
      </c>
      <c r="N76" s="24">
        <v>2028</v>
      </c>
      <c r="O76" s="24">
        <v>2029</v>
      </c>
      <c r="P76" s="24">
        <v>2030</v>
      </c>
      <c r="Q76" s="24">
        <v>2031</v>
      </c>
      <c r="R76" s="24">
        <v>2032</v>
      </c>
      <c r="S76" s="24">
        <v>2033</v>
      </c>
      <c r="T76" s="24">
        <v>2034</v>
      </c>
      <c r="U76" s="24">
        <v>2035</v>
      </c>
      <c r="V76" s="24">
        <v>2036</v>
      </c>
      <c r="W76" s="24">
        <v>2037</v>
      </c>
      <c r="X76" s="24">
        <v>2038</v>
      </c>
      <c r="Y76" s="24">
        <v>2039</v>
      </c>
      <c r="Z76" s="24">
        <v>2040</v>
      </c>
      <c r="AA76" s="24">
        <v>2041</v>
      </c>
      <c r="AB76" s="24">
        <v>2042</v>
      </c>
      <c r="AC76" s="24">
        <v>2043</v>
      </c>
      <c r="AD76" s="24">
        <v>2044</v>
      </c>
      <c r="AE76" s="24">
        <v>2045</v>
      </c>
      <c r="AF76" s="24">
        <v>2046</v>
      </c>
      <c r="AG76" s="24">
        <v>2047</v>
      </c>
      <c r="AH76" s="24">
        <v>2048</v>
      </c>
      <c r="AI76" s="24">
        <v>2049</v>
      </c>
      <c r="AJ76" s="24">
        <v>2050</v>
      </c>
      <c r="AK76" s="24">
        <v>2051</v>
      </c>
      <c r="AL76" s="25">
        <v>2052</v>
      </c>
      <c r="AM76" s="10"/>
    </row>
    <row r="77" spans="2:39" ht="15" hidden="1">
      <c r="B77" s="10"/>
      <c r="C77" s="11" t="str">
        <f>"EL 0: " &amp; INDEX(_doName,6,1)</f>
        <v>EL 0: EL 5</v>
      </c>
      <c r="D77" s="12"/>
      <c r="E77" s="13">
        <f t="array" aca="1" ref="E77:AL77" ca="1">tlccQupol0</f>
        <v>0</v>
      </c>
      <c r="F77" s="13">
        <f ca="1"/>
        <v>0</v>
      </c>
      <c r="G77" s="13">
        <f ca="1"/>
        <v>0</v>
      </c>
      <c r="H77" s="13">
        <f ca="1"/>
        <v>0</v>
      </c>
      <c r="I77" s="13">
        <f ca="1"/>
        <v>0</v>
      </c>
      <c r="J77" s="13">
        <f ca="1"/>
        <v>0</v>
      </c>
      <c r="K77" s="13">
        <f ca="1"/>
        <v>0</v>
      </c>
      <c r="L77" s="13">
        <f ca="1"/>
        <v>0</v>
      </c>
      <c r="M77" s="13">
        <f ca="1"/>
        <v>0</v>
      </c>
      <c r="N77" s="13">
        <f ca="1"/>
        <v>0</v>
      </c>
      <c r="O77" s="13">
        <f ca="1"/>
        <v>0</v>
      </c>
      <c r="P77" s="13">
        <f ca="1"/>
        <v>0</v>
      </c>
      <c r="Q77" s="13">
        <f ca="1"/>
        <v>0</v>
      </c>
      <c r="R77" s="13">
        <f ca="1"/>
        <v>0</v>
      </c>
      <c r="S77" s="13">
        <f ca="1"/>
        <v>0</v>
      </c>
      <c r="T77" s="13">
        <f ca="1"/>
        <v>0</v>
      </c>
      <c r="U77" s="13">
        <f ca="1"/>
        <v>0</v>
      </c>
      <c r="V77" s="13">
        <f ca="1"/>
        <v>0</v>
      </c>
      <c r="W77" s="13">
        <f ca="1"/>
        <v>0</v>
      </c>
      <c r="X77" s="13">
        <f ca="1"/>
        <v>0</v>
      </c>
      <c r="Y77" s="13">
        <f ca="1"/>
        <v>0</v>
      </c>
      <c r="Z77" s="13">
        <f ca="1"/>
        <v>0</v>
      </c>
      <c r="AA77" s="13">
        <f ca="1"/>
        <v>0</v>
      </c>
      <c r="AB77" s="13">
        <f ca="1"/>
        <v>0</v>
      </c>
      <c r="AC77" s="13">
        <f ca="1"/>
        <v>0</v>
      </c>
      <c r="AD77" s="13">
        <f ca="1"/>
        <v>0</v>
      </c>
      <c r="AE77" s="13">
        <f ca="1"/>
        <v>0</v>
      </c>
      <c r="AF77" s="13">
        <f ca="1"/>
        <v>0</v>
      </c>
      <c r="AG77" s="13">
        <f ca="1"/>
        <v>0</v>
      </c>
      <c r="AH77" s="13">
        <f ca="1"/>
        <v>0</v>
      </c>
      <c r="AI77" s="13">
        <f ca="1"/>
        <v>0</v>
      </c>
      <c r="AJ77" s="13">
        <f ca="1"/>
        <v>0</v>
      </c>
      <c r="AK77" s="13">
        <f ca="1"/>
        <v>0</v>
      </c>
      <c r="AL77" s="56">
        <f ca="1"/>
        <v>0</v>
      </c>
      <c r="AM77" s="10"/>
    </row>
    <row r="78" spans="2:39" ht="15" hidden="1">
      <c r="B78" s="10"/>
      <c r="C78" s="11" t="str">
        <f>"EL 1: " &amp; INDEX(_doName,6,2)</f>
        <v>EL 1: EL 1</v>
      </c>
      <c r="D78" s="12"/>
      <c r="E78" s="13">
        <f t="array" aca="1" ref="E78:AL78" ca="1">tlccQupol1</f>
        <v>0</v>
      </c>
      <c r="F78" s="13">
        <f ca="1"/>
        <v>0</v>
      </c>
      <c r="G78" s="13">
        <f ca="1"/>
        <v>0</v>
      </c>
      <c r="H78" s="13">
        <f ca="1"/>
        <v>0</v>
      </c>
      <c r="I78" s="13">
        <f ca="1"/>
        <v>0</v>
      </c>
      <c r="J78" s="13">
        <f ca="1"/>
        <v>0</v>
      </c>
      <c r="K78" s="13">
        <f ca="1"/>
        <v>0</v>
      </c>
      <c r="L78" s="13">
        <f ca="1"/>
        <v>0</v>
      </c>
      <c r="M78" s="13">
        <f ca="1"/>
        <v>0</v>
      </c>
      <c r="N78" s="13">
        <f ca="1"/>
        <v>0</v>
      </c>
      <c r="O78" s="13">
        <f ca="1"/>
        <v>0</v>
      </c>
      <c r="P78" s="13">
        <f ca="1"/>
        <v>0</v>
      </c>
      <c r="Q78" s="13">
        <f ca="1"/>
        <v>0</v>
      </c>
      <c r="R78" s="13">
        <f ca="1"/>
        <v>0</v>
      </c>
      <c r="S78" s="13">
        <f ca="1"/>
        <v>0</v>
      </c>
      <c r="T78" s="13">
        <f ca="1"/>
        <v>0</v>
      </c>
      <c r="U78" s="13">
        <f ca="1"/>
        <v>0</v>
      </c>
      <c r="V78" s="13">
        <f ca="1"/>
        <v>0</v>
      </c>
      <c r="W78" s="13">
        <f ca="1"/>
        <v>0</v>
      </c>
      <c r="X78" s="13">
        <f ca="1"/>
        <v>0</v>
      </c>
      <c r="Y78" s="13">
        <f ca="1"/>
        <v>0</v>
      </c>
      <c r="Z78" s="13">
        <f ca="1"/>
        <v>0</v>
      </c>
      <c r="AA78" s="13">
        <f ca="1"/>
        <v>0</v>
      </c>
      <c r="AB78" s="13">
        <f ca="1"/>
        <v>0</v>
      </c>
      <c r="AC78" s="13">
        <f ca="1"/>
        <v>0</v>
      </c>
      <c r="AD78" s="13">
        <f ca="1"/>
        <v>0</v>
      </c>
      <c r="AE78" s="13">
        <f ca="1"/>
        <v>0</v>
      </c>
      <c r="AF78" s="13">
        <f ca="1"/>
        <v>0</v>
      </c>
      <c r="AG78" s="13">
        <f ca="1"/>
        <v>0</v>
      </c>
      <c r="AH78" s="13">
        <f ca="1"/>
        <v>0</v>
      </c>
      <c r="AI78" s="13">
        <f ca="1"/>
        <v>0</v>
      </c>
      <c r="AJ78" s="13">
        <f ca="1"/>
        <v>0</v>
      </c>
      <c r="AK78" s="13">
        <f ca="1"/>
        <v>0</v>
      </c>
      <c r="AL78" s="56">
        <f ca="1"/>
        <v>0</v>
      </c>
      <c r="AM78" s="10"/>
    </row>
    <row r="79" spans="2:39" ht="15" hidden="1">
      <c r="B79" s="10"/>
      <c r="C79" s="11" t="str">
        <f>"EL 2: " &amp; INDEX(_doName,6,3)</f>
        <v>EL 2: EL 2</v>
      </c>
      <c r="D79" s="12"/>
      <c r="E79" s="13">
        <f t="array" aca="1" ref="E79:AL79" ca="1">tlccQupol2</f>
        <v>0</v>
      </c>
      <c r="F79" s="13">
        <f ca="1"/>
        <v>0</v>
      </c>
      <c r="G79" s="13">
        <f ca="1"/>
        <v>0</v>
      </c>
      <c r="H79" s="13">
        <f ca="1"/>
        <v>0</v>
      </c>
      <c r="I79" s="13">
        <f ca="1"/>
        <v>0</v>
      </c>
      <c r="J79" s="13">
        <f ca="1"/>
        <v>0</v>
      </c>
      <c r="K79" s="13">
        <f ca="1"/>
        <v>0</v>
      </c>
      <c r="L79" s="13">
        <f ca="1"/>
        <v>0</v>
      </c>
      <c r="M79" s="13">
        <f ca="1"/>
        <v>0</v>
      </c>
      <c r="N79" s="13">
        <f ca="1"/>
        <v>0</v>
      </c>
      <c r="O79" s="13">
        <f ca="1"/>
        <v>0</v>
      </c>
      <c r="P79" s="13">
        <f ca="1"/>
        <v>0</v>
      </c>
      <c r="Q79" s="13">
        <f ca="1"/>
        <v>0</v>
      </c>
      <c r="R79" s="13">
        <f ca="1"/>
        <v>0</v>
      </c>
      <c r="S79" s="13">
        <f ca="1"/>
        <v>0</v>
      </c>
      <c r="T79" s="13">
        <f ca="1"/>
        <v>0</v>
      </c>
      <c r="U79" s="13">
        <f ca="1"/>
        <v>0</v>
      </c>
      <c r="V79" s="13">
        <f ca="1"/>
        <v>0</v>
      </c>
      <c r="W79" s="13">
        <f ca="1"/>
        <v>0</v>
      </c>
      <c r="X79" s="13">
        <f ca="1"/>
        <v>0</v>
      </c>
      <c r="Y79" s="13">
        <f ca="1"/>
        <v>0</v>
      </c>
      <c r="Z79" s="13">
        <f ca="1"/>
        <v>0</v>
      </c>
      <c r="AA79" s="13">
        <f ca="1"/>
        <v>0</v>
      </c>
      <c r="AB79" s="13">
        <f ca="1"/>
        <v>0</v>
      </c>
      <c r="AC79" s="13">
        <f ca="1"/>
        <v>0</v>
      </c>
      <c r="AD79" s="13">
        <f ca="1"/>
        <v>0</v>
      </c>
      <c r="AE79" s="13">
        <f ca="1"/>
        <v>0</v>
      </c>
      <c r="AF79" s="13">
        <f ca="1"/>
        <v>0</v>
      </c>
      <c r="AG79" s="13">
        <f ca="1"/>
        <v>0</v>
      </c>
      <c r="AH79" s="13">
        <f ca="1"/>
        <v>0</v>
      </c>
      <c r="AI79" s="13">
        <f ca="1"/>
        <v>0</v>
      </c>
      <c r="AJ79" s="13">
        <f ca="1"/>
        <v>0</v>
      </c>
      <c r="AK79" s="13">
        <f ca="1"/>
        <v>0</v>
      </c>
      <c r="AL79" s="56">
        <f ca="1"/>
        <v>0</v>
      </c>
      <c r="AM79" s="10"/>
    </row>
    <row r="80" spans="2:39" ht="15" hidden="1">
      <c r="B80" s="10"/>
      <c r="C80" s="11" t="str">
        <f>"EL 3: " &amp; INDEX(_doName,6,4)</f>
        <v>EL 3: EL 3</v>
      </c>
      <c r="D80" s="12"/>
      <c r="E80" s="13">
        <f t="array" aca="1" ref="E80:AL80" ca="1">tlccQupol3</f>
        <v>0</v>
      </c>
      <c r="F80" s="13">
        <f ca="1"/>
        <v>0</v>
      </c>
      <c r="G80" s="13">
        <f ca="1"/>
        <v>0</v>
      </c>
      <c r="H80" s="13">
        <f ca="1"/>
        <v>0</v>
      </c>
      <c r="I80" s="13">
        <f ca="1"/>
        <v>0</v>
      </c>
      <c r="J80" s="13">
        <f ca="1"/>
        <v>0</v>
      </c>
      <c r="K80" s="13">
        <f ca="1"/>
        <v>0</v>
      </c>
      <c r="L80" s="13">
        <f ca="1"/>
        <v>0</v>
      </c>
      <c r="M80" s="13">
        <f ca="1"/>
        <v>0</v>
      </c>
      <c r="N80" s="13">
        <f ca="1"/>
        <v>0</v>
      </c>
      <c r="O80" s="13">
        <f ca="1"/>
        <v>0</v>
      </c>
      <c r="P80" s="13">
        <f ca="1"/>
        <v>0</v>
      </c>
      <c r="Q80" s="13">
        <f ca="1"/>
        <v>0</v>
      </c>
      <c r="R80" s="13">
        <f ca="1"/>
        <v>0</v>
      </c>
      <c r="S80" s="13">
        <f ca="1"/>
        <v>0</v>
      </c>
      <c r="T80" s="13">
        <f ca="1"/>
        <v>0</v>
      </c>
      <c r="U80" s="13">
        <f ca="1"/>
        <v>0</v>
      </c>
      <c r="V80" s="13">
        <f ca="1"/>
        <v>0</v>
      </c>
      <c r="W80" s="13">
        <f ca="1"/>
        <v>0</v>
      </c>
      <c r="X80" s="13">
        <f ca="1"/>
        <v>0</v>
      </c>
      <c r="Y80" s="13">
        <f ca="1"/>
        <v>0</v>
      </c>
      <c r="Z80" s="13">
        <f ca="1"/>
        <v>0</v>
      </c>
      <c r="AA80" s="13">
        <f ca="1"/>
        <v>0</v>
      </c>
      <c r="AB80" s="13">
        <f ca="1"/>
        <v>0</v>
      </c>
      <c r="AC80" s="13">
        <f ca="1"/>
        <v>0</v>
      </c>
      <c r="AD80" s="13">
        <f ca="1"/>
        <v>0</v>
      </c>
      <c r="AE80" s="13">
        <f ca="1"/>
        <v>0</v>
      </c>
      <c r="AF80" s="13">
        <f ca="1"/>
        <v>0</v>
      </c>
      <c r="AG80" s="13">
        <f ca="1"/>
        <v>0</v>
      </c>
      <c r="AH80" s="13">
        <f ca="1"/>
        <v>0</v>
      </c>
      <c r="AI80" s="13">
        <f ca="1"/>
        <v>0</v>
      </c>
      <c r="AJ80" s="13">
        <f ca="1"/>
        <v>0</v>
      </c>
      <c r="AK80" s="13">
        <f ca="1"/>
        <v>0</v>
      </c>
      <c r="AL80" s="56">
        <f ca="1"/>
        <v>0</v>
      </c>
      <c r="AM80" s="10"/>
    </row>
    <row r="81" spans="2:39" ht="15" hidden="1">
      <c r="B81" s="10"/>
      <c r="C81" s="11" t="str">
        <f>"EL 4: " &amp; INDEX(_doName,6,5)</f>
        <v>EL 4: EL 4</v>
      </c>
      <c r="D81" s="12"/>
      <c r="E81" s="13">
        <f t="array" aca="1" ref="E81:AL81" ca="1">tlccQupol4</f>
        <v>0</v>
      </c>
      <c r="F81" s="13">
        <f ca="1"/>
        <v>0</v>
      </c>
      <c r="G81" s="13">
        <f ca="1"/>
        <v>0</v>
      </c>
      <c r="H81" s="13">
        <f ca="1"/>
        <v>0</v>
      </c>
      <c r="I81" s="13">
        <f ca="1"/>
        <v>0</v>
      </c>
      <c r="J81" s="13">
        <f ca="1"/>
        <v>0</v>
      </c>
      <c r="K81" s="13">
        <f ca="1"/>
        <v>0</v>
      </c>
      <c r="L81" s="13">
        <f ca="1"/>
        <v>0</v>
      </c>
      <c r="M81" s="13">
        <f ca="1"/>
        <v>0</v>
      </c>
      <c r="N81" s="13">
        <f ca="1"/>
        <v>0</v>
      </c>
      <c r="O81" s="13">
        <f ca="1"/>
        <v>0</v>
      </c>
      <c r="P81" s="13">
        <f ca="1"/>
        <v>0</v>
      </c>
      <c r="Q81" s="13">
        <f ca="1"/>
        <v>0</v>
      </c>
      <c r="R81" s="13">
        <f ca="1"/>
        <v>0</v>
      </c>
      <c r="S81" s="13">
        <f ca="1"/>
        <v>0</v>
      </c>
      <c r="T81" s="13">
        <f ca="1"/>
        <v>0</v>
      </c>
      <c r="U81" s="13">
        <f ca="1"/>
        <v>0</v>
      </c>
      <c r="V81" s="13">
        <f ca="1"/>
        <v>0</v>
      </c>
      <c r="W81" s="13">
        <f ca="1"/>
        <v>0</v>
      </c>
      <c r="X81" s="13">
        <f ca="1"/>
        <v>0</v>
      </c>
      <c r="Y81" s="13">
        <f ca="1"/>
        <v>0</v>
      </c>
      <c r="Z81" s="13">
        <f ca="1"/>
        <v>0</v>
      </c>
      <c r="AA81" s="13">
        <f ca="1"/>
        <v>0</v>
      </c>
      <c r="AB81" s="13">
        <f ca="1"/>
        <v>0</v>
      </c>
      <c r="AC81" s="13">
        <f ca="1"/>
        <v>0</v>
      </c>
      <c r="AD81" s="13">
        <f ca="1"/>
        <v>0</v>
      </c>
      <c r="AE81" s="13">
        <f ca="1"/>
        <v>0</v>
      </c>
      <c r="AF81" s="13">
        <f ca="1"/>
        <v>0</v>
      </c>
      <c r="AG81" s="13">
        <f ca="1"/>
        <v>0</v>
      </c>
      <c r="AH81" s="13">
        <f ca="1"/>
        <v>0</v>
      </c>
      <c r="AI81" s="13">
        <f ca="1"/>
        <v>0</v>
      </c>
      <c r="AJ81" s="13">
        <f ca="1"/>
        <v>0</v>
      </c>
      <c r="AK81" s="13">
        <f ca="1"/>
        <v>0</v>
      </c>
      <c r="AL81" s="56">
        <f ca="1"/>
        <v>0</v>
      </c>
      <c r="AM81" s="10"/>
    </row>
    <row r="82" spans="2:39" ht="15" hidden="1">
      <c r="B82" s="10"/>
      <c r="C82" s="11" t="str">
        <f>"EL 5: " &amp; INDEX(_doName,6,6)</f>
        <v>EL 5: EL 5</v>
      </c>
      <c r="D82" s="12"/>
      <c r="E82" s="13">
        <f t="array" aca="1" ref="E82:AL82" ca="1">tlccQupol5</f>
        <v>2787.7943680121398</v>
      </c>
      <c r="F82" s="13">
        <f ca="1"/>
        <v>2787.7943680121398</v>
      </c>
      <c r="G82" s="13">
        <f ca="1"/>
        <v>2787.7943680121398</v>
      </c>
      <c r="H82" s="13">
        <f ca="1"/>
        <v>2787.7943680121398</v>
      </c>
      <c r="I82" s="13">
        <f ca="1"/>
        <v>2787.7943680121398</v>
      </c>
      <c r="J82" s="13">
        <f ca="1"/>
        <v>2787.7943680121398</v>
      </c>
      <c r="K82" s="13">
        <f ca="1"/>
        <v>2787.7943680121398</v>
      </c>
      <c r="L82" s="13">
        <f ca="1"/>
        <v>2787.7943680121398</v>
      </c>
      <c r="M82" s="13">
        <f ca="1"/>
        <v>2787.7943680121398</v>
      </c>
      <c r="N82" s="13">
        <f ca="1"/>
        <v>2787.7943680121398</v>
      </c>
      <c r="O82" s="13">
        <f ca="1"/>
        <v>2787.7943680121398</v>
      </c>
      <c r="P82" s="13">
        <f ca="1"/>
        <v>2787.7943680121398</v>
      </c>
      <c r="Q82" s="13">
        <f ca="1"/>
        <v>2787.7943680121398</v>
      </c>
      <c r="R82" s="13">
        <f ca="1"/>
        <v>2787.7943680121398</v>
      </c>
      <c r="S82" s="13">
        <f ca="1"/>
        <v>2787.7943680121398</v>
      </c>
      <c r="T82" s="13">
        <f ca="1"/>
        <v>2787.7943680121398</v>
      </c>
      <c r="U82" s="13">
        <f ca="1"/>
        <v>2787.7943680121398</v>
      </c>
      <c r="V82" s="13">
        <f ca="1"/>
        <v>2787.7943680121398</v>
      </c>
      <c r="W82" s="13">
        <f ca="1"/>
        <v>2787.7943680121398</v>
      </c>
      <c r="X82" s="13">
        <f ca="1"/>
        <v>2787.7943680121398</v>
      </c>
      <c r="Y82" s="13">
        <f ca="1"/>
        <v>2787.7943680121398</v>
      </c>
      <c r="Z82" s="13">
        <f ca="1"/>
        <v>2787.7943680121398</v>
      </c>
      <c r="AA82" s="13">
        <f ca="1"/>
        <v>2787.7943680121398</v>
      </c>
      <c r="AB82" s="13">
        <f ca="1"/>
        <v>2787.7943680121398</v>
      </c>
      <c r="AC82" s="13">
        <f ca="1"/>
        <v>2787.7943680121398</v>
      </c>
      <c r="AD82" s="13">
        <f ca="1"/>
        <v>2787.7943680121398</v>
      </c>
      <c r="AE82" s="13">
        <f ca="1"/>
        <v>2787.7943680121398</v>
      </c>
      <c r="AF82" s="13">
        <f ca="1"/>
        <v>2787.7943680121398</v>
      </c>
      <c r="AG82" s="13">
        <f ca="1"/>
        <v>2787.7943680121398</v>
      </c>
      <c r="AH82" s="13">
        <f ca="1"/>
        <v>2787.7943680121398</v>
      </c>
      <c r="AI82" s="13">
        <f ca="1"/>
        <v>2787.7943680121398</v>
      </c>
      <c r="AJ82" s="13">
        <f ca="1"/>
        <v>2787.7943680121398</v>
      </c>
      <c r="AK82" s="13">
        <f ca="1"/>
        <v>2787.7943680121398</v>
      </c>
      <c r="AL82" s="56">
        <f ca="1"/>
        <v>2787.7943680121398</v>
      </c>
      <c r="AM82" s="10"/>
    </row>
    <row r="83" spans="2:39" ht="15" hidden="1">
      <c r="B83" s="10"/>
      <c r="C83" s="21" t="str">
        <f>"EL 6: " &amp; INDEX(_doName,6,7)</f>
        <v>EL 6: EL 6</v>
      </c>
      <c r="D83" s="18"/>
      <c r="E83" s="58">
        <f t="array" aca="1" ref="E83:AL83" ca="1">tlccQupol6</f>
        <v>1891.6428018076101</v>
      </c>
      <c r="F83" s="58">
        <f ca="1"/>
        <v>1891.6428018076101</v>
      </c>
      <c r="G83" s="58">
        <f ca="1"/>
        <v>1891.6428018076101</v>
      </c>
      <c r="H83" s="58">
        <f ca="1"/>
        <v>1891.6428018076101</v>
      </c>
      <c r="I83" s="58">
        <f ca="1"/>
        <v>1891.6428018076101</v>
      </c>
      <c r="J83" s="58">
        <f ca="1"/>
        <v>1891.6428018076101</v>
      </c>
      <c r="K83" s="58">
        <f ca="1"/>
        <v>1891.6428018076101</v>
      </c>
      <c r="L83" s="58">
        <f ca="1"/>
        <v>1891.6428018076101</v>
      </c>
      <c r="M83" s="58">
        <f ca="1"/>
        <v>1891.6428018076101</v>
      </c>
      <c r="N83" s="58">
        <f ca="1"/>
        <v>1891.6428018076101</v>
      </c>
      <c r="O83" s="58">
        <f ca="1"/>
        <v>1891.6428018076101</v>
      </c>
      <c r="P83" s="58">
        <f ca="1"/>
        <v>1891.6428018076101</v>
      </c>
      <c r="Q83" s="58">
        <f ca="1"/>
        <v>1891.6428018076101</v>
      </c>
      <c r="R83" s="58">
        <f ca="1"/>
        <v>1891.6428018076101</v>
      </c>
      <c r="S83" s="58">
        <f ca="1"/>
        <v>1891.6428018076101</v>
      </c>
      <c r="T83" s="58">
        <f ca="1"/>
        <v>1891.6428018076101</v>
      </c>
      <c r="U83" s="58">
        <f ca="1"/>
        <v>1891.6428018076101</v>
      </c>
      <c r="V83" s="58">
        <f ca="1"/>
        <v>1891.6428018076101</v>
      </c>
      <c r="W83" s="58">
        <f ca="1"/>
        <v>1891.6428018076101</v>
      </c>
      <c r="X83" s="58">
        <f ca="1"/>
        <v>1891.6428018076101</v>
      </c>
      <c r="Y83" s="58">
        <f ca="1"/>
        <v>1891.6428018076101</v>
      </c>
      <c r="Z83" s="58">
        <f ca="1"/>
        <v>1891.6428018076101</v>
      </c>
      <c r="AA83" s="58">
        <f ca="1"/>
        <v>1891.6428018076101</v>
      </c>
      <c r="AB83" s="58">
        <f ca="1"/>
        <v>1891.6428018076101</v>
      </c>
      <c r="AC83" s="58">
        <f ca="1"/>
        <v>1891.6428018076101</v>
      </c>
      <c r="AD83" s="58">
        <f ca="1"/>
        <v>1891.6428018076101</v>
      </c>
      <c r="AE83" s="58">
        <f ca="1"/>
        <v>1891.6428018076101</v>
      </c>
      <c r="AF83" s="58">
        <f ca="1"/>
        <v>1891.6428018076101</v>
      </c>
      <c r="AG83" s="58">
        <f ca="1"/>
        <v>1891.6428018076101</v>
      </c>
      <c r="AH83" s="58">
        <f ca="1"/>
        <v>1891.6428018076101</v>
      </c>
      <c r="AI83" s="58">
        <f ca="1"/>
        <v>1891.6428018076101</v>
      </c>
      <c r="AJ83" s="58">
        <f ca="1"/>
        <v>1891.6428018076101</v>
      </c>
      <c r="AK83" s="58">
        <f ca="1"/>
        <v>1891.6428018076101</v>
      </c>
      <c r="AL83" s="59">
        <f ca="1"/>
        <v>1891.6428018076101</v>
      </c>
      <c r="AM83" s="10"/>
    </row>
    <row r="84" spans="2:39" ht="15" hidden="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2:39" ht="15" hidden="1">
      <c r="B85" s="10"/>
      <c r="C85" s="22" t="s">
        <v>85</v>
      </c>
      <c r="D85" s="23"/>
      <c r="E85" s="24">
        <f t="array" ref="E85:AL85">_yS</f>
        <v>2019</v>
      </c>
      <c r="F85" s="24">
        <v>2020</v>
      </c>
      <c r="G85" s="24">
        <v>2021</v>
      </c>
      <c r="H85" s="24">
        <v>2022</v>
      </c>
      <c r="I85" s="24">
        <v>2023</v>
      </c>
      <c r="J85" s="24">
        <v>2024</v>
      </c>
      <c r="K85" s="24">
        <v>2025</v>
      </c>
      <c r="L85" s="24">
        <v>2026</v>
      </c>
      <c r="M85" s="24">
        <v>2027</v>
      </c>
      <c r="N85" s="24">
        <v>2028</v>
      </c>
      <c r="O85" s="24">
        <v>2029</v>
      </c>
      <c r="P85" s="24">
        <v>2030</v>
      </c>
      <c r="Q85" s="24">
        <v>2031</v>
      </c>
      <c r="R85" s="24">
        <v>2032</v>
      </c>
      <c r="S85" s="24">
        <v>2033</v>
      </c>
      <c r="T85" s="24">
        <v>2034</v>
      </c>
      <c r="U85" s="24">
        <v>2035</v>
      </c>
      <c r="V85" s="24">
        <v>2036</v>
      </c>
      <c r="W85" s="24">
        <v>2037</v>
      </c>
      <c r="X85" s="24">
        <v>2038</v>
      </c>
      <c r="Y85" s="24">
        <v>2039</v>
      </c>
      <c r="Z85" s="24">
        <v>2040</v>
      </c>
      <c r="AA85" s="24">
        <v>2041</v>
      </c>
      <c r="AB85" s="24">
        <v>2042</v>
      </c>
      <c r="AC85" s="24">
        <v>2043</v>
      </c>
      <c r="AD85" s="24">
        <v>2044</v>
      </c>
      <c r="AE85" s="24">
        <v>2045</v>
      </c>
      <c r="AF85" s="24">
        <v>2046</v>
      </c>
      <c r="AG85" s="24">
        <v>2047</v>
      </c>
      <c r="AH85" s="24">
        <v>2048</v>
      </c>
      <c r="AI85" s="24">
        <v>2049</v>
      </c>
      <c r="AJ85" s="24">
        <v>2050</v>
      </c>
      <c r="AK85" s="24">
        <v>2051</v>
      </c>
      <c r="AL85" s="25">
        <v>2052</v>
      </c>
      <c r="AM85" s="10"/>
    </row>
    <row r="86" spans="2:39" ht="15" hidden="1">
      <c r="B86" s="10"/>
      <c r="C86" s="11" t="str">
        <f>"EL 0: " &amp; INDEX(_doName,6,1)</f>
        <v>EL 0: EL 5</v>
      </c>
      <c r="D86" s="12"/>
      <c r="E86" s="13">
        <f t="array" aca="1" ref="E86:AL86" ca="1">tlccEupol0</f>
        <v>0</v>
      </c>
      <c r="F86" s="13">
        <f ca="1"/>
        <v>0</v>
      </c>
      <c r="G86" s="13">
        <f ca="1"/>
        <v>0</v>
      </c>
      <c r="H86" s="13">
        <f ca="1"/>
        <v>0</v>
      </c>
      <c r="I86" s="13">
        <f ca="1"/>
        <v>0</v>
      </c>
      <c r="J86" s="13">
        <f ca="1"/>
        <v>0</v>
      </c>
      <c r="K86" s="13">
        <f ca="1"/>
        <v>0</v>
      </c>
      <c r="L86" s="13">
        <f ca="1"/>
        <v>0</v>
      </c>
      <c r="M86" s="13">
        <f ca="1"/>
        <v>0</v>
      </c>
      <c r="N86" s="13">
        <f ca="1"/>
        <v>0</v>
      </c>
      <c r="O86" s="13">
        <f ca="1"/>
        <v>0</v>
      </c>
      <c r="P86" s="13">
        <f ca="1"/>
        <v>0</v>
      </c>
      <c r="Q86" s="13">
        <f ca="1"/>
        <v>0</v>
      </c>
      <c r="R86" s="13">
        <f ca="1"/>
        <v>0</v>
      </c>
      <c r="S86" s="13">
        <f ca="1"/>
        <v>0</v>
      </c>
      <c r="T86" s="13">
        <f ca="1"/>
        <v>0</v>
      </c>
      <c r="U86" s="13">
        <f ca="1"/>
        <v>0</v>
      </c>
      <c r="V86" s="13">
        <f ca="1"/>
        <v>0</v>
      </c>
      <c r="W86" s="13">
        <f ca="1"/>
        <v>0</v>
      </c>
      <c r="X86" s="13">
        <f ca="1"/>
        <v>0</v>
      </c>
      <c r="Y86" s="13">
        <f ca="1"/>
        <v>0</v>
      </c>
      <c r="Z86" s="13">
        <f ca="1"/>
        <v>0</v>
      </c>
      <c r="AA86" s="13">
        <f ca="1"/>
        <v>0</v>
      </c>
      <c r="AB86" s="13">
        <f ca="1"/>
        <v>0</v>
      </c>
      <c r="AC86" s="13">
        <f ca="1"/>
        <v>0</v>
      </c>
      <c r="AD86" s="13">
        <f ca="1"/>
        <v>0</v>
      </c>
      <c r="AE86" s="13">
        <f ca="1"/>
        <v>0</v>
      </c>
      <c r="AF86" s="13">
        <f ca="1"/>
        <v>0</v>
      </c>
      <c r="AG86" s="13">
        <f ca="1"/>
        <v>0</v>
      </c>
      <c r="AH86" s="13">
        <f ca="1"/>
        <v>0</v>
      </c>
      <c r="AI86" s="13">
        <f ca="1"/>
        <v>0</v>
      </c>
      <c r="AJ86" s="13">
        <f ca="1"/>
        <v>0</v>
      </c>
      <c r="AK86" s="13">
        <f ca="1"/>
        <v>0</v>
      </c>
      <c r="AL86" s="56">
        <f ca="1"/>
        <v>0</v>
      </c>
      <c r="AM86" s="10"/>
    </row>
    <row r="87" spans="2:39" ht="15" hidden="1">
      <c r="B87" s="10"/>
      <c r="C87" s="11" t="str">
        <f>"EL 1: " &amp; INDEX(_doName,6,2)</f>
        <v>EL 1: EL 1</v>
      </c>
      <c r="D87" s="12"/>
      <c r="E87" s="13">
        <f t="array" aca="1" ref="E87:AL87" ca="1">tlccEupol1</f>
        <v>0</v>
      </c>
      <c r="F87" s="13">
        <f ca="1"/>
        <v>0</v>
      </c>
      <c r="G87" s="13">
        <f ca="1"/>
        <v>0</v>
      </c>
      <c r="H87" s="13">
        <f ca="1"/>
        <v>0</v>
      </c>
      <c r="I87" s="13">
        <f ca="1"/>
        <v>0</v>
      </c>
      <c r="J87" s="13">
        <f ca="1"/>
        <v>0</v>
      </c>
      <c r="K87" s="13">
        <f ca="1"/>
        <v>0</v>
      </c>
      <c r="L87" s="13">
        <f ca="1"/>
        <v>0</v>
      </c>
      <c r="M87" s="13">
        <f ca="1"/>
        <v>0</v>
      </c>
      <c r="N87" s="13">
        <f ca="1"/>
        <v>0</v>
      </c>
      <c r="O87" s="13">
        <f ca="1"/>
        <v>0</v>
      </c>
      <c r="P87" s="13">
        <f ca="1"/>
        <v>0</v>
      </c>
      <c r="Q87" s="13">
        <f ca="1"/>
        <v>0</v>
      </c>
      <c r="R87" s="13">
        <f ca="1"/>
        <v>0</v>
      </c>
      <c r="S87" s="13">
        <f ca="1"/>
        <v>0</v>
      </c>
      <c r="T87" s="13">
        <f ca="1"/>
        <v>0</v>
      </c>
      <c r="U87" s="13">
        <f ca="1"/>
        <v>0</v>
      </c>
      <c r="V87" s="13">
        <f ca="1"/>
        <v>0</v>
      </c>
      <c r="W87" s="13">
        <f ca="1"/>
        <v>0</v>
      </c>
      <c r="X87" s="13">
        <f ca="1"/>
        <v>0</v>
      </c>
      <c r="Y87" s="13">
        <f ca="1"/>
        <v>0</v>
      </c>
      <c r="Z87" s="13">
        <f ca="1"/>
        <v>0</v>
      </c>
      <c r="AA87" s="13">
        <f ca="1"/>
        <v>0</v>
      </c>
      <c r="AB87" s="13">
        <f ca="1"/>
        <v>0</v>
      </c>
      <c r="AC87" s="13">
        <f ca="1"/>
        <v>0</v>
      </c>
      <c r="AD87" s="13">
        <f ca="1"/>
        <v>0</v>
      </c>
      <c r="AE87" s="13">
        <f ca="1"/>
        <v>0</v>
      </c>
      <c r="AF87" s="13">
        <f ca="1"/>
        <v>0</v>
      </c>
      <c r="AG87" s="13">
        <f ca="1"/>
        <v>0</v>
      </c>
      <c r="AH87" s="13">
        <f ca="1"/>
        <v>0</v>
      </c>
      <c r="AI87" s="13">
        <f ca="1"/>
        <v>0</v>
      </c>
      <c r="AJ87" s="13">
        <f ca="1"/>
        <v>0</v>
      </c>
      <c r="AK87" s="13">
        <f ca="1"/>
        <v>0</v>
      </c>
      <c r="AL87" s="56">
        <f ca="1"/>
        <v>0</v>
      </c>
      <c r="AM87" s="10"/>
    </row>
    <row r="88" spans="2:39" ht="15" hidden="1">
      <c r="B88" s="10"/>
      <c r="C88" s="11" t="str">
        <f>"EL 2: " &amp; INDEX(_doName,6,3)</f>
        <v>EL 2: EL 2</v>
      </c>
      <c r="D88" s="12"/>
      <c r="E88" s="13">
        <f t="array" aca="1" ref="E88:AL88" ca="1">tlccEupol2</f>
        <v>0</v>
      </c>
      <c r="F88" s="13">
        <f ca="1"/>
        <v>0</v>
      </c>
      <c r="G88" s="13">
        <f ca="1"/>
        <v>0</v>
      </c>
      <c r="H88" s="13">
        <f ca="1"/>
        <v>0</v>
      </c>
      <c r="I88" s="13">
        <f ca="1"/>
        <v>0</v>
      </c>
      <c r="J88" s="13">
        <f ca="1"/>
        <v>0</v>
      </c>
      <c r="K88" s="13">
        <f ca="1"/>
        <v>0</v>
      </c>
      <c r="L88" s="13">
        <f ca="1"/>
        <v>0</v>
      </c>
      <c r="M88" s="13">
        <f ca="1"/>
        <v>0</v>
      </c>
      <c r="N88" s="13">
        <f ca="1"/>
        <v>0</v>
      </c>
      <c r="O88" s="13">
        <f ca="1"/>
        <v>0</v>
      </c>
      <c r="P88" s="13">
        <f ca="1"/>
        <v>0</v>
      </c>
      <c r="Q88" s="13">
        <f ca="1"/>
        <v>0</v>
      </c>
      <c r="R88" s="13">
        <f ca="1"/>
        <v>0</v>
      </c>
      <c r="S88" s="13">
        <f ca="1"/>
        <v>0</v>
      </c>
      <c r="T88" s="13">
        <f ca="1"/>
        <v>0</v>
      </c>
      <c r="U88" s="13">
        <f ca="1"/>
        <v>0</v>
      </c>
      <c r="V88" s="13">
        <f ca="1"/>
        <v>0</v>
      </c>
      <c r="W88" s="13">
        <f ca="1"/>
        <v>0</v>
      </c>
      <c r="X88" s="13">
        <f ca="1"/>
        <v>0</v>
      </c>
      <c r="Y88" s="13">
        <f ca="1"/>
        <v>0</v>
      </c>
      <c r="Z88" s="13">
        <f ca="1"/>
        <v>0</v>
      </c>
      <c r="AA88" s="13">
        <f ca="1"/>
        <v>0</v>
      </c>
      <c r="AB88" s="13">
        <f ca="1"/>
        <v>0</v>
      </c>
      <c r="AC88" s="13">
        <f ca="1"/>
        <v>0</v>
      </c>
      <c r="AD88" s="13">
        <f ca="1"/>
        <v>0</v>
      </c>
      <c r="AE88" s="13">
        <f ca="1"/>
        <v>0</v>
      </c>
      <c r="AF88" s="13">
        <f ca="1"/>
        <v>0</v>
      </c>
      <c r="AG88" s="13">
        <f ca="1"/>
        <v>0</v>
      </c>
      <c r="AH88" s="13">
        <f ca="1"/>
        <v>0</v>
      </c>
      <c r="AI88" s="13">
        <f ca="1"/>
        <v>0</v>
      </c>
      <c r="AJ88" s="13">
        <f ca="1"/>
        <v>0</v>
      </c>
      <c r="AK88" s="13">
        <f ca="1"/>
        <v>0</v>
      </c>
      <c r="AL88" s="56">
        <f ca="1"/>
        <v>0</v>
      </c>
      <c r="AM88" s="10"/>
    </row>
    <row r="89" spans="2:39" ht="15" hidden="1">
      <c r="B89" s="10"/>
      <c r="C89" s="11" t="str">
        <f>"EL 3: " &amp; INDEX(_doName,6,4)</f>
        <v>EL 3: EL 3</v>
      </c>
      <c r="D89" s="12"/>
      <c r="E89" s="13">
        <f t="array" aca="1" ref="E89:AL89" ca="1">tlccEupol3</f>
        <v>0</v>
      </c>
      <c r="F89" s="13">
        <f ca="1"/>
        <v>0</v>
      </c>
      <c r="G89" s="13">
        <f ca="1"/>
        <v>0</v>
      </c>
      <c r="H89" s="13">
        <f ca="1"/>
        <v>0</v>
      </c>
      <c r="I89" s="13">
        <f ca="1"/>
        <v>0</v>
      </c>
      <c r="J89" s="13">
        <f ca="1"/>
        <v>0</v>
      </c>
      <c r="K89" s="13">
        <f ca="1"/>
        <v>0</v>
      </c>
      <c r="L89" s="13">
        <f ca="1"/>
        <v>0</v>
      </c>
      <c r="M89" s="13">
        <f ca="1"/>
        <v>0</v>
      </c>
      <c r="N89" s="13">
        <f ca="1"/>
        <v>0</v>
      </c>
      <c r="O89" s="13">
        <f ca="1"/>
        <v>0</v>
      </c>
      <c r="P89" s="13">
        <f ca="1"/>
        <v>0</v>
      </c>
      <c r="Q89" s="13">
        <f ca="1"/>
        <v>0</v>
      </c>
      <c r="R89" s="13">
        <f ca="1"/>
        <v>0</v>
      </c>
      <c r="S89" s="13">
        <f ca="1"/>
        <v>0</v>
      </c>
      <c r="T89" s="13">
        <f ca="1"/>
        <v>0</v>
      </c>
      <c r="U89" s="13">
        <f ca="1"/>
        <v>0</v>
      </c>
      <c r="V89" s="13">
        <f ca="1"/>
        <v>0</v>
      </c>
      <c r="W89" s="13">
        <f ca="1"/>
        <v>0</v>
      </c>
      <c r="X89" s="13">
        <f ca="1"/>
        <v>0</v>
      </c>
      <c r="Y89" s="13">
        <f ca="1"/>
        <v>0</v>
      </c>
      <c r="Z89" s="13">
        <f ca="1"/>
        <v>0</v>
      </c>
      <c r="AA89" s="13">
        <f ca="1"/>
        <v>0</v>
      </c>
      <c r="AB89" s="13">
        <f ca="1"/>
        <v>0</v>
      </c>
      <c r="AC89" s="13">
        <f ca="1"/>
        <v>0</v>
      </c>
      <c r="AD89" s="13">
        <f ca="1"/>
        <v>0</v>
      </c>
      <c r="AE89" s="13">
        <f ca="1"/>
        <v>0</v>
      </c>
      <c r="AF89" s="13">
        <f ca="1"/>
        <v>0</v>
      </c>
      <c r="AG89" s="13">
        <f ca="1"/>
        <v>0</v>
      </c>
      <c r="AH89" s="13">
        <f ca="1"/>
        <v>0</v>
      </c>
      <c r="AI89" s="13">
        <f ca="1"/>
        <v>0</v>
      </c>
      <c r="AJ89" s="13">
        <f ca="1"/>
        <v>0</v>
      </c>
      <c r="AK89" s="13">
        <f ca="1"/>
        <v>0</v>
      </c>
      <c r="AL89" s="56">
        <f ca="1"/>
        <v>0</v>
      </c>
      <c r="AM89" s="10"/>
    </row>
    <row r="90" spans="2:39" ht="15" hidden="1">
      <c r="B90" s="10"/>
      <c r="C90" s="11" t="str">
        <f>"EL 4: " &amp; INDEX(_doName,6,5)</f>
        <v>EL 4: EL 4</v>
      </c>
      <c r="D90" s="12"/>
      <c r="E90" s="13">
        <f t="array" aca="1" ref="E90:AL90" ca="1">tlccEupol4</f>
        <v>0</v>
      </c>
      <c r="F90" s="13">
        <f ca="1"/>
        <v>0</v>
      </c>
      <c r="G90" s="13">
        <f ca="1"/>
        <v>0</v>
      </c>
      <c r="H90" s="13">
        <f ca="1"/>
        <v>0</v>
      </c>
      <c r="I90" s="13">
        <f ca="1"/>
        <v>0</v>
      </c>
      <c r="J90" s="13">
        <f ca="1"/>
        <v>0</v>
      </c>
      <c r="K90" s="13">
        <f ca="1"/>
        <v>0</v>
      </c>
      <c r="L90" s="13">
        <f ca="1"/>
        <v>0</v>
      </c>
      <c r="M90" s="13">
        <f ca="1"/>
        <v>0</v>
      </c>
      <c r="N90" s="13">
        <f ca="1"/>
        <v>0</v>
      </c>
      <c r="O90" s="13">
        <f ca="1"/>
        <v>0</v>
      </c>
      <c r="P90" s="13">
        <f ca="1"/>
        <v>0</v>
      </c>
      <c r="Q90" s="13">
        <f ca="1"/>
        <v>0</v>
      </c>
      <c r="R90" s="13">
        <f ca="1"/>
        <v>0</v>
      </c>
      <c r="S90" s="13">
        <f ca="1"/>
        <v>0</v>
      </c>
      <c r="T90" s="13">
        <f ca="1"/>
        <v>0</v>
      </c>
      <c r="U90" s="13">
        <f ca="1"/>
        <v>0</v>
      </c>
      <c r="V90" s="13">
        <f ca="1"/>
        <v>0</v>
      </c>
      <c r="W90" s="13">
        <f ca="1"/>
        <v>0</v>
      </c>
      <c r="X90" s="13">
        <f ca="1"/>
        <v>0</v>
      </c>
      <c r="Y90" s="13">
        <f ca="1"/>
        <v>0</v>
      </c>
      <c r="Z90" s="13">
        <f ca="1"/>
        <v>0</v>
      </c>
      <c r="AA90" s="13">
        <f ca="1"/>
        <v>0</v>
      </c>
      <c r="AB90" s="13">
        <f ca="1"/>
        <v>0</v>
      </c>
      <c r="AC90" s="13">
        <f ca="1"/>
        <v>0</v>
      </c>
      <c r="AD90" s="13">
        <f ca="1"/>
        <v>0</v>
      </c>
      <c r="AE90" s="13">
        <f ca="1"/>
        <v>0</v>
      </c>
      <c r="AF90" s="13">
        <f ca="1"/>
        <v>0</v>
      </c>
      <c r="AG90" s="13">
        <f ca="1"/>
        <v>0</v>
      </c>
      <c r="AH90" s="13">
        <f ca="1"/>
        <v>0</v>
      </c>
      <c r="AI90" s="13">
        <f ca="1"/>
        <v>0</v>
      </c>
      <c r="AJ90" s="13">
        <f ca="1"/>
        <v>0</v>
      </c>
      <c r="AK90" s="13">
        <f ca="1"/>
        <v>0</v>
      </c>
      <c r="AL90" s="56">
        <f ca="1"/>
        <v>0</v>
      </c>
      <c r="AM90" s="10"/>
    </row>
    <row r="91" spans="2:39" ht="15" hidden="1">
      <c r="B91" s="10"/>
      <c r="C91" s="11" t="str">
        <f>"EL 5: " &amp; INDEX(_doName,6,6)</f>
        <v>EL 5: EL 5</v>
      </c>
      <c r="D91" s="12"/>
      <c r="E91" s="13">
        <f t="array" aca="1" ref="E91:AL91" ca="1">tlccEupol5</f>
        <v>75308.089187099511</v>
      </c>
      <c r="F91" s="13">
        <f ca="1"/>
        <v>75918.801041399769</v>
      </c>
      <c r="G91" s="13">
        <f ca="1"/>
        <v>76511.263731231884</v>
      </c>
      <c r="H91" s="13">
        <f ca="1"/>
        <v>77045.965223801133</v>
      </c>
      <c r="I91" s="13">
        <f ca="1"/>
        <v>77531.27563304604</v>
      </c>
      <c r="J91" s="13">
        <f ca="1"/>
        <v>78019.708175721884</v>
      </c>
      <c r="K91" s="13">
        <f ca="1"/>
        <v>78511.283412776713</v>
      </c>
      <c r="L91" s="13">
        <f ca="1"/>
        <v>79006.022043959412</v>
      </c>
      <c r="M91" s="13">
        <f ca="1"/>
        <v>79503.944908779493</v>
      </c>
      <c r="N91" s="13">
        <f ca="1"/>
        <v>80005.072987475694</v>
      </c>
      <c r="O91" s="13">
        <f ca="1"/>
        <v>80509.427401989451</v>
      </c>
      <c r="P91" s="13">
        <f ca="1"/>
        <v>81017.029416946592</v>
      </c>
      <c r="Q91" s="13">
        <f ca="1"/>
        <v>81527.900440645273</v>
      </c>
      <c r="R91" s="13">
        <f ca="1"/>
        <v>82042.062026051804</v>
      </c>
      <c r="S91" s="13">
        <f ca="1"/>
        <v>82559.535871802262</v>
      </c>
      <c r="T91" s="13">
        <f ca="1"/>
        <v>83080.343823212155</v>
      </c>
      <c r="U91" s="13">
        <f ca="1"/>
        <v>83604.507873293245</v>
      </c>
      <c r="V91" s="13">
        <f ca="1"/>
        <v>84132.050163776905</v>
      </c>
      <c r="W91" s="13">
        <f ca="1"/>
        <v>84662.992986145648</v>
      </c>
      <c r="X91" s="13">
        <f ca="1"/>
        <v>85197.358782670999</v>
      </c>
      <c r="Y91" s="13">
        <f ca="1"/>
        <v>85735.170147459547</v>
      </c>
      <c r="Z91" s="13">
        <f ca="1"/>
        <v>86276.449827506338</v>
      </c>
      <c r="AA91" s="13">
        <f ca="1"/>
        <v>86821.220723754945</v>
      </c>
      <c r="AB91" s="13">
        <f ca="1"/>
        <v>87369.505892166213</v>
      </c>
      <c r="AC91" s="13">
        <f ca="1"/>
        <v>87921.328544793869</v>
      </c>
      <c r="AD91" s="13">
        <f ca="1"/>
        <v>88476.712050867543</v>
      </c>
      <c r="AE91" s="13">
        <f ca="1"/>
        <v>89035.679937884866</v>
      </c>
      <c r="AF91" s="13">
        <f ca="1"/>
        <v>89598.255892709189</v>
      </c>
      <c r="AG91" s="13">
        <f ca="1"/>
        <v>90164.463762677391</v>
      </c>
      <c r="AH91" s="13">
        <f ca="1"/>
        <v>90734.327556713557</v>
      </c>
      <c r="AI91" s="13">
        <f ca="1"/>
        <v>91307.871446452002</v>
      </c>
      <c r="AJ91" s="13">
        <f ca="1"/>
        <v>91885.119767367622</v>
      </c>
      <c r="AK91" s="13">
        <f ca="1"/>
        <v>92466.097019914392</v>
      </c>
      <c r="AL91" s="56">
        <f ca="1"/>
        <v>93050.827870671957</v>
      </c>
      <c r="AM91" s="10"/>
    </row>
    <row r="92" spans="2:39" ht="15" hidden="1">
      <c r="B92" s="10"/>
      <c r="C92" s="21" t="str">
        <f>"EL 6: " &amp; INDEX(_doName,6,7)</f>
        <v>EL 6: EL 6</v>
      </c>
      <c r="D92" s="18"/>
      <c r="E92" s="58">
        <f t="array" aca="1" ref="E92:AL92" ca="1">tlccEupol6</f>
        <v>47661.235288373544</v>
      </c>
      <c r="F92" s="58">
        <f ca="1"/>
        <v>48047.744648727748</v>
      </c>
      <c r="G92" s="58">
        <f ca="1"/>
        <v>48422.70441685462</v>
      </c>
      <c r="H92" s="58">
        <f ca="1"/>
        <v>48761.108085324704</v>
      </c>
      <c r="I92" s="58">
        <f ca="1"/>
        <v>49068.25295983415</v>
      </c>
      <c r="J92" s="58">
        <f ca="1"/>
        <v>49377.373780588641</v>
      </c>
      <c r="K92" s="58">
        <f ca="1"/>
        <v>49688.483560269822</v>
      </c>
      <c r="L92" s="58">
        <f ca="1"/>
        <v>50001.595399403879</v>
      </c>
      <c r="M92" s="58">
        <f ca="1"/>
        <v>50316.722486969404</v>
      </c>
      <c r="N92" s="58">
        <f ca="1"/>
        <v>50633.878101009876</v>
      </c>
      <c r="O92" s="58">
        <f ca="1"/>
        <v>50953.075609250329</v>
      </c>
      <c r="P92" s="58">
        <f ca="1"/>
        <v>51274.328469718152</v>
      </c>
      <c r="Q92" s="58">
        <f ca="1"/>
        <v>51597.650231368818</v>
      </c>
      <c r="R92" s="58">
        <f ca="1"/>
        <v>51923.054534715571</v>
      </c>
      <c r="S92" s="58">
        <f ca="1"/>
        <v>52250.555112463815</v>
      </c>
      <c r="T92" s="58">
        <f ca="1"/>
        <v>52580.165790149913</v>
      </c>
      <c r="U92" s="58">
        <f ca="1"/>
        <v>52911.900486784602</v>
      </c>
      <c r="V92" s="58">
        <f ca="1"/>
        <v>53245.773215500929</v>
      </c>
      <c r="W92" s="58">
        <f ca="1"/>
        <v>53581.798084206814</v>
      </c>
      <c r="X92" s="58">
        <f ca="1"/>
        <v>53919.989296242216</v>
      </c>
      <c r="Y92" s="58">
        <f ca="1"/>
        <v>54260.361151040808</v>
      </c>
      <c r="Z92" s="58">
        <f ca="1"/>
        <v>54602.92804479679</v>
      </c>
      <c r="AA92" s="58">
        <f ca="1"/>
        <v>54947.704471136014</v>
      </c>
      <c r="AB92" s="58">
        <f ca="1"/>
        <v>55294.70502179204</v>
      </c>
      <c r="AC92" s="58">
        <f ca="1"/>
        <v>55643.944387286967</v>
      </c>
      <c r="AD92" s="58">
        <f ca="1"/>
        <v>55995.437357617113</v>
      </c>
      <c r="AE92" s="58">
        <f ca="1"/>
        <v>56349.198822943668</v>
      </c>
      <c r="AF92" s="58">
        <f ca="1"/>
        <v>56705.243774288203</v>
      </c>
      <c r="AG92" s="58">
        <f ca="1"/>
        <v>57063.587304232737</v>
      </c>
      <c r="AH92" s="58">
        <f ca="1"/>
        <v>57424.2446076255</v>
      </c>
      <c r="AI92" s="58">
        <f ca="1"/>
        <v>57787.230982291308</v>
      </c>
      <c r="AJ92" s="58">
        <f ca="1"/>
        <v>58152.561829746832</v>
      </c>
      <c r="AK92" s="58">
        <f ca="1"/>
        <v>58520.252655921242</v>
      </c>
      <c r="AL92" s="59">
        <f ca="1"/>
        <v>58890.319071882033</v>
      </c>
      <c r="AM92" s="10"/>
    </row>
    <row r="93" spans="2:39" ht="15" hidden="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row>
    <row r="94" spans="2:39" ht="15" hidden="1">
      <c r="B94" s="10"/>
      <c r="C94" s="22" t="s">
        <v>84</v>
      </c>
      <c r="D94" s="23"/>
      <c r="E94" s="24">
        <f t="array" ref="E94:AL94">_yS</f>
        <v>2019</v>
      </c>
      <c r="F94" s="24">
        <v>2020</v>
      </c>
      <c r="G94" s="24">
        <v>2021</v>
      </c>
      <c r="H94" s="24">
        <v>2022</v>
      </c>
      <c r="I94" s="24">
        <v>2023</v>
      </c>
      <c r="J94" s="24">
        <v>2024</v>
      </c>
      <c r="K94" s="24">
        <v>2025</v>
      </c>
      <c r="L94" s="24">
        <v>2026</v>
      </c>
      <c r="M94" s="24">
        <v>2027</v>
      </c>
      <c r="N94" s="24">
        <v>2028</v>
      </c>
      <c r="O94" s="24">
        <v>2029</v>
      </c>
      <c r="P94" s="24">
        <v>2030</v>
      </c>
      <c r="Q94" s="24">
        <v>2031</v>
      </c>
      <c r="R94" s="24">
        <v>2032</v>
      </c>
      <c r="S94" s="24">
        <v>2033</v>
      </c>
      <c r="T94" s="24">
        <v>2034</v>
      </c>
      <c r="U94" s="24">
        <v>2035</v>
      </c>
      <c r="V94" s="24">
        <v>2036</v>
      </c>
      <c r="W94" s="24">
        <v>2037</v>
      </c>
      <c r="X94" s="24">
        <v>2038</v>
      </c>
      <c r="Y94" s="24">
        <v>2039</v>
      </c>
      <c r="Z94" s="24">
        <v>2040</v>
      </c>
      <c r="AA94" s="24">
        <v>2041</v>
      </c>
      <c r="AB94" s="24">
        <v>2042</v>
      </c>
      <c r="AC94" s="24">
        <v>2043</v>
      </c>
      <c r="AD94" s="24">
        <v>2044</v>
      </c>
      <c r="AE94" s="24">
        <v>2045</v>
      </c>
      <c r="AF94" s="24">
        <v>2046</v>
      </c>
      <c r="AG94" s="24">
        <v>2047</v>
      </c>
      <c r="AH94" s="24">
        <v>2048</v>
      </c>
      <c r="AI94" s="24">
        <v>2049</v>
      </c>
      <c r="AJ94" s="24">
        <v>2050</v>
      </c>
      <c r="AK94" s="24">
        <v>2051</v>
      </c>
      <c r="AL94" s="25">
        <v>2052</v>
      </c>
      <c r="AM94" s="10"/>
    </row>
    <row r="95" spans="2:39" ht="15" hidden="1">
      <c r="B95" s="10"/>
      <c r="C95" s="11" t="str">
        <f>"EL 0: " &amp; INDEX(_doName,6,1)</f>
        <v>EL 0: EL 5</v>
      </c>
      <c r="D95" s="12"/>
      <c r="E95" s="13">
        <f t="array" aca="1" ref="E95:AL95" ca="1">tlccFupolElec0</f>
        <v>0</v>
      </c>
      <c r="F95" s="13">
        <f ca="1"/>
        <v>0</v>
      </c>
      <c r="G95" s="13">
        <f ca="1"/>
        <v>0</v>
      </c>
      <c r="H95" s="13">
        <f ca="1"/>
        <v>0</v>
      </c>
      <c r="I95" s="13">
        <f ca="1"/>
        <v>0</v>
      </c>
      <c r="J95" s="13">
        <f ca="1"/>
        <v>0</v>
      </c>
      <c r="K95" s="13">
        <f ca="1"/>
        <v>0</v>
      </c>
      <c r="L95" s="13">
        <f ca="1"/>
        <v>0</v>
      </c>
      <c r="M95" s="13">
        <f ca="1"/>
        <v>0</v>
      </c>
      <c r="N95" s="13">
        <f ca="1"/>
        <v>0</v>
      </c>
      <c r="O95" s="13">
        <f ca="1"/>
        <v>0</v>
      </c>
      <c r="P95" s="13">
        <f ca="1"/>
        <v>0</v>
      </c>
      <c r="Q95" s="13">
        <f ca="1"/>
        <v>0</v>
      </c>
      <c r="R95" s="13">
        <f ca="1"/>
        <v>0</v>
      </c>
      <c r="S95" s="13">
        <f ca="1"/>
        <v>0</v>
      </c>
      <c r="T95" s="13">
        <f ca="1"/>
        <v>0</v>
      </c>
      <c r="U95" s="13">
        <f ca="1"/>
        <v>0</v>
      </c>
      <c r="V95" s="13">
        <f ca="1"/>
        <v>0</v>
      </c>
      <c r="W95" s="13">
        <f ca="1"/>
        <v>0</v>
      </c>
      <c r="X95" s="13">
        <f ca="1"/>
        <v>0</v>
      </c>
      <c r="Y95" s="13">
        <f ca="1"/>
        <v>0</v>
      </c>
      <c r="Z95" s="13">
        <f ca="1"/>
        <v>0</v>
      </c>
      <c r="AA95" s="13">
        <f ca="1"/>
        <v>0</v>
      </c>
      <c r="AB95" s="13">
        <f ca="1"/>
        <v>0</v>
      </c>
      <c r="AC95" s="13">
        <f ca="1"/>
        <v>0</v>
      </c>
      <c r="AD95" s="13">
        <f ca="1"/>
        <v>0</v>
      </c>
      <c r="AE95" s="13">
        <f ca="1"/>
        <v>0</v>
      </c>
      <c r="AF95" s="13">
        <f ca="1"/>
        <v>0</v>
      </c>
      <c r="AG95" s="13">
        <f ca="1"/>
        <v>0</v>
      </c>
      <c r="AH95" s="13">
        <f ca="1"/>
        <v>0</v>
      </c>
      <c r="AI95" s="13">
        <f ca="1"/>
        <v>0</v>
      </c>
      <c r="AJ95" s="13">
        <f ca="1"/>
        <v>0</v>
      </c>
      <c r="AK95" s="13">
        <f ca="1"/>
        <v>0</v>
      </c>
      <c r="AL95" s="56">
        <f ca="1"/>
        <v>0</v>
      </c>
      <c r="AM95" s="10"/>
    </row>
    <row r="96" spans="2:39" ht="15" hidden="1">
      <c r="B96" s="10"/>
      <c r="C96" s="11" t="str">
        <f>"EL 1: " &amp; INDEX(_doName,6,2)</f>
        <v>EL 1: EL 1</v>
      </c>
      <c r="D96" s="12"/>
      <c r="E96" s="13">
        <f t="array" aca="1" ref="E96:AL96" ca="1">tlccFupolElec1</f>
        <v>0</v>
      </c>
      <c r="F96" s="13">
        <f ca="1"/>
        <v>0</v>
      </c>
      <c r="G96" s="13">
        <f ca="1"/>
        <v>0</v>
      </c>
      <c r="H96" s="13">
        <f ca="1"/>
        <v>0</v>
      </c>
      <c r="I96" s="13">
        <f ca="1"/>
        <v>0</v>
      </c>
      <c r="J96" s="13">
        <f ca="1"/>
        <v>0</v>
      </c>
      <c r="K96" s="13">
        <f ca="1"/>
        <v>0</v>
      </c>
      <c r="L96" s="13">
        <f ca="1"/>
        <v>0</v>
      </c>
      <c r="M96" s="13">
        <f ca="1"/>
        <v>0</v>
      </c>
      <c r="N96" s="13">
        <f ca="1"/>
        <v>0</v>
      </c>
      <c r="O96" s="13">
        <f ca="1"/>
        <v>0</v>
      </c>
      <c r="P96" s="13">
        <f ca="1"/>
        <v>0</v>
      </c>
      <c r="Q96" s="13">
        <f ca="1"/>
        <v>0</v>
      </c>
      <c r="R96" s="13">
        <f ca="1"/>
        <v>0</v>
      </c>
      <c r="S96" s="13">
        <f ca="1"/>
        <v>0</v>
      </c>
      <c r="T96" s="13">
        <f ca="1"/>
        <v>0</v>
      </c>
      <c r="U96" s="13">
        <f ca="1"/>
        <v>0</v>
      </c>
      <c r="V96" s="13">
        <f ca="1"/>
        <v>0</v>
      </c>
      <c r="W96" s="13">
        <f ca="1"/>
        <v>0</v>
      </c>
      <c r="X96" s="13">
        <f ca="1"/>
        <v>0</v>
      </c>
      <c r="Y96" s="13">
        <f ca="1"/>
        <v>0</v>
      </c>
      <c r="Z96" s="13">
        <f ca="1"/>
        <v>0</v>
      </c>
      <c r="AA96" s="13">
        <f ca="1"/>
        <v>0</v>
      </c>
      <c r="AB96" s="13">
        <f ca="1"/>
        <v>0</v>
      </c>
      <c r="AC96" s="13">
        <f ca="1"/>
        <v>0</v>
      </c>
      <c r="AD96" s="13">
        <f ca="1"/>
        <v>0</v>
      </c>
      <c r="AE96" s="13">
        <f ca="1"/>
        <v>0</v>
      </c>
      <c r="AF96" s="13">
        <f ca="1"/>
        <v>0</v>
      </c>
      <c r="AG96" s="13">
        <f ca="1"/>
        <v>0</v>
      </c>
      <c r="AH96" s="13">
        <f ca="1"/>
        <v>0</v>
      </c>
      <c r="AI96" s="13">
        <f ca="1"/>
        <v>0</v>
      </c>
      <c r="AJ96" s="13">
        <f ca="1"/>
        <v>0</v>
      </c>
      <c r="AK96" s="13">
        <f ca="1"/>
        <v>0</v>
      </c>
      <c r="AL96" s="56">
        <f ca="1"/>
        <v>0</v>
      </c>
      <c r="AM96" s="10"/>
    </row>
    <row r="97" spans="2:39" ht="15" hidden="1">
      <c r="B97" s="10"/>
      <c r="C97" s="11" t="str">
        <f>"EL 2: " &amp; INDEX(_doName,6,3)</f>
        <v>EL 2: EL 2</v>
      </c>
      <c r="D97" s="12"/>
      <c r="E97" s="13">
        <f t="array" aca="1" ref="E97:AL97" ca="1">tlccFupolElec2</f>
        <v>0</v>
      </c>
      <c r="F97" s="13">
        <f ca="1"/>
        <v>0</v>
      </c>
      <c r="G97" s="13">
        <f ca="1"/>
        <v>0</v>
      </c>
      <c r="H97" s="13">
        <f ca="1"/>
        <v>0</v>
      </c>
      <c r="I97" s="13">
        <f ca="1"/>
        <v>0</v>
      </c>
      <c r="J97" s="13">
        <f ca="1"/>
        <v>0</v>
      </c>
      <c r="K97" s="13">
        <f ca="1"/>
        <v>0</v>
      </c>
      <c r="L97" s="13">
        <f ca="1"/>
        <v>0</v>
      </c>
      <c r="M97" s="13">
        <f ca="1"/>
        <v>0</v>
      </c>
      <c r="N97" s="13">
        <f ca="1"/>
        <v>0</v>
      </c>
      <c r="O97" s="13">
        <f ca="1"/>
        <v>0</v>
      </c>
      <c r="P97" s="13">
        <f ca="1"/>
        <v>0</v>
      </c>
      <c r="Q97" s="13">
        <f ca="1"/>
        <v>0</v>
      </c>
      <c r="R97" s="13">
        <f ca="1"/>
        <v>0</v>
      </c>
      <c r="S97" s="13">
        <f ca="1"/>
        <v>0</v>
      </c>
      <c r="T97" s="13">
        <f ca="1"/>
        <v>0</v>
      </c>
      <c r="U97" s="13">
        <f ca="1"/>
        <v>0</v>
      </c>
      <c r="V97" s="13">
        <f ca="1"/>
        <v>0</v>
      </c>
      <c r="W97" s="13">
        <f ca="1"/>
        <v>0</v>
      </c>
      <c r="X97" s="13">
        <f ca="1"/>
        <v>0</v>
      </c>
      <c r="Y97" s="13">
        <f ca="1"/>
        <v>0</v>
      </c>
      <c r="Z97" s="13">
        <f ca="1"/>
        <v>0</v>
      </c>
      <c r="AA97" s="13">
        <f ca="1"/>
        <v>0</v>
      </c>
      <c r="AB97" s="13">
        <f ca="1"/>
        <v>0</v>
      </c>
      <c r="AC97" s="13">
        <f ca="1"/>
        <v>0</v>
      </c>
      <c r="AD97" s="13">
        <f ca="1"/>
        <v>0</v>
      </c>
      <c r="AE97" s="13">
        <f ca="1"/>
        <v>0</v>
      </c>
      <c r="AF97" s="13">
        <f ca="1"/>
        <v>0</v>
      </c>
      <c r="AG97" s="13">
        <f ca="1"/>
        <v>0</v>
      </c>
      <c r="AH97" s="13">
        <f ca="1"/>
        <v>0</v>
      </c>
      <c r="AI97" s="13">
        <f ca="1"/>
        <v>0</v>
      </c>
      <c r="AJ97" s="13">
        <f ca="1"/>
        <v>0</v>
      </c>
      <c r="AK97" s="13">
        <f ca="1"/>
        <v>0</v>
      </c>
      <c r="AL97" s="56">
        <f ca="1"/>
        <v>0</v>
      </c>
      <c r="AM97" s="10"/>
    </row>
    <row r="98" spans="2:39" ht="15" hidden="1">
      <c r="B98" s="10"/>
      <c r="C98" s="11" t="str">
        <f>"EL 3: " &amp; INDEX(_doName,6,4)</f>
        <v>EL 3: EL 3</v>
      </c>
      <c r="D98" s="12"/>
      <c r="E98" s="13">
        <f t="array" aca="1" ref="E98:AL98" ca="1">tlccFupolElec3</f>
        <v>0</v>
      </c>
      <c r="F98" s="13">
        <f ca="1"/>
        <v>0</v>
      </c>
      <c r="G98" s="13">
        <f ca="1"/>
        <v>0</v>
      </c>
      <c r="H98" s="13">
        <f ca="1"/>
        <v>0</v>
      </c>
      <c r="I98" s="13">
        <f ca="1"/>
        <v>0</v>
      </c>
      <c r="J98" s="13">
        <f ca="1"/>
        <v>0</v>
      </c>
      <c r="K98" s="13">
        <f ca="1"/>
        <v>0</v>
      </c>
      <c r="L98" s="13">
        <f ca="1"/>
        <v>0</v>
      </c>
      <c r="M98" s="13">
        <f ca="1"/>
        <v>0</v>
      </c>
      <c r="N98" s="13">
        <f ca="1"/>
        <v>0</v>
      </c>
      <c r="O98" s="13">
        <f ca="1"/>
        <v>0</v>
      </c>
      <c r="P98" s="13">
        <f ca="1"/>
        <v>0</v>
      </c>
      <c r="Q98" s="13">
        <f ca="1"/>
        <v>0</v>
      </c>
      <c r="R98" s="13">
        <f ca="1"/>
        <v>0</v>
      </c>
      <c r="S98" s="13">
        <f ca="1"/>
        <v>0</v>
      </c>
      <c r="T98" s="13">
        <f ca="1"/>
        <v>0</v>
      </c>
      <c r="U98" s="13">
        <f ca="1"/>
        <v>0</v>
      </c>
      <c r="V98" s="13">
        <f ca="1"/>
        <v>0</v>
      </c>
      <c r="W98" s="13">
        <f ca="1"/>
        <v>0</v>
      </c>
      <c r="X98" s="13">
        <f ca="1"/>
        <v>0</v>
      </c>
      <c r="Y98" s="13">
        <f ca="1"/>
        <v>0</v>
      </c>
      <c r="Z98" s="13">
        <f ca="1"/>
        <v>0</v>
      </c>
      <c r="AA98" s="13">
        <f ca="1"/>
        <v>0</v>
      </c>
      <c r="AB98" s="13">
        <f ca="1"/>
        <v>0</v>
      </c>
      <c r="AC98" s="13">
        <f ca="1"/>
        <v>0</v>
      </c>
      <c r="AD98" s="13">
        <f ca="1"/>
        <v>0</v>
      </c>
      <c r="AE98" s="13">
        <f ca="1"/>
        <v>0</v>
      </c>
      <c r="AF98" s="13">
        <f ca="1"/>
        <v>0</v>
      </c>
      <c r="AG98" s="13">
        <f ca="1"/>
        <v>0</v>
      </c>
      <c r="AH98" s="13">
        <f ca="1"/>
        <v>0</v>
      </c>
      <c r="AI98" s="13">
        <f ca="1"/>
        <v>0</v>
      </c>
      <c r="AJ98" s="13">
        <f ca="1"/>
        <v>0</v>
      </c>
      <c r="AK98" s="13">
        <f ca="1"/>
        <v>0</v>
      </c>
      <c r="AL98" s="56">
        <f ca="1"/>
        <v>0</v>
      </c>
      <c r="AM98" s="10"/>
    </row>
    <row r="99" spans="2:39" ht="15" hidden="1">
      <c r="B99" s="10"/>
      <c r="C99" s="11" t="str">
        <f>"EL 4: " &amp; INDEX(_doName,6,5)</f>
        <v>EL 4: EL 4</v>
      </c>
      <c r="D99" s="12"/>
      <c r="E99" s="13">
        <f t="array" aca="1" ref="E99:AL99" ca="1">tlccFupolElec4</f>
        <v>0</v>
      </c>
      <c r="F99" s="13">
        <f ca="1"/>
        <v>0</v>
      </c>
      <c r="G99" s="13">
        <f ca="1"/>
        <v>0</v>
      </c>
      <c r="H99" s="13">
        <f ca="1"/>
        <v>0</v>
      </c>
      <c r="I99" s="13">
        <f ca="1"/>
        <v>0</v>
      </c>
      <c r="J99" s="13">
        <f ca="1"/>
        <v>0</v>
      </c>
      <c r="K99" s="13">
        <f ca="1"/>
        <v>0</v>
      </c>
      <c r="L99" s="13">
        <f ca="1"/>
        <v>0</v>
      </c>
      <c r="M99" s="13">
        <f ca="1"/>
        <v>0</v>
      </c>
      <c r="N99" s="13">
        <f ca="1"/>
        <v>0</v>
      </c>
      <c r="O99" s="13">
        <f ca="1"/>
        <v>0</v>
      </c>
      <c r="P99" s="13">
        <f ca="1"/>
        <v>0</v>
      </c>
      <c r="Q99" s="13">
        <f ca="1"/>
        <v>0</v>
      </c>
      <c r="R99" s="13">
        <f ca="1"/>
        <v>0</v>
      </c>
      <c r="S99" s="13">
        <f ca="1"/>
        <v>0</v>
      </c>
      <c r="T99" s="13">
        <f ca="1"/>
        <v>0</v>
      </c>
      <c r="U99" s="13">
        <f ca="1"/>
        <v>0</v>
      </c>
      <c r="V99" s="13">
        <f ca="1"/>
        <v>0</v>
      </c>
      <c r="W99" s="13">
        <f ca="1"/>
        <v>0</v>
      </c>
      <c r="X99" s="13">
        <f ca="1"/>
        <v>0</v>
      </c>
      <c r="Y99" s="13">
        <f ca="1"/>
        <v>0</v>
      </c>
      <c r="Z99" s="13">
        <f ca="1"/>
        <v>0</v>
      </c>
      <c r="AA99" s="13">
        <f ca="1"/>
        <v>0</v>
      </c>
      <c r="AB99" s="13">
        <f ca="1"/>
        <v>0</v>
      </c>
      <c r="AC99" s="13">
        <f ca="1"/>
        <v>0</v>
      </c>
      <c r="AD99" s="13">
        <f ca="1"/>
        <v>0</v>
      </c>
      <c r="AE99" s="13">
        <f ca="1"/>
        <v>0</v>
      </c>
      <c r="AF99" s="13">
        <f ca="1"/>
        <v>0</v>
      </c>
      <c r="AG99" s="13">
        <f ca="1"/>
        <v>0</v>
      </c>
      <c r="AH99" s="13">
        <f ca="1"/>
        <v>0</v>
      </c>
      <c r="AI99" s="13">
        <f ca="1"/>
        <v>0</v>
      </c>
      <c r="AJ99" s="13">
        <f ca="1"/>
        <v>0</v>
      </c>
      <c r="AK99" s="13">
        <f ca="1"/>
        <v>0</v>
      </c>
      <c r="AL99" s="56">
        <f ca="1"/>
        <v>0</v>
      </c>
      <c r="AM99" s="10"/>
    </row>
    <row r="100" spans="2:39" ht="15" hidden="1">
      <c r="B100" s="10"/>
      <c r="C100" s="11" t="str">
        <f>"EL 5: " &amp; INDEX(_doName,6,6)</f>
        <v>EL 5: EL 5</v>
      </c>
      <c r="D100" s="12"/>
      <c r="E100" s="13">
        <f t="array" aca="1" ref="E100:AL100" ca="1">tlccFupolElec5</f>
        <v>15888.833674899664</v>
      </c>
      <c r="F100" s="13">
        <f ca="1"/>
        <v>15782.963790521093</v>
      </c>
      <c r="G100" s="13">
        <f ca="1"/>
        <v>15689.284969141214</v>
      </c>
      <c r="H100" s="13">
        <f ca="1"/>
        <v>15599.906981189773</v>
      </c>
      <c r="I100" s="13">
        <f ca="1"/>
        <v>15521.399662448393</v>
      </c>
      <c r="J100" s="13">
        <f ca="1"/>
        <v>15460.217986358553</v>
      </c>
      <c r="K100" s="13">
        <f ca="1"/>
        <v>15409.539828769341</v>
      </c>
      <c r="L100" s="13">
        <f ca="1"/>
        <v>15358.36622314343</v>
      </c>
      <c r="M100" s="13">
        <f ca="1"/>
        <v>15317.099284814032</v>
      </c>
      <c r="N100" s="13">
        <f ca="1"/>
        <v>15288.327131845754</v>
      </c>
      <c r="O100" s="13">
        <f ca="1"/>
        <v>15266.948183824619</v>
      </c>
      <c r="P100" s="13">
        <f ca="1"/>
        <v>15248.790700978936</v>
      </c>
      <c r="Q100" s="13">
        <f ca="1"/>
        <v>15235.24362048603</v>
      </c>
      <c r="R100" s="13">
        <f ca="1"/>
        <v>15224.818477809289</v>
      </c>
      <c r="S100" s="13">
        <f ca="1"/>
        <v>15222.930726098124</v>
      </c>
      <c r="T100" s="13">
        <f ca="1"/>
        <v>15224.66865808709</v>
      </c>
      <c r="U100" s="13">
        <f ca="1"/>
        <v>15227.539021838415</v>
      </c>
      <c r="V100" s="13">
        <f ca="1"/>
        <v>15231.969862061387</v>
      </c>
      <c r="W100" s="13">
        <f ca="1"/>
        <v>15236.290807385545</v>
      </c>
      <c r="X100" s="13">
        <f ca="1"/>
        <v>15239.897293175751</v>
      </c>
      <c r="Y100" s="13">
        <f ca="1"/>
        <v>15242.296913043332</v>
      </c>
      <c r="Z100" s="13">
        <f ca="1"/>
        <v>15243.935770653306</v>
      </c>
      <c r="AA100" s="13">
        <f ca="1"/>
        <v>15243.935770653306</v>
      </c>
      <c r="AB100" s="13">
        <f ca="1"/>
        <v>15243.935770653306</v>
      </c>
      <c r="AC100" s="13">
        <f ca="1"/>
        <v>15243.935770653306</v>
      </c>
      <c r="AD100" s="13">
        <f ca="1"/>
        <v>15243.935770653306</v>
      </c>
      <c r="AE100" s="13">
        <f ca="1"/>
        <v>15243.935770653306</v>
      </c>
      <c r="AF100" s="13">
        <f ca="1"/>
        <v>15243.935770653306</v>
      </c>
      <c r="AG100" s="13">
        <f ca="1"/>
        <v>15243.935770653306</v>
      </c>
      <c r="AH100" s="13">
        <f ca="1"/>
        <v>15243.935770653306</v>
      </c>
      <c r="AI100" s="13">
        <f ca="1"/>
        <v>15243.935770653306</v>
      </c>
      <c r="AJ100" s="13">
        <f ca="1"/>
        <v>15243.935770653306</v>
      </c>
      <c r="AK100" s="13">
        <f ca="1"/>
        <v>15243.935770653306</v>
      </c>
      <c r="AL100" s="56">
        <f ca="1"/>
        <v>15243.935770653306</v>
      </c>
      <c r="AM100" s="10"/>
    </row>
    <row r="101" spans="2:39" ht="15" hidden="1">
      <c r="B101" s="10"/>
      <c r="C101" s="21" t="str">
        <f>"EL 6: " &amp; INDEX(_doName,6,7)</f>
        <v>EL 6: EL 6</v>
      </c>
      <c r="D101" s="18"/>
      <c r="E101" s="58">
        <f t="array" aca="1" ref="E101:AL101" ca="1">tlccFupolElec6</f>
        <v>10055.778182816377</v>
      </c>
      <c r="F101" s="58">
        <f ca="1"/>
        <v>9988.7748963993799</v>
      </c>
      <c r="G101" s="58">
        <f ca="1"/>
        <v>9929.4871306956047</v>
      </c>
      <c r="H101" s="58">
        <f ca="1"/>
        <v>9872.9212908324862</v>
      </c>
      <c r="I101" s="58">
        <f ca="1"/>
        <v>9823.2353164467077</v>
      </c>
      <c r="J101" s="58">
        <f ca="1"/>
        <v>9784.5144527130615</v>
      </c>
      <c r="K101" s="58">
        <f ca="1"/>
        <v>9752.4410908881455</v>
      </c>
      <c r="L101" s="58">
        <f ca="1"/>
        <v>9720.0541682531639</v>
      </c>
      <c r="M101" s="58">
        <f ca="1"/>
        <v>9693.9370103411929</v>
      </c>
      <c r="N101" s="58">
        <f ca="1"/>
        <v>9675.7275939667161</v>
      </c>
      <c r="O101" s="58">
        <f ca="1"/>
        <v>9662.1972138594538</v>
      </c>
      <c r="P101" s="58">
        <f ca="1"/>
        <v>9650.7056454038684</v>
      </c>
      <c r="Q101" s="58">
        <f ca="1"/>
        <v>9642.1319238048673</v>
      </c>
      <c r="R101" s="58">
        <f ca="1"/>
        <v>9635.534024649618</v>
      </c>
      <c r="S101" s="58">
        <f ca="1"/>
        <v>9634.3392980346798</v>
      </c>
      <c r="T101" s="58">
        <f ca="1"/>
        <v>9635.4392062428888</v>
      </c>
      <c r="U101" s="58">
        <f ca="1"/>
        <v>9637.2558116513101</v>
      </c>
      <c r="V101" s="58">
        <f ca="1"/>
        <v>9640.0600166267886</v>
      </c>
      <c r="W101" s="58">
        <f ca="1"/>
        <v>9642.7946709512544</v>
      </c>
      <c r="X101" s="58">
        <f ca="1"/>
        <v>9645.0771557369753</v>
      </c>
      <c r="Y101" s="58">
        <f ca="1"/>
        <v>9646.5958351822501</v>
      </c>
      <c r="Z101" s="58">
        <f ca="1"/>
        <v>9647.6330408662125</v>
      </c>
      <c r="AA101" s="58">
        <f ca="1"/>
        <v>9647.6330408662125</v>
      </c>
      <c r="AB101" s="58">
        <f ca="1"/>
        <v>9647.6330408662125</v>
      </c>
      <c r="AC101" s="58">
        <f ca="1"/>
        <v>9647.6330408662125</v>
      </c>
      <c r="AD101" s="58">
        <f ca="1"/>
        <v>9647.6330408662125</v>
      </c>
      <c r="AE101" s="58">
        <f ca="1"/>
        <v>9647.6330408662125</v>
      </c>
      <c r="AF101" s="58">
        <f ca="1"/>
        <v>9647.6330408662125</v>
      </c>
      <c r="AG101" s="58">
        <f ca="1"/>
        <v>9647.6330408662125</v>
      </c>
      <c r="AH101" s="58">
        <f ca="1"/>
        <v>9647.6330408662125</v>
      </c>
      <c r="AI101" s="58">
        <f ca="1"/>
        <v>9647.6330408662125</v>
      </c>
      <c r="AJ101" s="58">
        <f ca="1"/>
        <v>9647.6330408662125</v>
      </c>
      <c r="AK101" s="58">
        <f ca="1"/>
        <v>9647.6330408662125</v>
      </c>
      <c r="AL101" s="59">
        <f ca="1"/>
        <v>9647.6330408662125</v>
      </c>
      <c r="AM101" s="10"/>
    </row>
    <row r="102" spans="2:39" ht="15" hidden="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row>
    <row r="103" spans="2:39">
      <c r="B103" s="10"/>
      <c r="C103" s="22" t="s">
        <v>82</v>
      </c>
      <c r="D103" s="23"/>
      <c r="E103" s="24">
        <f t="array" ref="E103:AL103">_yS</f>
        <v>2019</v>
      </c>
      <c r="F103" s="24">
        <v>2020</v>
      </c>
      <c r="G103" s="24">
        <v>2021</v>
      </c>
      <c r="H103" s="24">
        <v>2022</v>
      </c>
      <c r="I103" s="24">
        <v>2023</v>
      </c>
      <c r="J103" s="24">
        <v>2024</v>
      </c>
      <c r="K103" s="24">
        <v>2025</v>
      </c>
      <c r="L103" s="24">
        <v>2026</v>
      </c>
      <c r="M103" s="24">
        <v>2027</v>
      </c>
      <c r="N103" s="24">
        <v>2028</v>
      </c>
      <c r="O103" s="24">
        <v>2029</v>
      </c>
      <c r="P103" s="24">
        <v>2030</v>
      </c>
      <c r="Q103" s="24">
        <v>2031</v>
      </c>
      <c r="R103" s="24">
        <v>2032</v>
      </c>
      <c r="S103" s="24">
        <v>2033</v>
      </c>
      <c r="T103" s="24">
        <v>2034</v>
      </c>
      <c r="U103" s="24">
        <v>2035</v>
      </c>
      <c r="V103" s="24">
        <v>2036</v>
      </c>
      <c r="W103" s="24">
        <v>2037</v>
      </c>
      <c r="X103" s="24">
        <v>2038</v>
      </c>
      <c r="Y103" s="24">
        <v>2039</v>
      </c>
      <c r="Z103" s="24">
        <v>2040</v>
      </c>
      <c r="AA103" s="24">
        <v>2041</v>
      </c>
      <c r="AB103" s="24">
        <v>2042</v>
      </c>
      <c r="AC103" s="24">
        <v>2043</v>
      </c>
      <c r="AD103" s="24">
        <v>2044</v>
      </c>
      <c r="AE103" s="24">
        <v>2045</v>
      </c>
      <c r="AF103" s="24">
        <v>2046</v>
      </c>
      <c r="AG103" s="24">
        <v>2047</v>
      </c>
      <c r="AH103" s="24">
        <v>2048</v>
      </c>
      <c r="AI103" s="24">
        <v>2049</v>
      </c>
      <c r="AJ103" s="24">
        <v>2050</v>
      </c>
      <c r="AK103" s="24">
        <v>2051</v>
      </c>
      <c r="AL103" s="25">
        <v>2052</v>
      </c>
      <c r="AM103" s="10"/>
    </row>
    <row r="104" spans="2:39">
      <c r="B104" s="10"/>
      <c r="C104" s="27" t="str">
        <f>"BC (CSL 0): " &amp; INDEX(_doName,6,1)</f>
        <v>BC (CSL 0): EL 5</v>
      </c>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5"/>
      <c r="AM104" s="10"/>
    </row>
    <row r="105" spans="2:39">
      <c r="B105" s="10"/>
      <c r="C105" s="57" t="str">
        <f>"EL 0: " &amp; INDEX(_doName,6,1)</f>
        <v>EL 0: EL 5</v>
      </c>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3"/>
      <c r="AM105" s="10"/>
    </row>
    <row r="106" spans="2:39">
      <c r="B106" s="10"/>
      <c r="C106" s="16" t="s">
        <v>69</v>
      </c>
      <c r="D106" s="12" t="str">
        <f>_yearDol &amp; "$"</f>
        <v>2015$</v>
      </c>
      <c r="E106" s="13">
        <f t="array" ref="E106:AL106">INDEX(mspRad,1,1)*tPIdxAll + INDEX(instRad,1,1) + IF(bESav,SUMPRODUCT(dFactor,tpSurvRad,INDEX(mrRad,1,1)*allOnes),0)</f>
        <v>1511.50310595065</v>
      </c>
      <c r="F106" s="13">
        <v>1511.50310595065</v>
      </c>
      <c r="G106" s="13">
        <v>1511.50310595065</v>
      </c>
      <c r="H106" s="13">
        <v>1511.50310595065</v>
      </c>
      <c r="I106" s="13">
        <v>1511.50310595065</v>
      </c>
      <c r="J106" s="13">
        <v>1511.50310595065</v>
      </c>
      <c r="K106" s="13">
        <v>1511.50310595065</v>
      </c>
      <c r="L106" s="13">
        <v>1511.50310595065</v>
      </c>
      <c r="M106" s="13">
        <v>1511.50310595065</v>
      </c>
      <c r="N106" s="13">
        <v>1511.50310595065</v>
      </c>
      <c r="O106" s="13">
        <v>1511.50310595065</v>
      </c>
      <c r="P106" s="13">
        <v>1511.50310595065</v>
      </c>
      <c r="Q106" s="13">
        <v>1511.50310595065</v>
      </c>
      <c r="R106" s="13">
        <v>1511.50310595065</v>
      </c>
      <c r="S106" s="13">
        <v>1511.50310595065</v>
      </c>
      <c r="T106" s="13">
        <v>1511.50310595065</v>
      </c>
      <c r="U106" s="13">
        <v>1511.50310595065</v>
      </c>
      <c r="V106" s="13">
        <v>1511.50310595065</v>
      </c>
      <c r="W106" s="13">
        <v>1511.50310595065</v>
      </c>
      <c r="X106" s="13">
        <v>1511.50310595065</v>
      </c>
      <c r="Y106" s="13">
        <v>1511.50310595065</v>
      </c>
      <c r="Z106" s="13">
        <v>1511.50310595065</v>
      </c>
      <c r="AA106" s="13">
        <v>1511.50310595065</v>
      </c>
      <c r="AB106" s="13">
        <v>1511.50310595065</v>
      </c>
      <c r="AC106" s="13">
        <v>1511.50310595065</v>
      </c>
      <c r="AD106" s="13">
        <v>1511.50310595065</v>
      </c>
      <c r="AE106" s="13">
        <v>1511.50310595065</v>
      </c>
      <c r="AF106" s="13">
        <v>1511.50310595065</v>
      </c>
      <c r="AG106" s="13">
        <v>1511.50310595065</v>
      </c>
      <c r="AH106" s="13">
        <v>1511.50310595065</v>
      </c>
      <c r="AI106" s="13">
        <v>1511.50310595065</v>
      </c>
      <c r="AJ106" s="13">
        <v>1511.50310595065</v>
      </c>
      <c r="AK106" s="13">
        <v>1511.50310595065</v>
      </c>
      <c r="AL106" s="56">
        <v>1511.50310595065</v>
      </c>
      <c r="AM106" s="10"/>
    </row>
    <row r="107" spans="2:39">
      <c r="B107" s="10"/>
      <c r="C107" s="16" t="str">
        <f>zEO&amp;" Costs"</f>
        <v>Operating Costs</v>
      </c>
      <c r="D107" s="12" t="str">
        <f>_yearDol &amp; "$"</f>
        <v>2015$</v>
      </c>
      <c r="E107" s="13">
        <f t="array" aca="1" ref="E107:AL107" ca="1">(tlccEFuElecbc0) + IF(bOSav,SUMPRODUCT(dFactor,tpSurvRad,INDEX(mrRad,1,1)*allOnes),0)</f>
        <v>43907.315976520942</v>
      </c>
      <c r="F107" s="13">
        <f ca="1"/>
        <v>44263.382883101818</v>
      </c>
      <c r="G107" s="13">
        <f ca="1"/>
        <v>44608.809872520309</v>
      </c>
      <c r="H107" s="13">
        <f ca="1"/>
        <v>44920.5600130534</v>
      </c>
      <c r="I107" s="13">
        <f ca="1"/>
        <v>45203.513381216413</v>
      </c>
      <c r="J107" s="13">
        <f ca="1"/>
        <v>45488.287065105797</v>
      </c>
      <c r="K107" s="13">
        <f ca="1"/>
        <v>45774.893052491534</v>
      </c>
      <c r="L107" s="13">
        <f ca="1"/>
        <v>46063.343412069211</v>
      </c>
      <c r="M107" s="13">
        <f ca="1"/>
        <v>46353.650294020183</v>
      </c>
      <c r="N107" s="13">
        <f ca="1"/>
        <v>46645.825930575695</v>
      </c>
      <c r="O107" s="13">
        <f ca="1"/>
        <v>46939.882636584967</v>
      </c>
      <c r="P107" s="13">
        <f ca="1"/>
        <v>47235.832810087129</v>
      </c>
      <c r="Q107" s="13">
        <f ca="1"/>
        <v>47533.688932887737</v>
      </c>
      <c r="R107" s="13">
        <f ca="1"/>
        <v>47833.463571138658</v>
      </c>
      <c r="S107" s="13">
        <f ca="1"/>
        <v>48135.169375922815</v>
      </c>
      <c r="T107" s="13">
        <f ca="1"/>
        <v>48438.819083842303</v>
      </c>
      <c r="U107" s="13">
        <f ca="1"/>
        <v>48744.42551761154</v>
      </c>
      <c r="V107" s="13">
        <f ca="1"/>
        <v>49052.001586653707</v>
      </c>
      <c r="W107" s="13">
        <f ca="1"/>
        <v>49361.56028770229</v>
      </c>
      <c r="X107" s="13">
        <f ca="1"/>
        <v>49673.114705406188</v>
      </c>
      <c r="Y107" s="13">
        <f ca="1"/>
        <v>49986.67801293973</v>
      </c>
      <c r="Z107" s="13">
        <f ca="1"/>
        <v>50302.263472616418</v>
      </c>
      <c r="AA107" s="13">
        <f ca="1"/>
        <v>50619.884436507484</v>
      </c>
      <c r="AB107" s="13">
        <f ca="1"/>
        <v>50939.554347064695</v>
      </c>
      <c r="AC107" s="13">
        <f ca="1"/>
        <v>51261.286737747512</v>
      </c>
      <c r="AD107" s="13">
        <f ca="1"/>
        <v>51585.095233654822</v>
      </c>
      <c r="AE107" s="13">
        <f ca="1"/>
        <v>51910.993552161097</v>
      </c>
      <c r="AF107" s="13">
        <f ca="1"/>
        <v>52238.995503557053</v>
      </c>
      <c r="AG107" s="13">
        <f ca="1"/>
        <v>52569.114991694878</v>
      </c>
      <c r="AH107" s="13">
        <f ca="1"/>
        <v>52901.366014638268</v>
      </c>
      <c r="AI107" s="13">
        <f ca="1"/>
        <v>53235.762665316557</v>
      </c>
      <c r="AJ107" s="13">
        <f ca="1"/>
        <v>53572.31913218413</v>
      </c>
      <c r="AK107" s="13">
        <f ca="1"/>
        <v>53911.049699884039</v>
      </c>
      <c r="AL107" s="56">
        <f ca="1"/>
        <v>54251.968749916603</v>
      </c>
      <c r="AM107" s="10"/>
    </row>
    <row r="108" spans="2:39">
      <c r="B108" s="10"/>
      <c r="C108" s="28" t="str">
        <f>INDEX(_fuel,1)</f>
        <v>Electricity</v>
      </c>
      <c r="D108" s="12" t="str">
        <f>_yearDol &amp; "$"</f>
        <v>2015$</v>
      </c>
      <c r="E108" s="13">
        <f ca="1">SUMPRODUCT(dFactor,tpSurvRad,INDEX(elecRad,1,1)*allOnes,OFFSET(tPrcElec,0,0,1,_maxLT))</f>
        <v>43907.315976520942</v>
      </c>
      <c r="F108" s="13">
        <f ca="1">SUMPRODUCT(dFactor,tpSurvRad,INDEX(elecRad,1,1)*allOnes,OFFSET(tPrcElec,0,1,1,_maxLT))</f>
        <v>44263.382883101818</v>
      </c>
      <c r="G108" s="13">
        <f ca="1">SUMPRODUCT(dFactor,tpSurvRad,INDEX(elecRad,1,1)*allOnes,OFFSET(tPrcElec,0,2,1,_maxLT))</f>
        <v>44608.809872520309</v>
      </c>
      <c r="H108" s="13">
        <f ca="1">SUMPRODUCT(dFactor,tpSurvRad,INDEX(elecRad,1,1)*allOnes,OFFSET(tPrcElec,0,3,1,_maxLT))</f>
        <v>44920.5600130534</v>
      </c>
      <c r="I108" s="13">
        <f ca="1">SUMPRODUCT(dFactor,tpSurvRad,INDEX(elecRad,1,1)*allOnes,OFFSET(tPrcElec,0,4,1,_maxLT))</f>
        <v>45203.513381216413</v>
      </c>
      <c r="J108" s="13">
        <f ca="1">SUMPRODUCT(dFactor,tpSurvRad,INDEX(elecRad,1,1)*allOnes,OFFSET(tPrcElec,0,5,1,_maxLT))</f>
        <v>45488.287065105797</v>
      </c>
      <c r="K108" s="13">
        <f ca="1">SUMPRODUCT(dFactor,tpSurvRad,INDEX(elecRad,1,1)*allOnes,OFFSET(tPrcElec,0,6,1,_maxLT))</f>
        <v>45774.893052491534</v>
      </c>
      <c r="L108" s="13">
        <f ca="1">SUMPRODUCT(dFactor,tpSurvRad,INDEX(elecRad,1,1)*allOnes,OFFSET(tPrcElec,0,7,1,_maxLT))</f>
        <v>46063.343412069211</v>
      </c>
      <c r="M108" s="13">
        <f ca="1">SUMPRODUCT(dFactor,tpSurvRad,INDEX(elecRad,1,1)*allOnes,OFFSET(tPrcElec,0,8,1,_maxLT))</f>
        <v>46353.650294020183</v>
      </c>
      <c r="N108" s="13">
        <f ca="1">SUMPRODUCT(dFactor,tpSurvRad,INDEX(elecRad,1,1)*allOnes,OFFSET(tPrcElec,0,9,1,_maxLT))</f>
        <v>46645.825930575695</v>
      </c>
      <c r="O108" s="13">
        <f ca="1">SUMPRODUCT(dFactor,tpSurvRad,INDEX(elecRad,1,1)*allOnes,OFFSET(tPrcElec,0,10,1,_maxLT))</f>
        <v>46939.882636584967</v>
      </c>
      <c r="P108" s="13">
        <f ca="1">SUMPRODUCT(dFactor,tpSurvRad,INDEX(elecRad,1,1)*allOnes,OFFSET(tPrcElec,0,11,1,_maxLT))</f>
        <v>47235.832810087129</v>
      </c>
      <c r="Q108" s="13">
        <f ca="1">SUMPRODUCT(dFactor,tpSurvRad,INDEX(elecRad,1,1)*allOnes,OFFSET(tPrcElec,0,12,1,_maxLT))</f>
        <v>47533.688932887737</v>
      </c>
      <c r="R108" s="13">
        <f ca="1">SUMPRODUCT(dFactor,tpSurvRad,INDEX(elecRad,1,1)*allOnes,OFFSET(tPrcElec,0,13,1,_maxLT))</f>
        <v>47833.463571138658</v>
      </c>
      <c r="S108" s="13">
        <f ca="1">SUMPRODUCT(dFactor,tpSurvRad,INDEX(elecRad,1,1)*allOnes,OFFSET(tPrcElec,0,14,1,_maxLT))</f>
        <v>48135.169375922815</v>
      </c>
      <c r="T108" s="13">
        <f ca="1">SUMPRODUCT(dFactor,tpSurvRad,INDEX(elecRad,1,1)*allOnes,OFFSET(tPrcElec,0,15,1,_maxLT))</f>
        <v>48438.819083842303</v>
      </c>
      <c r="U108" s="13">
        <f ca="1">SUMPRODUCT(dFactor,tpSurvRad,INDEX(elecRad,1,1)*allOnes,OFFSET(tPrcElec,0,16,1,_maxLT))</f>
        <v>48744.42551761154</v>
      </c>
      <c r="V108" s="13">
        <f ca="1">SUMPRODUCT(dFactor,tpSurvRad,INDEX(elecRad,1,1)*allOnes,OFFSET(tPrcElec,0,17,1,_maxLT))</f>
        <v>49052.001586653707</v>
      </c>
      <c r="W108" s="13">
        <f ca="1">SUMPRODUCT(dFactor,tpSurvRad,INDEX(elecRad,1,1)*allOnes,OFFSET(tPrcElec,0,18,1,_maxLT))</f>
        <v>49361.56028770229</v>
      </c>
      <c r="X108" s="13">
        <f ca="1">SUMPRODUCT(dFactor,tpSurvRad,INDEX(elecRad,1,1)*allOnes,OFFSET(tPrcElec,0,19,1,_maxLT))</f>
        <v>49673.114705406188</v>
      </c>
      <c r="Y108" s="13">
        <f ca="1">SUMPRODUCT(dFactor,tpSurvRad,INDEX(elecRad,1,1)*allOnes,OFFSET(tPrcElec,0,20,1,_maxLT))</f>
        <v>49986.67801293973</v>
      </c>
      <c r="Z108" s="13">
        <f ca="1">SUMPRODUCT(dFactor,tpSurvRad,INDEX(elecRad,1,1)*allOnes,OFFSET(tPrcElec,0,21,1,_maxLT))</f>
        <v>50302.263472616418</v>
      </c>
      <c r="AA108" s="13">
        <f ca="1">SUMPRODUCT(dFactor,tpSurvRad,INDEX(elecRad,1,1)*allOnes,OFFSET(tPrcElec,0,22,1,_maxLT))</f>
        <v>50619.884436507484</v>
      </c>
      <c r="AB108" s="13">
        <f ca="1">SUMPRODUCT(dFactor,tpSurvRad,INDEX(elecRad,1,1)*allOnes,OFFSET(tPrcElec,0,23,1,_maxLT))</f>
        <v>50939.554347064695</v>
      </c>
      <c r="AC108" s="13">
        <f ca="1">SUMPRODUCT(dFactor,tpSurvRad,INDEX(elecRad,1,1)*allOnes,OFFSET(tPrcElec,0,24,1,_maxLT))</f>
        <v>51261.286737747512</v>
      </c>
      <c r="AD108" s="13">
        <f ca="1">SUMPRODUCT(dFactor,tpSurvRad,INDEX(elecRad,1,1)*allOnes,OFFSET(tPrcElec,0,25,1,_maxLT))</f>
        <v>51585.095233654822</v>
      </c>
      <c r="AE108" s="13">
        <f ca="1">SUMPRODUCT(dFactor,tpSurvRad,INDEX(elecRad,1,1)*allOnes,OFFSET(tPrcElec,0,26,1,_maxLT))</f>
        <v>51910.993552161097</v>
      </c>
      <c r="AF108" s="13">
        <f ca="1">SUMPRODUCT(dFactor,tpSurvRad,INDEX(elecRad,1,1)*allOnes,OFFSET(tPrcElec,0,27,1,_maxLT))</f>
        <v>52238.995503557053</v>
      </c>
      <c r="AG108" s="13">
        <f ca="1">SUMPRODUCT(dFactor,tpSurvRad,INDEX(elecRad,1,1)*allOnes,OFFSET(tPrcElec,0,28,1,_maxLT))</f>
        <v>52569.114991694878</v>
      </c>
      <c r="AH108" s="13">
        <f ca="1">SUMPRODUCT(dFactor,tpSurvRad,INDEX(elecRad,1,1)*allOnes,OFFSET(tPrcElec,0,29,1,_maxLT))</f>
        <v>52901.366014638268</v>
      </c>
      <c r="AI108" s="13">
        <f ca="1">SUMPRODUCT(dFactor,tpSurvRad,INDEX(elecRad,1,1)*allOnes,OFFSET(tPrcElec,0,30,1,_maxLT))</f>
        <v>53235.762665316557</v>
      </c>
      <c r="AJ108" s="13">
        <f ca="1">SUMPRODUCT(dFactor,tpSurvRad,INDEX(elecRad,1,1)*allOnes,OFFSET(tPrcElec,0,31,1,_maxLT))</f>
        <v>53572.31913218413</v>
      </c>
      <c r="AK108" s="13">
        <f ca="1">SUMPRODUCT(dFactor,tpSurvRad,INDEX(elecRad,1,1)*allOnes,OFFSET(tPrcElec,0,32,1,_maxLT))</f>
        <v>53911.049699884039</v>
      </c>
      <c r="AL108" s="56">
        <f ca="1">SUMPRODUCT(dFactor,tpSurvRad,INDEX(elecRad,1,1)*allOnes,OFFSET(tPrcElec,0,33,1,_maxLT))</f>
        <v>54251.968749916603</v>
      </c>
      <c r="AM108" s="10"/>
    </row>
    <row r="109" spans="2:39">
      <c r="B109" s="10"/>
      <c r="C109" s="16" t="s">
        <v>79</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5"/>
      <c r="AM109" s="10"/>
    </row>
    <row r="110" spans="2:39">
      <c r="B110" s="10"/>
      <c r="C110" s="28" t="str">
        <f>INDEX(_fuel,1)</f>
        <v>Electricity</v>
      </c>
      <c r="D110" s="12" t="s">
        <v>83</v>
      </c>
      <c r="E110" s="39">
        <f ca="1">SUMPRODUCT(OFFSET(tConvElecRad,0,0,1,_maxLT),INDEX(elecRad,1,1)*allOnes,tpSurvRad)</f>
        <v>9263.7596862796563</v>
      </c>
      <c r="F110" s="39">
        <f ca="1">SUMPRODUCT(OFFSET(tConvElecRad,0,1,1,_maxLT),INDEX(elecRad,1,1)*allOnes,tpSurvRad)</f>
        <v>9202.0337479908867</v>
      </c>
      <c r="G110" s="39">
        <f ca="1">SUMPRODUCT(OFFSET(tConvElecRad,0,2,1,_maxLT),INDEX(elecRad,1,1)*allOnes,tpSurvRad)</f>
        <v>9147.4156365099916</v>
      </c>
      <c r="H110" s="39">
        <f ca="1">SUMPRODUCT(OFFSET(tConvElecRad,0,3,1,_maxLT),INDEX(elecRad,1,1)*allOnes,tpSurvRad)</f>
        <v>9095.3050651133472</v>
      </c>
      <c r="I110" s="39">
        <f ca="1">SUMPRODUCT(OFFSET(tConvElecRad,0,4,1,_maxLT),INDEX(elecRad,1,1)*allOnes,tpSurvRad)</f>
        <v>9049.5324836064228</v>
      </c>
      <c r="J110" s="39">
        <f ca="1">SUMPRODUCT(OFFSET(tConvElecRad,0,5,1,_maxLT),INDEX(elecRad,1,1)*allOnes,tpSurvRad)</f>
        <v>9013.8613729323006</v>
      </c>
      <c r="K110" s="39">
        <f ca="1">SUMPRODUCT(OFFSET(tConvElecRad,0,6,1,_maxLT),INDEX(elecRad,1,1)*allOnes,tpSurvRad)</f>
        <v>8984.3141901210438</v>
      </c>
      <c r="L110" s="39">
        <f ca="1">SUMPRODUCT(OFFSET(tConvElecRad,0,7,1,_maxLT),INDEX(elecRad,1,1)*allOnes,tpSurvRad)</f>
        <v>8954.4781433413646</v>
      </c>
      <c r="M110" s="39">
        <f ca="1">SUMPRODUCT(OFFSET(tConvElecRad,0,8,1,_maxLT),INDEX(elecRad,1,1)*allOnes,tpSurvRad)</f>
        <v>8930.4180387739652</v>
      </c>
      <c r="N110" s="39">
        <f ca="1">SUMPRODUCT(OFFSET(tConvElecRad,0,9,1,_maxLT),INDEX(elecRad,1,1)*allOnes,tpSurvRad)</f>
        <v>8913.6428420409266</v>
      </c>
      <c r="O110" s="39">
        <f ca="1">SUMPRODUCT(OFFSET(tConvElecRad,0,10,1,_maxLT),INDEX(elecRad,1,1)*allOnes,tpSurvRad)</f>
        <v>8901.1781488566739</v>
      </c>
      <c r="P110" s="39">
        <f ca="1">SUMPRODUCT(OFFSET(tConvElecRad,0,11,1,_maxLT),INDEX(elecRad,1,1)*allOnes,tpSurvRad)</f>
        <v>8890.5916853671679</v>
      </c>
      <c r="Q110" s="39">
        <f ca="1">SUMPRODUCT(OFFSET(tConvElecRad,0,12,1,_maxLT),INDEX(elecRad,1,1)*allOnes,tpSurvRad)</f>
        <v>8882.6932517436071</v>
      </c>
      <c r="R110" s="39">
        <f ca="1">SUMPRODUCT(OFFSET(tConvElecRad,0,13,1,_maxLT),INDEX(elecRad,1,1)*allOnes,tpSurvRad)</f>
        <v>8876.6150197960324</v>
      </c>
      <c r="S110" s="39">
        <f ca="1">SUMPRODUCT(OFFSET(tConvElecRad,0,14,1,_maxLT),INDEX(elecRad,1,1)*allOnes,tpSurvRad)</f>
        <v>8875.5143928678735</v>
      </c>
      <c r="T110" s="39">
        <f ca="1">SUMPRODUCT(OFFSET(tConvElecRad,0,15,1,_maxLT),INDEX(elecRad,1,1)*allOnes,tpSurvRad)</f>
        <v>8876.527669526582</v>
      </c>
      <c r="U110" s="39">
        <f ca="1">SUMPRODUCT(OFFSET(tConvElecRad,0,16,1,_maxLT),INDEX(elecRad,1,1)*allOnes,tpSurvRad)</f>
        <v>8878.2011945032154</v>
      </c>
      <c r="V110" s="39">
        <f ca="1">SUMPRODUCT(OFFSET(tConvElecRad,0,17,1,_maxLT),INDEX(elecRad,1,1)*allOnes,tpSurvRad)</f>
        <v>8880.7845332097404</v>
      </c>
      <c r="W110" s="39">
        <f ca="1">SUMPRODUCT(OFFSET(tConvElecRad,0,18,1,_maxLT),INDEX(elecRad,1,1)*allOnes,tpSurvRad)</f>
        <v>8883.3037992502541</v>
      </c>
      <c r="X110" s="39">
        <f ca="1">SUMPRODUCT(OFFSET(tConvElecRad,0,19,1,_maxLT),INDEX(elecRad,1,1)*allOnes,tpSurvRad)</f>
        <v>8885.406509767341</v>
      </c>
      <c r="Y110" s="39">
        <f ca="1">SUMPRODUCT(OFFSET(tConvElecRad,0,20,1,_maxLT),INDEX(elecRad,1,1)*allOnes,tpSurvRad)</f>
        <v>8886.805574182421</v>
      </c>
      <c r="Z110" s="39">
        <f ca="1">SUMPRODUCT(OFFSET(tConvElecRad,0,21,1,_maxLT),INDEX(elecRad,1,1)*allOnes,tpSurvRad)</f>
        <v>8887.7610869261189</v>
      </c>
      <c r="AA110" s="39">
        <f ca="1">SUMPRODUCT(OFFSET(tConvElecRad,0,22,1,_maxLT),INDEX(elecRad,1,1)*allOnes,tpSurvRad)</f>
        <v>8887.7610869261189</v>
      </c>
      <c r="AB110" s="39">
        <f ca="1">SUMPRODUCT(OFFSET(tConvElecRad,0,23,1,_maxLT),INDEX(elecRad,1,1)*allOnes,tpSurvRad)</f>
        <v>8887.7610869261189</v>
      </c>
      <c r="AC110" s="39">
        <f ca="1">SUMPRODUCT(OFFSET(tConvElecRad,0,24,1,_maxLT),INDEX(elecRad,1,1)*allOnes,tpSurvRad)</f>
        <v>8887.7610869261189</v>
      </c>
      <c r="AD110" s="39">
        <f ca="1">SUMPRODUCT(OFFSET(tConvElecRad,0,25,1,_maxLT),INDEX(elecRad,1,1)*allOnes,tpSurvRad)</f>
        <v>8887.7610869261189</v>
      </c>
      <c r="AE110" s="39">
        <f ca="1">SUMPRODUCT(OFFSET(tConvElecRad,0,26,1,_maxLT),INDEX(elecRad,1,1)*allOnes,tpSurvRad)</f>
        <v>8887.7610869261189</v>
      </c>
      <c r="AF110" s="39">
        <f ca="1">SUMPRODUCT(OFFSET(tConvElecRad,0,27,1,_maxLT),INDEX(elecRad,1,1)*allOnes,tpSurvRad)</f>
        <v>8887.7610869261189</v>
      </c>
      <c r="AG110" s="39">
        <f ca="1">SUMPRODUCT(OFFSET(tConvElecRad,0,28,1,_maxLT),INDEX(elecRad,1,1)*allOnes,tpSurvRad)</f>
        <v>8887.7610869261189</v>
      </c>
      <c r="AH110" s="39">
        <f ca="1">SUMPRODUCT(OFFSET(tConvElecRad,0,29,1,_maxLT),INDEX(elecRad,1,1)*allOnes,tpSurvRad)</f>
        <v>8887.7610869261189</v>
      </c>
      <c r="AI110" s="39">
        <f ca="1">SUMPRODUCT(OFFSET(tConvElecRad,0,30,1,_maxLT),INDEX(elecRad,1,1)*allOnes,tpSurvRad)</f>
        <v>8887.7610869261189</v>
      </c>
      <c r="AJ110" s="39">
        <f ca="1">SUMPRODUCT(OFFSET(tConvElecRad,0,31,1,_maxLT),INDEX(elecRad,1,1)*allOnes,tpSurvRad)</f>
        <v>8887.7610869261189</v>
      </c>
      <c r="AK110" s="39">
        <f ca="1">SUMPRODUCT(OFFSET(tConvElecRad,0,32,1,_maxLT),INDEX(elecRad,1,1)*allOnes,tpSurvRad)</f>
        <v>8887.7610869261189</v>
      </c>
      <c r="AL110" s="40">
        <f ca="1">SUMPRODUCT(OFFSET(tConvElecRad,0,33,1,_maxLT),INDEX(elecRad,1,1)*allOnes,tpSurvRad)</f>
        <v>8887.7610869261189</v>
      </c>
      <c r="AM110" s="10"/>
    </row>
    <row r="111" spans="2:39">
      <c r="B111" s="10"/>
      <c r="C111" s="57" t="str">
        <f>"EL 1: " &amp; INDEX(_doName,6,2)</f>
        <v>EL 1: EL 1</v>
      </c>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3"/>
      <c r="AM111" s="10"/>
    </row>
    <row r="112" spans="2:39">
      <c r="B112" s="10"/>
      <c r="C112" s="16" t="s">
        <v>69</v>
      </c>
      <c r="D112" s="12" t="str">
        <f>_yearDol &amp; "$"</f>
        <v>2015$</v>
      </c>
      <c r="E112" s="13">
        <f t="array" ref="E112:AL112">INDEX(mspRad,1,2)*tPIdxAll + INDEX(instRad,1,2) + IF(bESav,SUMPRODUCT(dFactor,tpSurvRad,INDEX(mrRad,1,2)*allOnes),0)</f>
        <v>1949.6807457627001</v>
      </c>
      <c r="F112" s="13">
        <v>1949.6807457627001</v>
      </c>
      <c r="G112" s="13">
        <v>1949.6807457627001</v>
      </c>
      <c r="H112" s="13">
        <v>1949.6807457627001</v>
      </c>
      <c r="I112" s="13">
        <v>1949.6807457627001</v>
      </c>
      <c r="J112" s="13">
        <v>1949.6807457627001</v>
      </c>
      <c r="K112" s="13">
        <v>1949.6807457627001</v>
      </c>
      <c r="L112" s="13">
        <v>1949.6807457627001</v>
      </c>
      <c r="M112" s="13">
        <v>1949.6807457627001</v>
      </c>
      <c r="N112" s="13">
        <v>1949.6807457627001</v>
      </c>
      <c r="O112" s="13">
        <v>1949.6807457627001</v>
      </c>
      <c r="P112" s="13">
        <v>1949.6807457627001</v>
      </c>
      <c r="Q112" s="13">
        <v>1949.6807457627001</v>
      </c>
      <c r="R112" s="13">
        <v>1949.6807457627001</v>
      </c>
      <c r="S112" s="13">
        <v>1949.6807457627001</v>
      </c>
      <c r="T112" s="13">
        <v>1949.6807457627001</v>
      </c>
      <c r="U112" s="13">
        <v>1949.6807457627001</v>
      </c>
      <c r="V112" s="13">
        <v>1949.6807457627001</v>
      </c>
      <c r="W112" s="13">
        <v>1949.6807457627001</v>
      </c>
      <c r="X112" s="13">
        <v>1949.6807457627001</v>
      </c>
      <c r="Y112" s="13">
        <v>1949.6807457627001</v>
      </c>
      <c r="Z112" s="13">
        <v>1949.6807457627001</v>
      </c>
      <c r="AA112" s="13">
        <v>1949.6807457627001</v>
      </c>
      <c r="AB112" s="13">
        <v>1949.6807457627001</v>
      </c>
      <c r="AC112" s="13">
        <v>1949.6807457627001</v>
      </c>
      <c r="AD112" s="13">
        <v>1949.6807457627001</v>
      </c>
      <c r="AE112" s="13">
        <v>1949.6807457627001</v>
      </c>
      <c r="AF112" s="13">
        <v>1949.6807457627001</v>
      </c>
      <c r="AG112" s="13">
        <v>1949.6807457627001</v>
      </c>
      <c r="AH112" s="13">
        <v>1949.6807457627001</v>
      </c>
      <c r="AI112" s="13">
        <v>1949.6807457627001</v>
      </c>
      <c r="AJ112" s="13">
        <v>1949.6807457627001</v>
      </c>
      <c r="AK112" s="13">
        <v>1949.6807457627001</v>
      </c>
      <c r="AL112" s="56">
        <v>1949.6807457627001</v>
      </c>
      <c r="AM112" s="10"/>
    </row>
    <row r="113" spans="2:39">
      <c r="B113" s="10"/>
      <c r="C113" s="16" t="str">
        <f>zEO&amp;" Costs"</f>
        <v>Operating Costs</v>
      </c>
      <c r="D113" s="12" t="str">
        <f>_yearDol &amp; "$"</f>
        <v>2015$</v>
      </c>
      <c r="E113" s="13">
        <f t="array" aca="1" ref="E113:AL113" ca="1">(tlccEFuElecbc1) + IF(bOSav,SUMPRODUCT(dFactor,tpSurvRad,INDEX(mrRad,1,2)*allOnes),0)</f>
        <v>90399.62846316419</v>
      </c>
      <c r="F113" s="13">
        <f ca="1"/>
        <v>91132.725336590782</v>
      </c>
      <c r="G113" s="13">
        <f ca="1"/>
        <v>91843.915961890641</v>
      </c>
      <c r="H113" s="13">
        <f ca="1"/>
        <v>92485.770200774175</v>
      </c>
      <c r="I113" s="13">
        <f ca="1"/>
        <v>93068.335515584477</v>
      </c>
      <c r="J113" s="13">
        <f ca="1"/>
        <v>93654.648630999116</v>
      </c>
      <c r="K113" s="13">
        <f ca="1"/>
        <v>94244.73422832512</v>
      </c>
      <c r="L113" s="13">
        <f ca="1"/>
        <v>94838.617155485437</v>
      </c>
      <c r="M113" s="13">
        <f ca="1"/>
        <v>95436.322428171727</v>
      </c>
      <c r="N113" s="13">
        <f ca="1"/>
        <v>96037.875231005979</v>
      </c>
      <c r="O113" s="13">
        <f ca="1"/>
        <v>96643.300918710403</v>
      </c>
      <c r="P113" s="13">
        <f ca="1"/>
        <v>97252.625017284503</v>
      </c>
      <c r="Q113" s="13">
        <f ca="1"/>
        <v>97865.873225192583</v>
      </c>
      <c r="R113" s="13">
        <f ca="1"/>
        <v>98483.071414557053</v>
      </c>
      <c r="S113" s="13">
        <f ca="1"/>
        <v>99104.245632362858</v>
      </c>
      <c r="T113" s="13">
        <f ca="1"/>
        <v>99729.422101668111</v>
      </c>
      <c r="U113" s="13">
        <f ca="1"/>
        <v>100358.62722282525</v>
      </c>
      <c r="V113" s="13">
        <f ca="1"/>
        <v>100991.88757470918</v>
      </c>
      <c r="W113" s="13">
        <f ca="1"/>
        <v>101629.22991595577</v>
      </c>
      <c r="X113" s="13">
        <f ca="1"/>
        <v>102270.68118620773</v>
      </c>
      <c r="Y113" s="13">
        <f ca="1"/>
        <v>102916.26850737017</v>
      </c>
      <c r="Z113" s="13">
        <f ca="1"/>
        <v>103566.01918487465</v>
      </c>
      <c r="AA113" s="13">
        <f ca="1"/>
        <v>104219.96070895274</v>
      </c>
      <c r="AB113" s="13">
        <f ca="1"/>
        <v>104878.12075591799</v>
      </c>
      <c r="AC113" s="13">
        <f ca="1"/>
        <v>105540.52718945732</v>
      </c>
      <c r="AD113" s="13">
        <f ca="1"/>
        <v>106207.20806193171</v>
      </c>
      <c r="AE113" s="13">
        <f ca="1"/>
        <v>106878.19161568597</v>
      </c>
      <c r="AF113" s="13">
        <f ca="1"/>
        <v>107553.50628436764</v>
      </c>
      <c r="AG113" s="13">
        <f ca="1"/>
        <v>108233.18069425577</v>
      </c>
      <c r="AH113" s="13">
        <f ca="1"/>
        <v>108917.24366559859</v>
      </c>
      <c r="AI113" s="13">
        <f ca="1"/>
        <v>109605.72421396121</v>
      </c>
      <c r="AJ113" s="13">
        <f ca="1"/>
        <v>110298.65155158237</v>
      </c>
      <c r="AK113" s="13">
        <f ca="1"/>
        <v>110996.05508874147</v>
      </c>
      <c r="AL113" s="56">
        <f ca="1"/>
        <v>111697.96443513459</v>
      </c>
      <c r="AM113" s="10"/>
    </row>
    <row r="114" spans="2:39">
      <c r="B114" s="10"/>
      <c r="C114" s="28" t="str">
        <f>INDEX(_fuel,1)</f>
        <v>Electricity</v>
      </c>
      <c r="D114" s="12" t="str">
        <f>_yearDol &amp; "$"</f>
        <v>2015$</v>
      </c>
      <c r="E114" s="13">
        <f ca="1">SUMPRODUCT(dFactor,tpSurvRad,INDEX(elecRad,1,2)*allOnes,OFFSET(tPrcElec,0,0,1,_maxLT))</f>
        <v>90399.62846316419</v>
      </c>
      <c r="F114" s="13">
        <f ca="1">SUMPRODUCT(dFactor,tpSurvRad,INDEX(elecRad,1,2)*allOnes,OFFSET(tPrcElec,0,1,1,_maxLT))</f>
        <v>91132.725336590782</v>
      </c>
      <c r="G114" s="13">
        <f ca="1">SUMPRODUCT(dFactor,tpSurvRad,INDEX(elecRad,1,2)*allOnes,OFFSET(tPrcElec,0,2,1,_maxLT))</f>
        <v>91843.915961890641</v>
      </c>
      <c r="H114" s="13">
        <f ca="1">SUMPRODUCT(dFactor,tpSurvRad,INDEX(elecRad,1,2)*allOnes,OFFSET(tPrcElec,0,3,1,_maxLT))</f>
        <v>92485.770200774175</v>
      </c>
      <c r="I114" s="13">
        <f ca="1">SUMPRODUCT(dFactor,tpSurvRad,INDEX(elecRad,1,2)*allOnes,OFFSET(tPrcElec,0,4,1,_maxLT))</f>
        <v>93068.335515584477</v>
      </c>
      <c r="J114" s="13">
        <f ca="1">SUMPRODUCT(dFactor,tpSurvRad,INDEX(elecRad,1,2)*allOnes,OFFSET(tPrcElec,0,5,1,_maxLT))</f>
        <v>93654.648630999116</v>
      </c>
      <c r="K114" s="13">
        <f ca="1">SUMPRODUCT(dFactor,tpSurvRad,INDEX(elecRad,1,2)*allOnes,OFFSET(tPrcElec,0,6,1,_maxLT))</f>
        <v>94244.73422832512</v>
      </c>
      <c r="L114" s="13">
        <f ca="1">SUMPRODUCT(dFactor,tpSurvRad,INDEX(elecRad,1,2)*allOnes,OFFSET(tPrcElec,0,7,1,_maxLT))</f>
        <v>94838.617155485437</v>
      </c>
      <c r="M114" s="13">
        <f ca="1">SUMPRODUCT(dFactor,tpSurvRad,INDEX(elecRad,1,2)*allOnes,OFFSET(tPrcElec,0,8,1,_maxLT))</f>
        <v>95436.322428171727</v>
      </c>
      <c r="N114" s="13">
        <f ca="1">SUMPRODUCT(dFactor,tpSurvRad,INDEX(elecRad,1,2)*allOnes,OFFSET(tPrcElec,0,9,1,_maxLT))</f>
        <v>96037.875231005979</v>
      </c>
      <c r="O114" s="13">
        <f ca="1">SUMPRODUCT(dFactor,tpSurvRad,INDEX(elecRad,1,2)*allOnes,OFFSET(tPrcElec,0,10,1,_maxLT))</f>
        <v>96643.300918710403</v>
      </c>
      <c r="P114" s="13">
        <f ca="1">SUMPRODUCT(dFactor,tpSurvRad,INDEX(elecRad,1,2)*allOnes,OFFSET(tPrcElec,0,11,1,_maxLT))</f>
        <v>97252.625017284503</v>
      </c>
      <c r="Q114" s="13">
        <f ca="1">SUMPRODUCT(dFactor,tpSurvRad,INDEX(elecRad,1,2)*allOnes,OFFSET(tPrcElec,0,12,1,_maxLT))</f>
        <v>97865.873225192583</v>
      </c>
      <c r="R114" s="13">
        <f ca="1">SUMPRODUCT(dFactor,tpSurvRad,INDEX(elecRad,1,2)*allOnes,OFFSET(tPrcElec,0,13,1,_maxLT))</f>
        <v>98483.071414557053</v>
      </c>
      <c r="S114" s="13">
        <f ca="1">SUMPRODUCT(dFactor,tpSurvRad,INDEX(elecRad,1,2)*allOnes,OFFSET(tPrcElec,0,14,1,_maxLT))</f>
        <v>99104.245632362858</v>
      </c>
      <c r="T114" s="13">
        <f ca="1">SUMPRODUCT(dFactor,tpSurvRad,INDEX(elecRad,1,2)*allOnes,OFFSET(tPrcElec,0,15,1,_maxLT))</f>
        <v>99729.422101668111</v>
      </c>
      <c r="U114" s="13">
        <f ca="1">SUMPRODUCT(dFactor,tpSurvRad,INDEX(elecRad,1,2)*allOnes,OFFSET(tPrcElec,0,16,1,_maxLT))</f>
        <v>100358.62722282525</v>
      </c>
      <c r="V114" s="13">
        <f ca="1">SUMPRODUCT(dFactor,tpSurvRad,INDEX(elecRad,1,2)*allOnes,OFFSET(tPrcElec,0,17,1,_maxLT))</f>
        <v>100991.88757470918</v>
      </c>
      <c r="W114" s="13">
        <f ca="1">SUMPRODUCT(dFactor,tpSurvRad,INDEX(elecRad,1,2)*allOnes,OFFSET(tPrcElec,0,18,1,_maxLT))</f>
        <v>101629.22991595577</v>
      </c>
      <c r="X114" s="13">
        <f ca="1">SUMPRODUCT(dFactor,tpSurvRad,INDEX(elecRad,1,2)*allOnes,OFFSET(tPrcElec,0,19,1,_maxLT))</f>
        <v>102270.68118620773</v>
      </c>
      <c r="Y114" s="13">
        <f ca="1">SUMPRODUCT(dFactor,tpSurvRad,INDEX(elecRad,1,2)*allOnes,OFFSET(tPrcElec,0,20,1,_maxLT))</f>
        <v>102916.26850737017</v>
      </c>
      <c r="Z114" s="13">
        <f ca="1">SUMPRODUCT(dFactor,tpSurvRad,INDEX(elecRad,1,2)*allOnes,OFFSET(tPrcElec,0,21,1,_maxLT))</f>
        <v>103566.01918487465</v>
      </c>
      <c r="AA114" s="13">
        <f ca="1">SUMPRODUCT(dFactor,tpSurvRad,INDEX(elecRad,1,2)*allOnes,OFFSET(tPrcElec,0,22,1,_maxLT))</f>
        <v>104219.96070895274</v>
      </c>
      <c r="AB114" s="13">
        <f ca="1">SUMPRODUCT(dFactor,tpSurvRad,INDEX(elecRad,1,2)*allOnes,OFFSET(tPrcElec,0,23,1,_maxLT))</f>
        <v>104878.12075591799</v>
      </c>
      <c r="AC114" s="13">
        <f ca="1">SUMPRODUCT(dFactor,tpSurvRad,INDEX(elecRad,1,2)*allOnes,OFFSET(tPrcElec,0,24,1,_maxLT))</f>
        <v>105540.52718945732</v>
      </c>
      <c r="AD114" s="13">
        <f ca="1">SUMPRODUCT(dFactor,tpSurvRad,INDEX(elecRad,1,2)*allOnes,OFFSET(tPrcElec,0,25,1,_maxLT))</f>
        <v>106207.20806193171</v>
      </c>
      <c r="AE114" s="13">
        <f ca="1">SUMPRODUCT(dFactor,tpSurvRad,INDEX(elecRad,1,2)*allOnes,OFFSET(tPrcElec,0,26,1,_maxLT))</f>
        <v>106878.19161568597</v>
      </c>
      <c r="AF114" s="13">
        <f ca="1">SUMPRODUCT(dFactor,tpSurvRad,INDEX(elecRad,1,2)*allOnes,OFFSET(tPrcElec,0,27,1,_maxLT))</f>
        <v>107553.50628436764</v>
      </c>
      <c r="AG114" s="13">
        <f ca="1">SUMPRODUCT(dFactor,tpSurvRad,INDEX(elecRad,1,2)*allOnes,OFFSET(tPrcElec,0,28,1,_maxLT))</f>
        <v>108233.18069425577</v>
      </c>
      <c r="AH114" s="13">
        <f ca="1">SUMPRODUCT(dFactor,tpSurvRad,INDEX(elecRad,1,2)*allOnes,OFFSET(tPrcElec,0,29,1,_maxLT))</f>
        <v>108917.24366559859</v>
      </c>
      <c r="AI114" s="13">
        <f ca="1">SUMPRODUCT(dFactor,tpSurvRad,INDEX(elecRad,1,2)*allOnes,OFFSET(tPrcElec,0,30,1,_maxLT))</f>
        <v>109605.72421396121</v>
      </c>
      <c r="AJ114" s="13">
        <f ca="1">SUMPRODUCT(dFactor,tpSurvRad,INDEX(elecRad,1,2)*allOnes,OFFSET(tPrcElec,0,31,1,_maxLT))</f>
        <v>110298.65155158237</v>
      </c>
      <c r="AK114" s="13">
        <f ca="1">SUMPRODUCT(dFactor,tpSurvRad,INDEX(elecRad,1,2)*allOnes,OFFSET(tPrcElec,0,32,1,_maxLT))</f>
        <v>110996.05508874147</v>
      </c>
      <c r="AL114" s="56">
        <f ca="1">SUMPRODUCT(dFactor,tpSurvRad,INDEX(elecRad,1,2)*allOnes,OFFSET(tPrcElec,0,33,1,_maxLT))</f>
        <v>111697.96443513459</v>
      </c>
      <c r="AM114" s="10"/>
    </row>
    <row r="115" spans="2:39">
      <c r="B115" s="10"/>
      <c r="C115" s="16" t="s">
        <v>79</v>
      </c>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5"/>
      <c r="AM115" s="10"/>
    </row>
    <row r="116" spans="2:39">
      <c r="B116" s="10"/>
      <c r="C116" s="28" t="str">
        <f>INDEX(_fuel,1)</f>
        <v>Electricity</v>
      </c>
      <c r="D116" s="12" t="s">
        <v>83</v>
      </c>
      <c r="E116" s="39">
        <f ca="1">SUMPRODUCT(OFFSET(tConvElecRad,0,0,1,_maxLT),INDEX(elecRad,1,2)*allOnes,tpSurvRad)</f>
        <v>19072.91336731979</v>
      </c>
      <c r="F116" s="39">
        <f ca="1">SUMPRODUCT(OFFSET(tConvElecRad,0,1,1,_maxLT),INDEX(elecRad,1,2)*allOnes,tpSurvRad)</f>
        <v>18945.827441802758</v>
      </c>
      <c r="G116" s="39">
        <f ca="1">SUMPRODUCT(OFFSET(tConvElecRad,0,2,1,_maxLT),INDEX(elecRad,1,2)*allOnes,tpSurvRad)</f>
        <v>18833.375635641954</v>
      </c>
      <c r="H116" s="39">
        <f ca="1">SUMPRODUCT(OFFSET(tConvElecRad,0,3,1,_maxLT),INDEX(elecRad,1,2)*allOnes,tpSurvRad)</f>
        <v>18726.086538404059</v>
      </c>
      <c r="I116" s="39">
        <f ca="1">SUMPRODUCT(OFFSET(tConvElecRad,0,4,1,_maxLT),INDEX(elecRad,1,2)*allOnes,tpSurvRad)</f>
        <v>18631.846563356656</v>
      </c>
      <c r="J116" s="39">
        <f ca="1">SUMPRODUCT(OFFSET(tConvElecRad,0,5,1,_maxLT),INDEX(elecRad,1,2)*allOnes,tpSurvRad)</f>
        <v>18558.404243322027</v>
      </c>
      <c r="K116" s="39">
        <f ca="1">SUMPRODUCT(OFFSET(tConvElecRad,0,6,1,_maxLT),INDEX(elecRad,1,2)*allOnes,tpSurvRad)</f>
        <v>18497.57031875012</v>
      </c>
      <c r="L116" s="39">
        <f ca="1">SUMPRODUCT(OFFSET(tConvElecRad,0,7,1,_maxLT),INDEX(elecRad,1,2)*allOnes,tpSurvRad)</f>
        <v>18436.141659682573</v>
      </c>
      <c r="M116" s="39">
        <f ca="1">SUMPRODUCT(OFFSET(tConvElecRad,0,8,1,_maxLT),INDEX(elecRad,1,2)*allOnes,tpSurvRad)</f>
        <v>18386.604937491662</v>
      </c>
      <c r="N116" s="39">
        <f ca="1">SUMPRODUCT(OFFSET(tConvElecRad,0,9,1,_maxLT),INDEX(elecRad,1,2)*allOnes,tpSurvRad)</f>
        <v>18352.066922166967</v>
      </c>
      <c r="O116" s="39">
        <f ca="1">SUMPRODUCT(OFFSET(tConvElecRad,0,10,1,_maxLT),INDEX(elecRad,1,2)*allOnes,tpSurvRad)</f>
        <v>18326.403690249845</v>
      </c>
      <c r="P116" s="39">
        <f ca="1">SUMPRODUCT(OFFSET(tConvElecRad,0,11,1,_maxLT),INDEX(elecRad,1,2)*allOnes,tpSurvRad)</f>
        <v>18304.607496497032</v>
      </c>
      <c r="Q116" s="39">
        <f ca="1">SUMPRODUCT(OFFSET(tConvElecRad,0,12,1,_maxLT),INDEX(elecRad,1,2)*allOnes,tpSurvRad)</f>
        <v>18288.345617374369</v>
      </c>
      <c r="R116" s="39">
        <f ca="1">SUMPRODUCT(OFFSET(tConvElecRad,0,13,1,_maxLT),INDEX(elecRad,1,2)*allOnes,tpSurvRad)</f>
        <v>18275.831304040625</v>
      </c>
      <c r="S116" s="39">
        <f ca="1">SUMPRODUCT(OFFSET(tConvElecRad,0,14,1,_maxLT),INDEX(elecRad,1,2)*allOnes,tpSurvRad)</f>
        <v>18273.565251944998</v>
      </c>
      <c r="T116" s="39">
        <f ca="1">SUMPRODUCT(OFFSET(tConvElecRad,0,15,1,_maxLT),INDEX(elecRad,1,2)*allOnes,tpSurvRad)</f>
        <v>18275.651460847555</v>
      </c>
      <c r="U116" s="39">
        <f ca="1">SUMPRODUCT(OFFSET(tConvElecRad,0,16,1,_maxLT),INDEX(elecRad,1,2)*allOnes,tpSurvRad)</f>
        <v>18279.097037803167</v>
      </c>
      <c r="V116" s="39">
        <f ca="1">SUMPRODUCT(OFFSET(tConvElecRad,0,17,1,_maxLT),INDEX(elecRad,1,2)*allOnes,tpSurvRad)</f>
        <v>18284.415806533856</v>
      </c>
      <c r="W116" s="39">
        <f ca="1">SUMPRODUCT(OFFSET(tConvElecRad,0,18,1,_maxLT),INDEX(elecRad,1,2)*allOnes,tpSurvRad)</f>
        <v>18289.60265772248</v>
      </c>
      <c r="X116" s="39">
        <f ca="1">SUMPRODUCT(OFFSET(tConvElecRad,0,19,1,_maxLT),INDEX(elecRad,1,2)*allOnes,tpSurvRad)</f>
        <v>18293.931873601035</v>
      </c>
      <c r="Y116" s="39">
        <f ca="1">SUMPRODUCT(OFFSET(tConvElecRad,0,20,1,_maxLT),INDEX(elecRad,1,2)*allOnes,tpSurvRad)</f>
        <v>18296.812370860011</v>
      </c>
      <c r="Z116" s="39">
        <f ca="1">SUMPRODUCT(OFFSET(tConvElecRad,0,21,1,_maxLT),INDEX(elecRad,1,2)*allOnes,tpSurvRad)</f>
        <v>18298.779651143512</v>
      </c>
      <c r="AA116" s="39">
        <f ca="1">SUMPRODUCT(OFFSET(tConvElecRad,0,22,1,_maxLT),INDEX(elecRad,1,2)*allOnes,tpSurvRad)</f>
        <v>18298.779651143512</v>
      </c>
      <c r="AB116" s="39">
        <f ca="1">SUMPRODUCT(OFFSET(tConvElecRad,0,23,1,_maxLT),INDEX(elecRad,1,2)*allOnes,tpSurvRad)</f>
        <v>18298.779651143512</v>
      </c>
      <c r="AC116" s="39">
        <f ca="1">SUMPRODUCT(OFFSET(tConvElecRad,0,24,1,_maxLT),INDEX(elecRad,1,2)*allOnes,tpSurvRad)</f>
        <v>18298.779651143512</v>
      </c>
      <c r="AD116" s="39">
        <f ca="1">SUMPRODUCT(OFFSET(tConvElecRad,0,25,1,_maxLT),INDEX(elecRad,1,2)*allOnes,tpSurvRad)</f>
        <v>18298.779651143512</v>
      </c>
      <c r="AE116" s="39">
        <f ca="1">SUMPRODUCT(OFFSET(tConvElecRad,0,26,1,_maxLT),INDEX(elecRad,1,2)*allOnes,tpSurvRad)</f>
        <v>18298.779651143512</v>
      </c>
      <c r="AF116" s="39">
        <f ca="1">SUMPRODUCT(OFFSET(tConvElecRad,0,27,1,_maxLT),INDEX(elecRad,1,2)*allOnes,tpSurvRad)</f>
        <v>18298.779651143512</v>
      </c>
      <c r="AG116" s="39">
        <f ca="1">SUMPRODUCT(OFFSET(tConvElecRad,0,28,1,_maxLT),INDEX(elecRad,1,2)*allOnes,tpSurvRad)</f>
        <v>18298.779651143512</v>
      </c>
      <c r="AH116" s="39">
        <f ca="1">SUMPRODUCT(OFFSET(tConvElecRad,0,29,1,_maxLT),INDEX(elecRad,1,2)*allOnes,tpSurvRad)</f>
        <v>18298.779651143512</v>
      </c>
      <c r="AI116" s="39">
        <f ca="1">SUMPRODUCT(OFFSET(tConvElecRad,0,30,1,_maxLT),INDEX(elecRad,1,2)*allOnes,tpSurvRad)</f>
        <v>18298.779651143512</v>
      </c>
      <c r="AJ116" s="39">
        <f ca="1">SUMPRODUCT(OFFSET(tConvElecRad,0,31,1,_maxLT),INDEX(elecRad,1,2)*allOnes,tpSurvRad)</f>
        <v>18298.779651143512</v>
      </c>
      <c r="AK116" s="39">
        <f ca="1">SUMPRODUCT(OFFSET(tConvElecRad,0,32,1,_maxLT),INDEX(elecRad,1,2)*allOnes,tpSurvRad)</f>
        <v>18298.779651143512</v>
      </c>
      <c r="AL116" s="40">
        <f ca="1">SUMPRODUCT(OFFSET(tConvElecRad,0,33,1,_maxLT),INDEX(elecRad,1,2)*allOnes,tpSurvRad)</f>
        <v>18298.779651143512</v>
      </c>
      <c r="AM116" s="10"/>
    </row>
    <row r="117" spans="2:39">
      <c r="B117" s="10"/>
      <c r="C117" s="57" t="str">
        <f>"EL 2: " &amp; INDEX(_doName,6,3)</f>
        <v>EL 2: EL 2</v>
      </c>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3"/>
      <c r="AM117" s="10"/>
    </row>
    <row r="118" spans="2:39">
      <c r="B118" s="10"/>
      <c r="C118" s="16" t="s">
        <v>69</v>
      </c>
      <c r="D118" s="12" t="str">
        <f>_yearDol &amp; "$"</f>
        <v>2015$</v>
      </c>
      <c r="E118" s="13">
        <f t="array" ref="E118:AL118">INDEX(mspRad,1,3)*tPIdxAll + INDEX(instRad,1,3) + IF(bESav,SUMPRODUCT(dFactor,tpSurvRad,INDEX(mrRad,1,3)*allOnes),0)</f>
        <v>2086.3818090452301</v>
      </c>
      <c r="F118" s="13">
        <v>2086.3818090452301</v>
      </c>
      <c r="G118" s="13">
        <v>2086.3818090452301</v>
      </c>
      <c r="H118" s="13">
        <v>2086.3818090452301</v>
      </c>
      <c r="I118" s="13">
        <v>2086.3818090452301</v>
      </c>
      <c r="J118" s="13">
        <v>2086.3818090452301</v>
      </c>
      <c r="K118" s="13">
        <v>2086.3818090452301</v>
      </c>
      <c r="L118" s="13">
        <v>2086.3818090452301</v>
      </c>
      <c r="M118" s="13">
        <v>2086.3818090452301</v>
      </c>
      <c r="N118" s="13">
        <v>2086.3818090452301</v>
      </c>
      <c r="O118" s="13">
        <v>2086.3818090452301</v>
      </c>
      <c r="P118" s="13">
        <v>2086.3818090452301</v>
      </c>
      <c r="Q118" s="13">
        <v>2086.3818090452301</v>
      </c>
      <c r="R118" s="13">
        <v>2086.3818090452301</v>
      </c>
      <c r="S118" s="13">
        <v>2086.3818090452301</v>
      </c>
      <c r="T118" s="13">
        <v>2086.3818090452301</v>
      </c>
      <c r="U118" s="13">
        <v>2086.3818090452301</v>
      </c>
      <c r="V118" s="13">
        <v>2086.3818090452301</v>
      </c>
      <c r="W118" s="13">
        <v>2086.3818090452301</v>
      </c>
      <c r="X118" s="13">
        <v>2086.3818090452301</v>
      </c>
      <c r="Y118" s="13">
        <v>2086.3818090452301</v>
      </c>
      <c r="Z118" s="13">
        <v>2086.3818090452301</v>
      </c>
      <c r="AA118" s="13">
        <v>2086.3818090452301</v>
      </c>
      <c r="AB118" s="13">
        <v>2086.3818090452301</v>
      </c>
      <c r="AC118" s="13">
        <v>2086.3818090452301</v>
      </c>
      <c r="AD118" s="13">
        <v>2086.3818090452301</v>
      </c>
      <c r="AE118" s="13">
        <v>2086.3818090452301</v>
      </c>
      <c r="AF118" s="13">
        <v>2086.3818090452301</v>
      </c>
      <c r="AG118" s="13">
        <v>2086.3818090452301</v>
      </c>
      <c r="AH118" s="13">
        <v>2086.3818090452301</v>
      </c>
      <c r="AI118" s="13">
        <v>2086.3818090452301</v>
      </c>
      <c r="AJ118" s="13">
        <v>2086.3818090452301</v>
      </c>
      <c r="AK118" s="13">
        <v>2086.3818090452301</v>
      </c>
      <c r="AL118" s="56">
        <v>2086.3818090452301</v>
      </c>
      <c r="AM118" s="10"/>
    </row>
    <row r="119" spans="2:39">
      <c r="B119" s="10"/>
      <c r="C119" s="16" t="str">
        <f>zEO&amp;" Costs"</f>
        <v>Operating Costs</v>
      </c>
      <c r="D119" s="12" t="str">
        <f>_yearDol &amp; "$"</f>
        <v>2015$</v>
      </c>
      <c r="E119" s="13">
        <f t="array" aca="1" ref="E119:AL119" ca="1">(tlccEFuElecbc2) + IF(bOSav,SUMPRODUCT(dFactor,tpSurvRad,INDEX(mrRad,1,3)*allOnes),0)</f>
        <v>77538.624544292135</v>
      </c>
      <c r="F119" s="13">
        <f ca="1"/>
        <v>78167.42495187762</v>
      </c>
      <c r="G119" s="13">
        <f ca="1"/>
        <v>78777.435676612207</v>
      </c>
      <c r="H119" s="13">
        <f ca="1"/>
        <v>79327.974386638263</v>
      </c>
      <c r="I119" s="13">
        <f ca="1"/>
        <v>79827.659108639287</v>
      </c>
      <c r="J119" s="13">
        <f ca="1"/>
        <v>80330.558437921951</v>
      </c>
      <c r="K119" s="13">
        <f ca="1"/>
        <v>80836.693544425172</v>
      </c>
      <c r="L119" s="13">
        <f ca="1"/>
        <v>81346.085740999435</v>
      </c>
      <c r="M119" s="13">
        <f ca="1"/>
        <v>81858.756484395795</v>
      </c>
      <c r="N119" s="13">
        <f ca="1"/>
        <v>82374.72737626225</v>
      </c>
      <c r="O119" s="13">
        <f ca="1"/>
        <v>82894.020164146903</v>
      </c>
      <c r="P119" s="13">
        <f ca="1"/>
        <v>83416.656742508363</v>
      </c>
      <c r="Q119" s="13">
        <f ca="1"/>
        <v>83942.659153733053</v>
      </c>
      <c r="R119" s="13">
        <f ca="1"/>
        <v>84472.049589160015</v>
      </c>
      <c r="S119" s="13">
        <f ca="1"/>
        <v>85004.850390113104</v>
      </c>
      <c r="T119" s="13">
        <f ca="1"/>
        <v>85541.08404894</v>
      </c>
      <c r="U119" s="13">
        <f ca="1"/>
        <v>86080.773210058847</v>
      </c>
      <c r="V119" s="13">
        <f ca="1"/>
        <v>86623.940671012824</v>
      </c>
      <c r="W119" s="13">
        <f ca="1"/>
        <v>87170.609383531249</v>
      </c>
      <c r="X119" s="13">
        <f ca="1"/>
        <v>87720.802454598917</v>
      </c>
      <c r="Y119" s="13">
        <f ca="1"/>
        <v>88274.543147532881</v>
      </c>
      <c r="Z119" s="13">
        <f ca="1"/>
        <v>88831.854883066684</v>
      </c>
      <c r="AA119" s="13">
        <f ca="1"/>
        <v>89392.761240442691</v>
      </c>
      <c r="AB119" s="13">
        <f ca="1"/>
        <v>89957.285958511435</v>
      </c>
      <c r="AC119" s="13">
        <f ca="1"/>
        <v>90525.452936839938</v>
      </c>
      <c r="AD119" s="13">
        <f ca="1"/>
        <v>91097.286236826534</v>
      </c>
      <c r="AE119" s="13">
        <f ca="1"/>
        <v>91672.81008282493</v>
      </c>
      <c r="AF119" s="13">
        <f ca="1"/>
        <v>92252.048863275195</v>
      </c>
      <c r="AG119" s="13">
        <f ca="1"/>
        <v>92835.027131843555</v>
      </c>
      <c r="AH119" s="13">
        <f ca="1"/>
        <v>93421.769608569724</v>
      </c>
      <c r="AI119" s="13">
        <f ca="1"/>
        <v>94012.301181022893</v>
      </c>
      <c r="AJ119" s="13">
        <f ca="1"/>
        <v>94606.64690546559</v>
      </c>
      <c r="AK119" s="13">
        <f ca="1"/>
        <v>95204.832008025784</v>
      </c>
      <c r="AL119" s="56">
        <f ca="1"/>
        <v>95806.881885877607</v>
      </c>
      <c r="AM119" s="10"/>
    </row>
    <row r="120" spans="2:39">
      <c r="B120" s="10"/>
      <c r="C120" s="28" t="str">
        <f>INDEX(_fuel,1)</f>
        <v>Electricity</v>
      </c>
      <c r="D120" s="12" t="str">
        <f>_yearDol &amp; "$"</f>
        <v>2015$</v>
      </c>
      <c r="E120" s="13">
        <f ca="1">SUMPRODUCT(dFactor,tpSurvRad,INDEX(elecRad,1,3)*allOnes,OFFSET(tPrcElec,0,0,1,_maxLT))</f>
        <v>77538.624544292135</v>
      </c>
      <c r="F120" s="13">
        <f ca="1">SUMPRODUCT(dFactor,tpSurvRad,INDEX(elecRad,1,3)*allOnes,OFFSET(tPrcElec,0,1,1,_maxLT))</f>
        <v>78167.42495187762</v>
      </c>
      <c r="G120" s="13">
        <f ca="1">SUMPRODUCT(dFactor,tpSurvRad,INDEX(elecRad,1,3)*allOnes,OFFSET(tPrcElec,0,2,1,_maxLT))</f>
        <v>78777.435676612207</v>
      </c>
      <c r="H120" s="13">
        <f ca="1">SUMPRODUCT(dFactor,tpSurvRad,INDEX(elecRad,1,3)*allOnes,OFFSET(tPrcElec,0,3,1,_maxLT))</f>
        <v>79327.974386638263</v>
      </c>
      <c r="I120" s="13">
        <f ca="1">SUMPRODUCT(dFactor,tpSurvRad,INDEX(elecRad,1,3)*allOnes,OFFSET(tPrcElec,0,4,1,_maxLT))</f>
        <v>79827.659108639287</v>
      </c>
      <c r="J120" s="13">
        <f ca="1">SUMPRODUCT(dFactor,tpSurvRad,INDEX(elecRad,1,3)*allOnes,OFFSET(tPrcElec,0,5,1,_maxLT))</f>
        <v>80330.558437921951</v>
      </c>
      <c r="K120" s="13">
        <f ca="1">SUMPRODUCT(dFactor,tpSurvRad,INDEX(elecRad,1,3)*allOnes,OFFSET(tPrcElec,0,6,1,_maxLT))</f>
        <v>80836.693544425172</v>
      </c>
      <c r="L120" s="13">
        <f ca="1">SUMPRODUCT(dFactor,tpSurvRad,INDEX(elecRad,1,3)*allOnes,OFFSET(tPrcElec,0,7,1,_maxLT))</f>
        <v>81346.085740999435</v>
      </c>
      <c r="M120" s="13">
        <f ca="1">SUMPRODUCT(dFactor,tpSurvRad,INDEX(elecRad,1,3)*allOnes,OFFSET(tPrcElec,0,8,1,_maxLT))</f>
        <v>81858.756484395795</v>
      </c>
      <c r="N120" s="13">
        <f ca="1">SUMPRODUCT(dFactor,tpSurvRad,INDEX(elecRad,1,3)*allOnes,OFFSET(tPrcElec,0,9,1,_maxLT))</f>
        <v>82374.72737626225</v>
      </c>
      <c r="O120" s="13">
        <f ca="1">SUMPRODUCT(dFactor,tpSurvRad,INDEX(elecRad,1,3)*allOnes,OFFSET(tPrcElec,0,10,1,_maxLT))</f>
        <v>82894.020164146903</v>
      </c>
      <c r="P120" s="13">
        <f ca="1">SUMPRODUCT(dFactor,tpSurvRad,INDEX(elecRad,1,3)*allOnes,OFFSET(tPrcElec,0,11,1,_maxLT))</f>
        <v>83416.656742508363</v>
      </c>
      <c r="Q120" s="13">
        <f ca="1">SUMPRODUCT(dFactor,tpSurvRad,INDEX(elecRad,1,3)*allOnes,OFFSET(tPrcElec,0,12,1,_maxLT))</f>
        <v>83942.659153733053</v>
      </c>
      <c r="R120" s="13">
        <f ca="1">SUMPRODUCT(dFactor,tpSurvRad,INDEX(elecRad,1,3)*allOnes,OFFSET(tPrcElec,0,13,1,_maxLT))</f>
        <v>84472.049589160015</v>
      </c>
      <c r="S120" s="13">
        <f ca="1">SUMPRODUCT(dFactor,tpSurvRad,INDEX(elecRad,1,3)*allOnes,OFFSET(tPrcElec,0,14,1,_maxLT))</f>
        <v>85004.850390113104</v>
      </c>
      <c r="T120" s="13">
        <f ca="1">SUMPRODUCT(dFactor,tpSurvRad,INDEX(elecRad,1,3)*allOnes,OFFSET(tPrcElec,0,15,1,_maxLT))</f>
        <v>85541.08404894</v>
      </c>
      <c r="U120" s="13">
        <f ca="1">SUMPRODUCT(dFactor,tpSurvRad,INDEX(elecRad,1,3)*allOnes,OFFSET(tPrcElec,0,16,1,_maxLT))</f>
        <v>86080.773210058847</v>
      </c>
      <c r="V120" s="13">
        <f ca="1">SUMPRODUCT(dFactor,tpSurvRad,INDEX(elecRad,1,3)*allOnes,OFFSET(tPrcElec,0,17,1,_maxLT))</f>
        <v>86623.940671012824</v>
      </c>
      <c r="W120" s="13">
        <f ca="1">SUMPRODUCT(dFactor,tpSurvRad,INDEX(elecRad,1,3)*allOnes,OFFSET(tPrcElec,0,18,1,_maxLT))</f>
        <v>87170.609383531249</v>
      </c>
      <c r="X120" s="13">
        <f ca="1">SUMPRODUCT(dFactor,tpSurvRad,INDEX(elecRad,1,3)*allOnes,OFFSET(tPrcElec,0,19,1,_maxLT))</f>
        <v>87720.802454598917</v>
      </c>
      <c r="Y120" s="13">
        <f ca="1">SUMPRODUCT(dFactor,tpSurvRad,INDEX(elecRad,1,3)*allOnes,OFFSET(tPrcElec,0,20,1,_maxLT))</f>
        <v>88274.543147532881</v>
      </c>
      <c r="Z120" s="13">
        <f ca="1">SUMPRODUCT(dFactor,tpSurvRad,INDEX(elecRad,1,3)*allOnes,OFFSET(tPrcElec,0,21,1,_maxLT))</f>
        <v>88831.854883066684</v>
      </c>
      <c r="AA120" s="13">
        <f ca="1">SUMPRODUCT(dFactor,tpSurvRad,INDEX(elecRad,1,3)*allOnes,OFFSET(tPrcElec,0,22,1,_maxLT))</f>
        <v>89392.761240442691</v>
      </c>
      <c r="AB120" s="13">
        <f ca="1">SUMPRODUCT(dFactor,tpSurvRad,INDEX(elecRad,1,3)*allOnes,OFFSET(tPrcElec,0,23,1,_maxLT))</f>
        <v>89957.285958511435</v>
      </c>
      <c r="AC120" s="13">
        <f ca="1">SUMPRODUCT(dFactor,tpSurvRad,INDEX(elecRad,1,3)*allOnes,OFFSET(tPrcElec,0,24,1,_maxLT))</f>
        <v>90525.452936839938</v>
      </c>
      <c r="AD120" s="13">
        <f ca="1">SUMPRODUCT(dFactor,tpSurvRad,INDEX(elecRad,1,3)*allOnes,OFFSET(tPrcElec,0,25,1,_maxLT))</f>
        <v>91097.286236826534</v>
      </c>
      <c r="AE120" s="13">
        <f ca="1">SUMPRODUCT(dFactor,tpSurvRad,INDEX(elecRad,1,3)*allOnes,OFFSET(tPrcElec,0,26,1,_maxLT))</f>
        <v>91672.81008282493</v>
      </c>
      <c r="AF120" s="13">
        <f ca="1">SUMPRODUCT(dFactor,tpSurvRad,INDEX(elecRad,1,3)*allOnes,OFFSET(tPrcElec,0,27,1,_maxLT))</f>
        <v>92252.048863275195</v>
      </c>
      <c r="AG120" s="13">
        <f ca="1">SUMPRODUCT(dFactor,tpSurvRad,INDEX(elecRad,1,3)*allOnes,OFFSET(tPrcElec,0,28,1,_maxLT))</f>
        <v>92835.027131843555</v>
      </c>
      <c r="AH120" s="13">
        <f ca="1">SUMPRODUCT(dFactor,tpSurvRad,INDEX(elecRad,1,3)*allOnes,OFFSET(tPrcElec,0,29,1,_maxLT))</f>
        <v>93421.769608569724</v>
      </c>
      <c r="AI120" s="13">
        <f ca="1">SUMPRODUCT(dFactor,tpSurvRad,INDEX(elecRad,1,3)*allOnes,OFFSET(tPrcElec,0,30,1,_maxLT))</f>
        <v>94012.301181022893</v>
      </c>
      <c r="AJ120" s="13">
        <f ca="1">SUMPRODUCT(dFactor,tpSurvRad,INDEX(elecRad,1,3)*allOnes,OFFSET(tPrcElec,0,31,1,_maxLT))</f>
        <v>94606.64690546559</v>
      </c>
      <c r="AK120" s="13">
        <f ca="1">SUMPRODUCT(dFactor,tpSurvRad,INDEX(elecRad,1,3)*allOnes,OFFSET(tPrcElec,0,32,1,_maxLT))</f>
        <v>95204.832008025784</v>
      </c>
      <c r="AL120" s="56">
        <f ca="1">SUMPRODUCT(dFactor,tpSurvRad,INDEX(elecRad,1,3)*allOnes,OFFSET(tPrcElec,0,33,1,_maxLT))</f>
        <v>95806.881885877607</v>
      </c>
      <c r="AM120" s="10"/>
    </row>
    <row r="121" spans="2:39">
      <c r="B121" s="10"/>
      <c r="C121" s="16" t="s">
        <v>79</v>
      </c>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5"/>
      <c r="AM121" s="10"/>
    </row>
    <row r="122" spans="2:39">
      <c r="B122" s="10"/>
      <c r="C122" s="28" t="str">
        <f>INDEX(_fuel,1)</f>
        <v>Electricity</v>
      </c>
      <c r="D122" s="12" t="s">
        <v>83</v>
      </c>
      <c r="E122" s="39">
        <f ca="1">SUMPRODUCT(OFFSET(tConvElecRad,0,0,1,_maxLT),INDEX(elecRad,1,3)*allOnes,tpSurvRad)</f>
        <v>16359.441888160331</v>
      </c>
      <c r="F122" s="39">
        <f ca="1">SUMPRODUCT(OFFSET(tConvElecRad,0,1,1,_maxLT),INDEX(elecRad,1,3)*allOnes,tpSurvRad)</f>
        <v>16250.436264674345</v>
      </c>
      <c r="G122" s="39">
        <f ca="1">SUMPRODUCT(OFFSET(tConvElecRad,0,2,1,_maxLT),INDEX(elecRad,1,3)*allOnes,tpSurvRad)</f>
        <v>16153.982788864068</v>
      </c>
      <c r="H122" s="39">
        <f ca="1">SUMPRODUCT(OFFSET(tConvElecRad,0,3,1,_maxLT),INDEX(elecRad,1,3)*allOnes,tpSurvRad)</f>
        <v>16061.95753201453</v>
      </c>
      <c r="I122" s="39">
        <f ca="1">SUMPRODUCT(OFFSET(tConvElecRad,0,4,1,_maxLT),INDEX(elecRad,1,3)*allOnes,tpSurvRad)</f>
        <v>15981.124920570323</v>
      </c>
      <c r="J122" s="39">
        <f ca="1">SUMPRODUCT(OFFSET(tConvElecRad,0,5,1,_maxLT),INDEX(elecRad,1,3)*allOnes,tpSurvRad)</f>
        <v>15918.131116551012</v>
      </c>
      <c r="K122" s="39">
        <f ca="1">SUMPRODUCT(OFFSET(tConvElecRad,0,6,1,_maxLT),INDEX(elecRad,1,3)*allOnes,tpSurvRad)</f>
        <v>15865.95193266356</v>
      </c>
      <c r="L122" s="39">
        <f ca="1">SUMPRODUCT(OFFSET(tConvElecRad,0,7,1,_maxLT),INDEX(elecRad,1,3)*allOnes,tpSurvRad)</f>
        <v>15813.262626162274</v>
      </c>
      <c r="M122" s="39">
        <f ca="1">SUMPRODUCT(OFFSET(tConvElecRad,0,8,1,_maxLT),INDEX(elecRad,1,3)*allOnes,tpSurvRad)</f>
        <v>15770.77341057129</v>
      </c>
      <c r="N122" s="39">
        <f ca="1">SUMPRODUCT(OFFSET(tConvElecRad,0,9,1,_maxLT),INDEX(elecRad,1,3)*allOnes,tpSurvRad)</f>
        <v>15741.149060910853</v>
      </c>
      <c r="O122" s="39">
        <f ca="1">SUMPRODUCT(OFFSET(tConvElecRad,0,10,1,_maxLT),INDEX(elecRad,1,3)*allOnes,tpSurvRad)</f>
        <v>15719.136894068533</v>
      </c>
      <c r="P122" s="39">
        <f ca="1">SUMPRODUCT(OFFSET(tConvElecRad,0,11,1,_maxLT),INDEX(elecRad,1,3)*allOnes,tpSurvRad)</f>
        <v>15700.441608339757</v>
      </c>
      <c r="Q122" s="39">
        <f ca="1">SUMPRODUCT(OFFSET(tConvElecRad,0,12,1,_maxLT),INDEX(elecRad,1,3)*allOnes,tpSurvRad)</f>
        <v>15686.493279556627</v>
      </c>
      <c r="R122" s="39">
        <f ca="1">SUMPRODUCT(OFFSET(tConvElecRad,0,13,1,_maxLT),INDEX(elecRad,1,3)*allOnes,tpSurvRad)</f>
        <v>15675.759356646646</v>
      </c>
      <c r="S122" s="39">
        <f ca="1">SUMPRODUCT(OFFSET(tConvElecRad,0,14,1,_maxLT),INDEX(elecRad,1,3)*allOnes,tpSurvRad)</f>
        <v>15673.815691991958</v>
      </c>
      <c r="T122" s="39">
        <f ca="1">SUMPRODUCT(OFFSET(tConvElecRad,0,15,1,_maxLT),INDEX(elecRad,1,3)*allOnes,tpSurvRad)</f>
        <v>15675.605099443808</v>
      </c>
      <c r="U122" s="39">
        <f ca="1">SUMPRODUCT(OFFSET(tConvElecRad,0,16,1,_maxLT),INDEX(elecRad,1,3)*allOnes,tpSurvRad)</f>
        <v>15678.560479929785</v>
      </c>
      <c r="V122" s="39">
        <f ca="1">SUMPRODUCT(OFFSET(tConvElecRad,0,17,1,_maxLT),INDEX(elecRad,1,3)*allOnes,tpSurvRad)</f>
        <v>15683.12255633052</v>
      </c>
      <c r="W122" s="39">
        <f ca="1">SUMPRODUCT(OFFSET(tConvElecRad,0,18,1,_maxLT),INDEX(elecRad,1,3)*allOnes,tpSurvRad)</f>
        <v>15687.571482877223</v>
      </c>
      <c r="X122" s="39">
        <f ca="1">SUMPRODUCT(OFFSET(tConvElecRad,0,19,1,_maxLT),INDEX(elecRad,1,3)*allOnes,tpSurvRad)</f>
        <v>15691.284788454748</v>
      </c>
      <c r="Y122" s="39">
        <f ca="1">SUMPRODUCT(OFFSET(tConvElecRad,0,20,1,_maxLT),INDEX(elecRad,1,3)*allOnes,tpSurvRad)</f>
        <v>15693.755482187251</v>
      </c>
      <c r="Z122" s="39">
        <f ca="1">SUMPRODUCT(OFFSET(tConvElecRad,0,21,1,_maxLT),INDEX(elecRad,1,3)*allOnes,tpSurvRad)</f>
        <v>15695.44288079573</v>
      </c>
      <c r="AA122" s="39">
        <f ca="1">SUMPRODUCT(OFFSET(tConvElecRad,0,22,1,_maxLT),INDEX(elecRad,1,3)*allOnes,tpSurvRad)</f>
        <v>15695.44288079573</v>
      </c>
      <c r="AB122" s="39">
        <f ca="1">SUMPRODUCT(OFFSET(tConvElecRad,0,23,1,_maxLT),INDEX(elecRad,1,3)*allOnes,tpSurvRad)</f>
        <v>15695.44288079573</v>
      </c>
      <c r="AC122" s="39">
        <f ca="1">SUMPRODUCT(OFFSET(tConvElecRad,0,24,1,_maxLT),INDEX(elecRad,1,3)*allOnes,tpSurvRad)</f>
        <v>15695.44288079573</v>
      </c>
      <c r="AD122" s="39">
        <f ca="1">SUMPRODUCT(OFFSET(tConvElecRad,0,25,1,_maxLT),INDEX(elecRad,1,3)*allOnes,tpSurvRad)</f>
        <v>15695.44288079573</v>
      </c>
      <c r="AE122" s="39">
        <f ca="1">SUMPRODUCT(OFFSET(tConvElecRad,0,26,1,_maxLT),INDEX(elecRad,1,3)*allOnes,tpSurvRad)</f>
        <v>15695.44288079573</v>
      </c>
      <c r="AF122" s="39">
        <f ca="1">SUMPRODUCT(OFFSET(tConvElecRad,0,27,1,_maxLT),INDEX(elecRad,1,3)*allOnes,tpSurvRad)</f>
        <v>15695.44288079573</v>
      </c>
      <c r="AG122" s="39">
        <f ca="1">SUMPRODUCT(OFFSET(tConvElecRad,0,28,1,_maxLT),INDEX(elecRad,1,3)*allOnes,tpSurvRad)</f>
        <v>15695.44288079573</v>
      </c>
      <c r="AH122" s="39">
        <f ca="1">SUMPRODUCT(OFFSET(tConvElecRad,0,29,1,_maxLT),INDEX(elecRad,1,3)*allOnes,tpSurvRad)</f>
        <v>15695.44288079573</v>
      </c>
      <c r="AI122" s="39">
        <f ca="1">SUMPRODUCT(OFFSET(tConvElecRad,0,30,1,_maxLT),INDEX(elecRad,1,3)*allOnes,tpSurvRad)</f>
        <v>15695.44288079573</v>
      </c>
      <c r="AJ122" s="39">
        <f ca="1">SUMPRODUCT(OFFSET(tConvElecRad,0,31,1,_maxLT),INDEX(elecRad,1,3)*allOnes,tpSurvRad)</f>
        <v>15695.44288079573</v>
      </c>
      <c r="AK122" s="39">
        <f ca="1">SUMPRODUCT(OFFSET(tConvElecRad,0,32,1,_maxLT),INDEX(elecRad,1,3)*allOnes,tpSurvRad)</f>
        <v>15695.44288079573</v>
      </c>
      <c r="AL122" s="40">
        <f ca="1">SUMPRODUCT(OFFSET(tConvElecRad,0,33,1,_maxLT),INDEX(elecRad,1,3)*allOnes,tpSurvRad)</f>
        <v>15695.44288079573</v>
      </c>
      <c r="AM122" s="10"/>
    </row>
    <row r="123" spans="2:39">
      <c r="B123" s="10"/>
      <c r="C123" s="57" t="str">
        <f>"EL 3: " &amp; INDEX(_doName,6,4)</f>
        <v>EL 3: EL 3</v>
      </c>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3"/>
      <c r="AM123" s="10"/>
    </row>
    <row r="124" spans="2:39">
      <c r="B124" s="10"/>
      <c r="C124" s="16" t="s">
        <v>69</v>
      </c>
      <c r="D124" s="12" t="str">
        <f>_yearDol &amp; "$"</f>
        <v>2015$</v>
      </c>
      <c r="E124" s="13">
        <f t="array" ref="E124:AL124">INDEX(mspRad,1,4)*tPIdxAll + INDEX(instRad,1,4) + IF(bESav,SUMPRODUCT(dFactor,tpSurvRad,INDEX(mrRad,1,4)*allOnes),0)</f>
        <v>2698.0561926605501</v>
      </c>
      <c r="F124" s="13">
        <v>2698.0561926605501</v>
      </c>
      <c r="G124" s="13">
        <v>2698.0561926605501</v>
      </c>
      <c r="H124" s="13">
        <v>2698.0561926605501</v>
      </c>
      <c r="I124" s="13">
        <v>2698.0561926605501</v>
      </c>
      <c r="J124" s="13">
        <v>2698.0561926605501</v>
      </c>
      <c r="K124" s="13">
        <v>2698.0561926605501</v>
      </c>
      <c r="L124" s="13">
        <v>2698.0561926605501</v>
      </c>
      <c r="M124" s="13">
        <v>2698.0561926605501</v>
      </c>
      <c r="N124" s="13">
        <v>2698.0561926605501</v>
      </c>
      <c r="O124" s="13">
        <v>2698.0561926605501</v>
      </c>
      <c r="P124" s="13">
        <v>2698.0561926605501</v>
      </c>
      <c r="Q124" s="13">
        <v>2698.0561926605501</v>
      </c>
      <c r="R124" s="13">
        <v>2698.0561926605501</v>
      </c>
      <c r="S124" s="13">
        <v>2698.0561926605501</v>
      </c>
      <c r="T124" s="13">
        <v>2698.0561926605501</v>
      </c>
      <c r="U124" s="13">
        <v>2698.0561926605501</v>
      </c>
      <c r="V124" s="13">
        <v>2698.0561926605501</v>
      </c>
      <c r="W124" s="13">
        <v>2698.0561926605501</v>
      </c>
      <c r="X124" s="13">
        <v>2698.0561926605501</v>
      </c>
      <c r="Y124" s="13">
        <v>2698.0561926605501</v>
      </c>
      <c r="Z124" s="13">
        <v>2698.0561926605501</v>
      </c>
      <c r="AA124" s="13">
        <v>2698.0561926605501</v>
      </c>
      <c r="AB124" s="13">
        <v>2698.0561926605501</v>
      </c>
      <c r="AC124" s="13">
        <v>2698.0561926605501</v>
      </c>
      <c r="AD124" s="13">
        <v>2698.0561926605501</v>
      </c>
      <c r="AE124" s="13">
        <v>2698.0561926605501</v>
      </c>
      <c r="AF124" s="13">
        <v>2698.0561926605501</v>
      </c>
      <c r="AG124" s="13">
        <v>2698.0561926605501</v>
      </c>
      <c r="AH124" s="13">
        <v>2698.0561926605501</v>
      </c>
      <c r="AI124" s="13">
        <v>2698.0561926605501</v>
      </c>
      <c r="AJ124" s="13">
        <v>2698.0561926605501</v>
      </c>
      <c r="AK124" s="13">
        <v>2698.0561926605501</v>
      </c>
      <c r="AL124" s="56">
        <v>2698.0561926605501</v>
      </c>
      <c r="AM124" s="10"/>
    </row>
    <row r="125" spans="2:39">
      <c r="B125" s="10"/>
      <c r="C125" s="16" t="str">
        <f>zEO&amp;" Costs"</f>
        <v>Operating Costs</v>
      </c>
      <c r="D125" s="12" t="str">
        <f>_yearDol &amp; "$"</f>
        <v>2015$</v>
      </c>
      <c r="E125" s="13">
        <f t="array" aca="1" ref="E125:AL125" ca="1">(tlccEFuElecbc3) + IF(bOSav,SUMPRODUCT(dFactor,tpSurvRad,INDEX(mrRad,1,4)*allOnes),0)</f>
        <v>104667.3773275048</v>
      </c>
      <c r="F125" s="13">
        <f ca="1"/>
        <v>105516.17868181368</v>
      </c>
      <c r="G125" s="13">
        <f ca="1"/>
        <v>106339.61633079003</v>
      </c>
      <c r="H125" s="13">
        <f ca="1"/>
        <v>107082.77425027038</v>
      </c>
      <c r="I125" s="13">
        <f ca="1"/>
        <v>107757.28569085676</v>
      </c>
      <c r="J125" s="13">
        <f ca="1"/>
        <v>108436.1364464014</v>
      </c>
      <c r="K125" s="13">
        <f ca="1"/>
        <v>109119.35509365518</v>
      </c>
      <c r="L125" s="13">
        <f ca="1"/>
        <v>109806.97040228205</v>
      </c>
      <c r="M125" s="13">
        <f ca="1"/>
        <v>110499.01133619341</v>
      </c>
      <c r="N125" s="13">
        <f ca="1"/>
        <v>111195.50705489353</v>
      </c>
      <c r="O125" s="13">
        <f ca="1"/>
        <v>111896.48691483332</v>
      </c>
      <c r="P125" s="13">
        <f ca="1"/>
        <v>112601.98047077416</v>
      </c>
      <c r="Q125" s="13">
        <f ca="1"/>
        <v>113312.01747716163</v>
      </c>
      <c r="R125" s="13">
        <f ca="1"/>
        <v>114026.62788950854</v>
      </c>
      <c r="S125" s="13">
        <f ca="1"/>
        <v>114745.84186578817</v>
      </c>
      <c r="T125" s="13">
        <f ca="1"/>
        <v>115469.68976783694</v>
      </c>
      <c r="U125" s="13">
        <f ca="1"/>
        <v>116198.2021627677</v>
      </c>
      <c r="V125" s="13">
        <f ca="1"/>
        <v>116931.40982439209</v>
      </c>
      <c r="W125" s="13">
        <f ca="1"/>
        <v>117669.34373465402</v>
      </c>
      <c r="X125" s="13">
        <f ca="1"/>
        <v>118412.0350850729</v>
      </c>
      <c r="Y125" s="13">
        <f ca="1"/>
        <v>119159.51527819654</v>
      </c>
      <c r="Z125" s="13">
        <f ca="1"/>
        <v>119911.81592906572</v>
      </c>
      <c r="AA125" s="13">
        <f ca="1"/>
        <v>120668.96886668753</v>
      </c>
      <c r="AB125" s="13">
        <f ca="1"/>
        <v>121431.00613552064</v>
      </c>
      <c r="AC125" s="13">
        <f ca="1"/>
        <v>122197.95999697024</v>
      </c>
      <c r="AD125" s="13">
        <f ca="1"/>
        <v>122969.86293089375</v>
      </c>
      <c r="AE125" s="13">
        <f ca="1"/>
        <v>123746.74763711751</v>
      </c>
      <c r="AF125" s="13">
        <f ca="1"/>
        <v>124528.64703696402</v>
      </c>
      <c r="AG125" s="13">
        <f ca="1"/>
        <v>125315.59427479038</v>
      </c>
      <c r="AH125" s="13">
        <f ca="1"/>
        <v>126107.62271953652</v>
      </c>
      <c r="AI125" s="13">
        <f ca="1"/>
        <v>126904.76596628643</v>
      </c>
      <c r="AJ125" s="13">
        <f ca="1"/>
        <v>127707.0578378387</v>
      </c>
      <c r="AK125" s="13">
        <f ca="1"/>
        <v>128514.53238628904</v>
      </c>
      <c r="AL125" s="56">
        <f ca="1"/>
        <v>129327.22389462375</v>
      </c>
      <c r="AM125" s="10"/>
    </row>
    <row r="126" spans="2:39">
      <c r="B126" s="10"/>
      <c r="C126" s="28" t="str">
        <f>INDEX(_fuel,1)</f>
        <v>Electricity</v>
      </c>
      <c r="D126" s="12" t="str">
        <f>_yearDol &amp; "$"</f>
        <v>2015$</v>
      </c>
      <c r="E126" s="13">
        <f ca="1">SUMPRODUCT(dFactor,tpSurvRad,INDEX(elecRad,1,4)*allOnes,OFFSET(tPrcElec,0,0,1,_maxLT))</f>
        <v>104667.3773275048</v>
      </c>
      <c r="F126" s="13">
        <f ca="1">SUMPRODUCT(dFactor,tpSurvRad,INDEX(elecRad,1,4)*allOnes,OFFSET(tPrcElec,0,1,1,_maxLT))</f>
        <v>105516.17868181368</v>
      </c>
      <c r="G126" s="13">
        <f ca="1">SUMPRODUCT(dFactor,tpSurvRad,INDEX(elecRad,1,4)*allOnes,OFFSET(tPrcElec,0,2,1,_maxLT))</f>
        <v>106339.61633079003</v>
      </c>
      <c r="H126" s="13">
        <f ca="1">SUMPRODUCT(dFactor,tpSurvRad,INDEX(elecRad,1,4)*allOnes,OFFSET(tPrcElec,0,3,1,_maxLT))</f>
        <v>107082.77425027038</v>
      </c>
      <c r="I126" s="13">
        <f ca="1">SUMPRODUCT(dFactor,tpSurvRad,INDEX(elecRad,1,4)*allOnes,OFFSET(tPrcElec,0,4,1,_maxLT))</f>
        <v>107757.28569085676</v>
      </c>
      <c r="J126" s="13">
        <f ca="1">SUMPRODUCT(dFactor,tpSurvRad,INDEX(elecRad,1,4)*allOnes,OFFSET(tPrcElec,0,5,1,_maxLT))</f>
        <v>108436.1364464014</v>
      </c>
      <c r="K126" s="13">
        <f ca="1">SUMPRODUCT(dFactor,tpSurvRad,INDEX(elecRad,1,4)*allOnes,OFFSET(tPrcElec,0,6,1,_maxLT))</f>
        <v>109119.35509365518</v>
      </c>
      <c r="L126" s="13">
        <f ca="1">SUMPRODUCT(dFactor,tpSurvRad,INDEX(elecRad,1,4)*allOnes,OFFSET(tPrcElec,0,7,1,_maxLT))</f>
        <v>109806.97040228205</v>
      </c>
      <c r="M126" s="13">
        <f ca="1">SUMPRODUCT(dFactor,tpSurvRad,INDEX(elecRad,1,4)*allOnes,OFFSET(tPrcElec,0,8,1,_maxLT))</f>
        <v>110499.01133619341</v>
      </c>
      <c r="N126" s="13">
        <f ca="1">SUMPRODUCT(dFactor,tpSurvRad,INDEX(elecRad,1,4)*allOnes,OFFSET(tPrcElec,0,9,1,_maxLT))</f>
        <v>111195.50705489353</v>
      </c>
      <c r="O126" s="13">
        <f ca="1">SUMPRODUCT(dFactor,tpSurvRad,INDEX(elecRad,1,4)*allOnes,OFFSET(tPrcElec,0,10,1,_maxLT))</f>
        <v>111896.48691483332</v>
      </c>
      <c r="P126" s="13">
        <f ca="1">SUMPRODUCT(dFactor,tpSurvRad,INDEX(elecRad,1,4)*allOnes,OFFSET(tPrcElec,0,11,1,_maxLT))</f>
        <v>112601.98047077416</v>
      </c>
      <c r="Q126" s="13">
        <f ca="1">SUMPRODUCT(dFactor,tpSurvRad,INDEX(elecRad,1,4)*allOnes,OFFSET(tPrcElec,0,12,1,_maxLT))</f>
        <v>113312.01747716163</v>
      </c>
      <c r="R126" s="13">
        <f ca="1">SUMPRODUCT(dFactor,tpSurvRad,INDEX(elecRad,1,4)*allOnes,OFFSET(tPrcElec,0,13,1,_maxLT))</f>
        <v>114026.62788950854</v>
      </c>
      <c r="S126" s="13">
        <f ca="1">SUMPRODUCT(dFactor,tpSurvRad,INDEX(elecRad,1,4)*allOnes,OFFSET(tPrcElec,0,14,1,_maxLT))</f>
        <v>114745.84186578817</v>
      </c>
      <c r="T126" s="13">
        <f ca="1">SUMPRODUCT(dFactor,tpSurvRad,INDEX(elecRad,1,4)*allOnes,OFFSET(tPrcElec,0,15,1,_maxLT))</f>
        <v>115469.68976783694</v>
      </c>
      <c r="U126" s="13">
        <f ca="1">SUMPRODUCT(dFactor,tpSurvRad,INDEX(elecRad,1,4)*allOnes,OFFSET(tPrcElec,0,16,1,_maxLT))</f>
        <v>116198.2021627677</v>
      </c>
      <c r="V126" s="13">
        <f ca="1">SUMPRODUCT(dFactor,tpSurvRad,INDEX(elecRad,1,4)*allOnes,OFFSET(tPrcElec,0,17,1,_maxLT))</f>
        <v>116931.40982439209</v>
      </c>
      <c r="W126" s="13">
        <f ca="1">SUMPRODUCT(dFactor,tpSurvRad,INDEX(elecRad,1,4)*allOnes,OFFSET(tPrcElec,0,18,1,_maxLT))</f>
        <v>117669.34373465402</v>
      </c>
      <c r="X126" s="13">
        <f ca="1">SUMPRODUCT(dFactor,tpSurvRad,INDEX(elecRad,1,4)*allOnes,OFFSET(tPrcElec,0,19,1,_maxLT))</f>
        <v>118412.0350850729</v>
      </c>
      <c r="Y126" s="13">
        <f ca="1">SUMPRODUCT(dFactor,tpSurvRad,INDEX(elecRad,1,4)*allOnes,OFFSET(tPrcElec,0,20,1,_maxLT))</f>
        <v>119159.51527819654</v>
      </c>
      <c r="Z126" s="13">
        <f ca="1">SUMPRODUCT(dFactor,tpSurvRad,INDEX(elecRad,1,4)*allOnes,OFFSET(tPrcElec,0,21,1,_maxLT))</f>
        <v>119911.81592906572</v>
      </c>
      <c r="AA126" s="13">
        <f ca="1">SUMPRODUCT(dFactor,tpSurvRad,INDEX(elecRad,1,4)*allOnes,OFFSET(tPrcElec,0,22,1,_maxLT))</f>
        <v>120668.96886668753</v>
      </c>
      <c r="AB126" s="13">
        <f ca="1">SUMPRODUCT(dFactor,tpSurvRad,INDEX(elecRad,1,4)*allOnes,OFFSET(tPrcElec,0,23,1,_maxLT))</f>
        <v>121431.00613552064</v>
      </c>
      <c r="AC126" s="13">
        <f ca="1">SUMPRODUCT(dFactor,tpSurvRad,INDEX(elecRad,1,4)*allOnes,OFFSET(tPrcElec,0,24,1,_maxLT))</f>
        <v>122197.95999697024</v>
      </c>
      <c r="AD126" s="13">
        <f ca="1">SUMPRODUCT(dFactor,tpSurvRad,INDEX(elecRad,1,4)*allOnes,OFFSET(tPrcElec,0,25,1,_maxLT))</f>
        <v>122969.86293089375</v>
      </c>
      <c r="AE126" s="13">
        <f ca="1">SUMPRODUCT(dFactor,tpSurvRad,INDEX(elecRad,1,4)*allOnes,OFFSET(tPrcElec,0,26,1,_maxLT))</f>
        <v>123746.74763711751</v>
      </c>
      <c r="AF126" s="13">
        <f ca="1">SUMPRODUCT(dFactor,tpSurvRad,INDEX(elecRad,1,4)*allOnes,OFFSET(tPrcElec,0,27,1,_maxLT))</f>
        <v>124528.64703696402</v>
      </c>
      <c r="AG126" s="13">
        <f ca="1">SUMPRODUCT(dFactor,tpSurvRad,INDEX(elecRad,1,4)*allOnes,OFFSET(tPrcElec,0,28,1,_maxLT))</f>
        <v>125315.59427479038</v>
      </c>
      <c r="AH126" s="13">
        <f ca="1">SUMPRODUCT(dFactor,tpSurvRad,INDEX(elecRad,1,4)*allOnes,OFFSET(tPrcElec,0,29,1,_maxLT))</f>
        <v>126107.62271953652</v>
      </c>
      <c r="AI126" s="13">
        <f ca="1">SUMPRODUCT(dFactor,tpSurvRad,INDEX(elecRad,1,4)*allOnes,OFFSET(tPrcElec,0,30,1,_maxLT))</f>
        <v>126904.76596628643</v>
      </c>
      <c r="AJ126" s="13">
        <f ca="1">SUMPRODUCT(dFactor,tpSurvRad,INDEX(elecRad,1,4)*allOnes,OFFSET(tPrcElec,0,31,1,_maxLT))</f>
        <v>127707.0578378387</v>
      </c>
      <c r="AK126" s="13">
        <f ca="1">SUMPRODUCT(dFactor,tpSurvRad,INDEX(elecRad,1,4)*allOnes,OFFSET(tPrcElec,0,32,1,_maxLT))</f>
        <v>128514.53238628904</v>
      </c>
      <c r="AL126" s="56">
        <f ca="1">SUMPRODUCT(dFactor,tpSurvRad,INDEX(elecRad,1,4)*allOnes,OFFSET(tPrcElec,0,33,1,_maxLT))</f>
        <v>129327.22389462375</v>
      </c>
      <c r="AM126" s="10"/>
    </row>
    <row r="127" spans="2:39">
      <c r="B127" s="10"/>
      <c r="C127" s="16" t="s">
        <v>79</v>
      </c>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5"/>
      <c r="AM127" s="10"/>
    </row>
    <row r="128" spans="2:39">
      <c r="B128" s="10"/>
      <c r="C128" s="28" t="str">
        <f>INDEX(_fuel,1)</f>
        <v>Electricity</v>
      </c>
      <c r="D128" s="12" t="s">
        <v>83</v>
      </c>
      <c r="E128" s="39">
        <f ca="1">SUMPRODUCT(OFFSET(tConvElecRad,0,0,1,_maxLT),INDEX(elecRad,1,4)*allOnes,tpSurvRad)</f>
        <v>22083.186115809334</v>
      </c>
      <c r="F128" s="39">
        <f ca="1">SUMPRODUCT(OFFSET(tConvElecRad,0,1,1,_maxLT),INDEX(elecRad,1,4)*allOnes,tpSurvRad)</f>
        <v>21936.04225310501</v>
      </c>
      <c r="G128" s="39">
        <f ca="1">SUMPRODUCT(OFFSET(tConvElecRad,0,2,1,_maxLT),INDEX(elecRad,1,4)*allOnes,tpSurvRad)</f>
        <v>21805.84220884943</v>
      </c>
      <c r="H128" s="39">
        <f ca="1">SUMPRODUCT(OFFSET(tConvElecRad,0,3,1,_maxLT),INDEX(elecRad,1,4)*allOnes,tpSurvRad)</f>
        <v>21681.619702467095</v>
      </c>
      <c r="I128" s="39">
        <f ca="1">SUMPRODUCT(OFFSET(tConvElecRad,0,4,1,_maxLT),INDEX(elecRad,1,4)*allOnes,tpSurvRad)</f>
        <v>21572.505857694596</v>
      </c>
      <c r="J128" s="39">
        <f ca="1">SUMPRODUCT(OFFSET(tConvElecRad,0,5,1,_maxLT),INDEX(elecRad,1,4)*allOnes,tpSurvRad)</f>
        <v>21487.472156189906</v>
      </c>
      <c r="K128" s="39">
        <f ca="1">SUMPRODUCT(OFFSET(tConvElecRad,0,6,1,_maxLT),INDEX(elecRad,1,4)*allOnes,tpSurvRad)</f>
        <v>21417.036829787259</v>
      </c>
      <c r="L128" s="39">
        <f ca="1">SUMPRODUCT(OFFSET(tConvElecRad,0,7,1,_maxLT),INDEX(elecRad,1,4)*allOnes,tpSurvRad)</f>
        <v>21345.912902104683</v>
      </c>
      <c r="M128" s="39">
        <f ca="1">SUMPRODUCT(OFFSET(tConvElecRad,0,8,1,_maxLT),INDEX(elecRad,1,4)*allOnes,tpSurvRad)</f>
        <v>21288.557812473573</v>
      </c>
      <c r="N128" s="39">
        <f ca="1">SUMPRODUCT(OFFSET(tConvElecRad,0,9,1,_maxLT),INDEX(elecRad,1,4)*allOnes,tpSurvRad)</f>
        <v>21248.568671549107</v>
      </c>
      <c r="O128" s="39">
        <f ca="1">SUMPRODUCT(OFFSET(tConvElecRad,0,10,1,_maxLT),INDEX(elecRad,1,4)*allOnes,tpSurvRad)</f>
        <v>21218.85501869259</v>
      </c>
      <c r="P128" s="39">
        <f ca="1">SUMPRODUCT(OFFSET(tConvElecRad,0,11,1,_maxLT),INDEX(elecRad,1,4)*allOnes,tpSurvRad)</f>
        <v>21193.618737585981</v>
      </c>
      <c r="Q128" s="39">
        <f ca="1">SUMPRODUCT(OFFSET(tConvElecRad,0,12,1,_maxLT),INDEX(elecRad,1,4)*allOnes,tpSurvRad)</f>
        <v>21174.790250487946</v>
      </c>
      <c r="R128" s="39">
        <f ca="1">SUMPRODUCT(OFFSET(tConvElecRad,0,13,1,_maxLT),INDEX(elecRad,1,4)*allOnes,tpSurvRad)</f>
        <v>21160.300806471798</v>
      </c>
      <c r="S128" s="39">
        <f ca="1">SUMPRODUCT(OFFSET(tConvElecRad,0,14,1,_maxLT),INDEX(elecRad,1,4)*allOnes,tpSurvRad)</f>
        <v>21157.67710398796</v>
      </c>
      <c r="T128" s="39">
        <f ca="1">SUMPRODUCT(OFFSET(tConvElecRad,0,15,1,_maxLT),INDEX(elecRad,1,4)*allOnes,tpSurvRad)</f>
        <v>21160.0925786763</v>
      </c>
      <c r="U128" s="39">
        <f ca="1">SUMPRODUCT(OFFSET(tConvElecRad,0,16,1,_maxLT),INDEX(elecRad,1,4)*allOnes,tpSurvRad)</f>
        <v>21164.08197010915</v>
      </c>
      <c r="V128" s="39">
        <f ca="1">SUMPRODUCT(OFFSET(tConvElecRad,0,17,1,_maxLT),INDEX(elecRad,1,4)*allOnes,tpSurvRad)</f>
        <v>21170.240198667354</v>
      </c>
      <c r="W128" s="39">
        <f ca="1">SUMPRODUCT(OFFSET(tConvElecRad,0,18,1,_maxLT),INDEX(elecRad,1,4)*allOnes,tpSurvRad)</f>
        <v>21176.245689173578</v>
      </c>
      <c r="X128" s="39">
        <f ca="1">SUMPRODUCT(OFFSET(tConvElecRad,0,19,1,_maxLT),INDEX(elecRad,1,4)*allOnes,tpSurvRad)</f>
        <v>21181.258184021139</v>
      </c>
      <c r="Y128" s="39">
        <f ca="1">SUMPRODUCT(OFFSET(tConvElecRad,0,20,1,_maxLT),INDEX(elecRad,1,4)*allOnes,tpSurvRad)</f>
        <v>21184.593309381955</v>
      </c>
      <c r="Z128" s="39">
        <f ca="1">SUMPRODUCT(OFFSET(tConvElecRad,0,21,1,_maxLT),INDEX(elecRad,1,4)*allOnes,tpSurvRad)</f>
        <v>21186.871084979517</v>
      </c>
      <c r="AA128" s="39">
        <f ca="1">SUMPRODUCT(OFFSET(tConvElecRad,0,22,1,_maxLT),INDEX(elecRad,1,4)*allOnes,tpSurvRad)</f>
        <v>21186.871084979517</v>
      </c>
      <c r="AB128" s="39">
        <f ca="1">SUMPRODUCT(OFFSET(tConvElecRad,0,23,1,_maxLT),INDEX(elecRad,1,4)*allOnes,tpSurvRad)</f>
        <v>21186.871084979517</v>
      </c>
      <c r="AC128" s="39">
        <f ca="1">SUMPRODUCT(OFFSET(tConvElecRad,0,24,1,_maxLT),INDEX(elecRad,1,4)*allOnes,tpSurvRad)</f>
        <v>21186.871084979517</v>
      </c>
      <c r="AD128" s="39">
        <f ca="1">SUMPRODUCT(OFFSET(tConvElecRad,0,25,1,_maxLT),INDEX(elecRad,1,4)*allOnes,tpSurvRad)</f>
        <v>21186.871084979517</v>
      </c>
      <c r="AE128" s="39">
        <f ca="1">SUMPRODUCT(OFFSET(tConvElecRad,0,26,1,_maxLT),INDEX(elecRad,1,4)*allOnes,tpSurvRad)</f>
        <v>21186.871084979517</v>
      </c>
      <c r="AF128" s="39">
        <f ca="1">SUMPRODUCT(OFFSET(tConvElecRad,0,27,1,_maxLT),INDEX(elecRad,1,4)*allOnes,tpSurvRad)</f>
        <v>21186.871084979517</v>
      </c>
      <c r="AG128" s="39">
        <f ca="1">SUMPRODUCT(OFFSET(tConvElecRad,0,28,1,_maxLT),INDEX(elecRad,1,4)*allOnes,tpSurvRad)</f>
        <v>21186.871084979517</v>
      </c>
      <c r="AH128" s="39">
        <f ca="1">SUMPRODUCT(OFFSET(tConvElecRad,0,29,1,_maxLT),INDEX(elecRad,1,4)*allOnes,tpSurvRad)</f>
        <v>21186.871084979517</v>
      </c>
      <c r="AI128" s="39">
        <f ca="1">SUMPRODUCT(OFFSET(tConvElecRad,0,30,1,_maxLT),INDEX(elecRad,1,4)*allOnes,tpSurvRad)</f>
        <v>21186.871084979517</v>
      </c>
      <c r="AJ128" s="39">
        <f ca="1">SUMPRODUCT(OFFSET(tConvElecRad,0,31,1,_maxLT),INDEX(elecRad,1,4)*allOnes,tpSurvRad)</f>
        <v>21186.871084979517</v>
      </c>
      <c r="AK128" s="39">
        <f ca="1">SUMPRODUCT(OFFSET(tConvElecRad,0,32,1,_maxLT),INDEX(elecRad,1,4)*allOnes,tpSurvRad)</f>
        <v>21186.871084979517</v>
      </c>
      <c r="AL128" s="40">
        <f ca="1">SUMPRODUCT(OFFSET(tConvElecRad,0,33,1,_maxLT),INDEX(elecRad,1,4)*allOnes,tpSurvRad)</f>
        <v>21186.871084979517</v>
      </c>
      <c r="AM128" s="10"/>
    </row>
    <row r="129" spans="2:39">
      <c r="B129" s="10"/>
      <c r="C129" s="57" t="str">
        <f>"EL 4: " &amp; INDEX(_doName,6,5)</f>
        <v>EL 4: EL 4</v>
      </c>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3"/>
      <c r="AM129" s="10"/>
    </row>
    <row r="130" spans="2:39">
      <c r="B130" s="10"/>
      <c r="C130" s="16" t="s">
        <v>69</v>
      </c>
      <c r="D130" s="12" t="str">
        <f>_yearDol &amp; "$"</f>
        <v>2015$</v>
      </c>
      <c r="E130" s="13">
        <f t="array" ref="E130:AL130">INDEX(mspRad,1,5)*tPIdxAll + INDEX(instRad,1,5) + IF(bESav,SUMPRODUCT(dFactor,tpSurvRad,INDEX(mrRad,1,5)*allOnes),0)</f>
        <v>2310.9753206002802</v>
      </c>
      <c r="F130" s="13">
        <v>2310.9753206002802</v>
      </c>
      <c r="G130" s="13">
        <v>2310.9753206002802</v>
      </c>
      <c r="H130" s="13">
        <v>2310.9753206002802</v>
      </c>
      <c r="I130" s="13">
        <v>2310.9753206002802</v>
      </c>
      <c r="J130" s="13">
        <v>2310.9753206002802</v>
      </c>
      <c r="K130" s="13">
        <v>2310.9753206002802</v>
      </c>
      <c r="L130" s="13">
        <v>2310.9753206002802</v>
      </c>
      <c r="M130" s="13">
        <v>2310.9753206002802</v>
      </c>
      <c r="N130" s="13">
        <v>2310.9753206002802</v>
      </c>
      <c r="O130" s="13">
        <v>2310.9753206002802</v>
      </c>
      <c r="P130" s="13">
        <v>2310.9753206002802</v>
      </c>
      <c r="Q130" s="13">
        <v>2310.9753206002802</v>
      </c>
      <c r="R130" s="13">
        <v>2310.9753206002802</v>
      </c>
      <c r="S130" s="13">
        <v>2310.9753206002802</v>
      </c>
      <c r="T130" s="13">
        <v>2310.9753206002802</v>
      </c>
      <c r="U130" s="13">
        <v>2310.9753206002802</v>
      </c>
      <c r="V130" s="13">
        <v>2310.9753206002802</v>
      </c>
      <c r="W130" s="13">
        <v>2310.9753206002802</v>
      </c>
      <c r="X130" s="13">
        <v>2310.9753206002802</v>
      </c>
      <c r="Y130" s="13">
        <v>2310.9753206002802</v>
      </c>
      <c r="Z130" s="13">
        <v>2310.9753206002802</v>
      </c>
      <c r="AA130" s="13">
        <v>2310.9753206002802</v>
      </c>
      <c r="AB130" s="13">
        <v>2310.9753206002802</v>
      </c>
      <c r="AC130" s="13">
        <v>2310.9753206002802</v>
      </c>
      <c r="AD130" s="13">
        <v>2310.9753206002802</v>
      </c>
      <c r="AE130" s="13">
        <v>2310.9753206002802</v>
      </c>
      <c r="AF130" s="13">
        <v>2310.9753206002802</v>
      </c>
      <c r="AG130" s="13">
        <v>2310.9753206002802</v>
      </c>
      <c r="AH130" s="13">
        <v>2310.9753206002802</v>
      </c>
      <c r="AI130" s="13">
        <v>2310.9753206002802</v>
      </c>
      <c r="AJ130" s="13">
        <v>2310.9753206002802</v>
      </c>
      <c r="AK130" s="13">
        <v>2310.9753206002802</v>
      </c>
      <c r="AL130" s="56">
        <v>2310.9753206002802</v>
      </c>
      <c r="AM130" s="10"/>
    </row>
    <row r="131" spans="2:39">
      <c r="B131" s="10"/>
      <c r="C131" s="16" t="str">
        <f>zEO&amp;" Costs"</f>
        <v>Operating Costs</v>
      </c>
      <c r="D131" s="12" t="str">
        <f>_yearDol &amp; "$"</f>
        <v>2015$</v>
      </c>
      <c r="E131" s="13">
        <f t="array" aca="1" ref="E131:AL131" ca="1">(tlccEFuElecbc4) + IF(bOSav,SUMPRODUCT(dFactor,tpSurvRad,INDEX(mrRad,1,5)*allOnes),0)</f>
        <v>92371.505302103731</v>
      </c>
      <c r="F131" s="13">
        <f ca="1"/>
        <v>93120.593134453389</v>
      </c>
      <c r="G131" s="13">
        <f ca="1"/>
        <v>93847.2968801713</v>
      </c>
      <c r="H131" s="13">
        <f ca="1"/>
        <v>94503.151812742915</v>
      </c>
      <c r="I131" s="13">
        <f ca="1"/>
        <v>95098.424558667451</v>
      </c>
      <c r="J131" s="13">
        <f ca="1"/>
        <v>95697.526855545555</v>
      </c>
      <c r="K131" s="13">
        <f ca="1"/>
        <v>96300.483923055057</v>
      </c>
      <c r="L131" s="13">
        <f ca="1"/>
        <v>96907.321151123659</v>
      </c>
      <c r="M131" s="13">
        <f ca="1"/>
        <v>97518.064101107506</v>
      </c>
      <c r="N131" s="13">
        <f ca="1"/>
        <v>98132.738506977956</v>
      </c>
      <c r="O131" s="13">
        <f ca="1"/>
        <v>98751.370276516638</v>
      </c>
      <c r="P131" s="13">
        <f ca="1"/>
        <v>99373.985492519234</v>
      </c>
      <c r="Q131" s="13">
        <f ca="1"/>
        <v>100000.6104140073</v>
      </c>
      <c r="R131" s="13">
        <f ca="1"/>
        <v>100631.27147744925</v>
      </c>
      <c r="S131" s="13">
        <f ca="1"/>
        <v>101265.99529798969</v>
      </c>
      <c r="T131" s="13">
        <f ca="1"/>
        <v>101904.80867068752</v>
      </c>
      <c r="U131" s="13">
        <f ca="1"/>
        <v>102547.73857176286</v>
      </c>
      <c r="V131" s="13">
        <f ca="1"/>
        <v>103194.81215985284</v>
      </c>
      <c r="W131" s="13">
        <f ca="1"/>
        <v>103846.05677727632</v>
      </c>
      <c r="X131" s="13">
        <f ca="1"/>
        <v>104501.49995130731</v>
      </c>
      <c r="Y131" s="13">
        <f ca="1"/>
        <v>105161.16939545803</v>
      </c>
      <c r="Z131" s="13">
        <f ca="1"/>
        <v>105825.09301077026</v>
      </c>
      <c r="AA131" s="13">
        <f ca="1"/>
        <v>106493.29888711698</v>
      </c>
      <c r="AB131" s="13">
        <f ca="1"/>
        <v>107165.81530451194</v>
      </c>
      <c r="AC131" s="13">
        <f ca="1"/>
        <v>107842.67073442959</v>
      </c>
      <c r="AD131" s="13">
        <f ca="1"/>
        <v>108523.89384113376</v>
      </c>
      <c r="AE131" s="13">
        <f ca="1"/>
        <v>109209.51348301634</v>
      </c>
      <c r="AF131" s="13">
        <f ca="1"/>
        <v>109899.55871394485</v>
      </c>
      <c r="AG131" s="13">
        <f ca="1"/>
        <v>110594.05878462008</v>
      </c>
      <c r="AH131" s="13">
        <f ca="1"/>
        <v>111293.04314394317</v>
      </c>
      <c r="AI131" s="13">
        <f ca="1"/>
        <v>111996.54144039228</v>
      </c>
      <c r="AJ131" s="13">
        <f ca="1"/>
        <v>112704.58352340964</v>
      </c>
      <c r="AK131" s="13">
        <f ca="1"/>
        <v>113417.19944479743</v>
      </c>
      <c r="AL131" s="56">
        <f ca="1"/>
        <v>114134.41946012489</v>
      </c>
      <c r="AM131" s="10"/>
    </row>
    <row r="132" spans="2:39">
      <c r="B132" s="10"/>
      <c r="C132" s="28" t="str">
        <f>INDEX(_fuel,1)</f>
        <v>Electricity</v>
      </c>
      <c r="D132" s="12" t="str">
        <f>_yearDol &amp; "$"</f>
        <v>2015$</v>
      </c>
      <c r="E132" s="13">
        <f ca="1">SUMPRODUCT(dFactor,tpSurvRad,INDEX(elecRad,1,5)*allOnes,OFFSET(tPrcElec,0,0,1,_maxLT))</f>
        <v>92371.505302103731</v>
      </c>
      <c r="F132" s="13">
        <f ca="1">SUMPRODUCT(dFactor,tpSurvRad,INDEX(elecRad,1,5)*allOnes,OFFSET(tPrcElec,0,1,1,_maxLT))</f>
        <v>93120.593134453389</v>
      </c>
      <c r="G132" s="13">
        <f ca="1">SUMPRODUCT(dFactor,tpSurvRad,INDEX(elecRad,1,5)*allOnes,OFFSET(tPrcElec,0,2,1,_maxLT))</f>
        <v>93847.2968801713</v>
      </c>
      <c r="H132" s="13">
        <f ca="1">SUMPRODUCT(dFactor,tpSurvRad,INDEX(elecRad,1,5)*allOnes,OFFSET(tPrcElec,0,3,1,_maxLT))</f>
        <v>94503.151812742915</v>
      </c>
      <c r="I132" s="13">
        <f ca="1">SUMPRODUCT(dFactor,tpSurvRad,INDEX(elecRad,1,5)*allOnes,OFFSET(tPrcElec,0,4,1,_maxLT))</f>
        <v>95098.424558667451</v>
      </c>
      <c r="J132" s="13">
        <f ca="1">SUMPRODUCT(dFactor,tpSurvRad,INDEX(elecRad,1,5)*allOnes,OFFSET(tPrcElec,0,5,1,_maxLT))</f>
        <v>95697.526855545555</v>
      </c>
      <c r="K132" s="13">
        <f ca="1">SUMPRODUCT(dFactor,tpSurvRad,INDEX(elecRad,1,5)*allOnes,OFFSET(tPrcElec,0,6,1,_maxLT))</f>
        <v>96300.483923055057</v>
      </c>
      <c r="L132" s="13">
        <f ca="1">SUMPRODUCT(dFactor,tpSurvRad,INDEX(elecRad,1,5)*allOnes,OFFSET(tPrcElec,0,7,1,_maxLT))</f>
        <v>96907.321151123659</v>
      </c>
      <c r="M132" s="13">
        <f ca="1">SUMPRODUCT(dFactor,tpSurvRad,INDEX(elecRad,1,5)*allOnes,OFFSET(tPrcElec,0,8,1,_maxLT))</f>
        <v>97518.064101107506</v>
      </c>
      <c r="N132" s="13">
        <f ca="1">SUMPRODUCT(dFactor,tpSurvRad,INDEX(elecRad,1,5)*allOnes,OFFSET(tPrcElec,0,9,1,_maxLT))</f>
        <v>98132.738506977956</v>
      </c>
      <c r="O132" s="13">
        <f ca="1">SUMPRODUCT(dFactor,tpSurvRad,INDEX(elecRad,1,5)*allOnes,OFFSET(tPrcElec,0,10,1,_maxLT))</f>
        <v>98751.370276516638</v>
      </c>
      <c r="P132" s="13">
        <f ca="1">SUMPRODUCT(dFactor,tpSurvRad,INDEX(elecRad,1,5)*allOnes,OFFSET(tPrcElec,0,11,1,_maxLT))</f>
        <v>99373.985492519234</v>
      </c>
      <c r="Q132" s="13">
        <f ca="1">SUMPRODUCT(dFactor,tpSurvRad,INDEX(elecRad,1,5)*allOnes,OFFSET(tPrcElec,0,12,1,_maxLT))</f>
        <v>100000.6104140073</v>
      </c>
      <c r="R132" s="13">
        <f ca="1">SUMPRODUCT(dFactor,tpSurvRad,INDEX(elecRad,1,5)*allOnes,OFFSET(tPrcElec,0,13,1,_maxLT))</f>
        <v>100631.27147744925</v>
      </c>
      <c r="S132" s="13">
        <f ca="1">SUMPRODUCT(dFactor,tpSurvRad,INDEX(elecRad,1,5)*allOnes,OFFSET(tPrcElec,0,14,1,_maxLT))</f>
        <v>101265.99529798969</v>
      </c>
      <c r="T132" s="13">
        <f ca="1">SUMPRODUCT(dFactor,tpSurvRad,INDEX(elecRad,1,5)*allOnes,OFFSET(tPrcElec,0,15,1,_maxLT))</f>
        <v>101904.80867068752</v>
      </c>
      <c r="U132" s="13">
        <f ca="1">SUMPRODUCT(dFactor,tpSurvRad,INDEX(elecRad,1,5)*allOnes,OFFSET(tPrcElec,0,16,1,_maxLT))</f>
        <v>102547.73857176286</v>
      </c>
      <c r="V132" s="13">
        <f ca="1">SUMPRODUCT(dFactor,tpSurvRad,INDEX(elecRad,1,5)*allOnes,OFFSET(tPrcElec,0,17,1,_maxLT))</f>
        <v>103194.81215985284</v>
      </c>
      <c r="W132" s="13">
        <f ca="1">SUMPRODUCT(dFactor,tpSurvRad,INDEX(elecRad,1,5)*allOnes,OFFSET(tPrcElec,0,18,1,_maxLT))</f>
        <v>103846.05677727632</v>
      </c>
      <c r="X132" s="13">
        <f ca="1">SUMPRODUCT(dFactor,tpSurvRad,INDEX(elecRad,1,5)*allOnes,OFFSET(tPrcElec,0,19,1,_maxLT))</f>
        <v>104501.49995130731</v>
      </c>
      <c r="Y132" s="13">
        <f ca="1">SUMPRODUCT(dFactor,tpSurvRad,INDEX(elecRad,1,5)*allOnes,OFFSET(tPrcElec,0,20,1,_maxLT))</f>
        <v>105161.16939545803</v>
      </c>
      <c r="Z132" s="13">
        <f ca="1">SUMPRODUCT(dFactor,tpSurvRad,INDEX(elecRad,1,5)*allOnes,OFFSET(tPrcElec,0,21,1,_maxLT))</f>
        <v>105825.09301077026</v>
      </c>
      <c r="AA132" s="13">
        <f ca="1">SUMPRODUCT(dFactor,tpSurvRad,INDEX(elecRad,1,5)*allOnes,OFFSET(tPrcElec,0,22,1,_maxLT))</f>
        <v>106493.29888711698</v>
      </c>
      <c r="AB132" s="13">
        <f ca="1">SUMPRODUCT(dFactor,tpSurvRad,INDEX(elecRad,1,5)*allOnes,OFFSET(tPrcElec,0,23,1,_maxLT))</f>
        <v>107165.81530451194</v>
      </c>
      <c r="AC132" s="13">
        <f ca="1">SUMPRODUCT(dFactor,tpSurvRad,INDEX(elecRad,1,5)*allOnes,OFFSET(tPrcElec,0,24,1,_maxLT))</f>
        <v>107842.67073442959</v>
      </c>
      <c r="AD132" s="13">
        <f ca="1">SUMPRODUCT(dFactor,tpSurvRad,INDEX(elecRad,1,5)*allOnes,OFFSET(tPrcElec,0,25,1,_maxLT))</f>
        <v>108523.89384113376</v>
      </c>
      <c r="AE132" s="13">
        <f ca="1">SUMPRODUCT(dFactor,tpSurvRad,INDEX(elecRad,1,5)*allOnes,OFFSET(tPrcElec,0,26,1,_maxLT))</f>
        <v>109209.51348301634</v>
      </c>
      <c r="AF132" s="13">
        <f ca="1">SUMPRODUCT(dFactor,tpSurvRad,INDEX(elecRad,1,5)*allOnes,OFFSET(tPrcElec,0,27,1,_maxLT))</f>
        <v>109899.55871394485</v>
      </c>
      <c r="AG132" s="13">
        <f ca="1">SUMPRODUCT(dFactor,tpSurvRad,INDEX(elecRad,1,5)*allOnes,OFFSET(tPrcElec,0,28,1,_maxLT))</f>
        <v>110594.05878462008</v>
      </c>
      <c r="AH132" s="13">
        <f ca="1">SUMPRODUCT(dFactor,tpSurvRad,INDEX(elecRad,1,5)*allOnes,OFFSET(tPrcElec,0,29,1,_maxLT))</f>
        <v>111293.04314394317</v>
      </c>
      <c r="AI132" s="13">
        <f ca="1">SUMPRODUCT(dFactor,tpSurvRad,INDEX(elecRad,1,5)*allOnes,OFFSET(tPrcElec,0,30,1,_maxLT))</f>
        <v>111996.54144039228</v>
      </c>
      <c r="AJ132" s="13">
        <f ca="1">SUMPRODUCT(dFactor,tpSurvRad,INDEX(elecRad,1,5)*allOnes,OFFSET(tPrcElec,0,31,1,_maxLT))</f>
        <v>112704.58352340964</v>
      </c>
      <c r="AK132" s="13">
        <f ca="1">SUMPRODUCT(dFactor,tpSurvRad,INDEX(elecRad,1,5)*allOnes,OFFSET(tPrcElec,0,32,1,_maxLT))</f>
        <v>113417.19944479743</v>
      </c>
      <c r="AL132" s="56">
        <f ca="1">SUMPRODUCT(dFactor,tpSurvRad,INDEX(elecRad,1,5)*allOnes,OFFSET(tPrcElec,0,33,1,_maxLT))</f>
        <v>114134.41946012489</v>
      </c>
      <c r="AM132" s="10"/>
    </row>
    <row r="133" spans="2:39">
      <c r="B133" s="10"/>
      <c r="C133" s="16" t="s">
        <v>79</v>
      </c>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5"/>
      <c r="AM133" s="10"/>
    </row>
    <row r="134" spans="2:39">
      <c r="B134" s="10"/>
      <c r="C134" s="28" t="str">
        <f>INDEX(_fuel,1)</f>
        <v>Electricity</v>
      </c>
      <c r="D134" s="12" t="s">
        <v>83</v>
      </c>
      <c r="E134" s="39">
        <f ca="1">SUMPRODUCT(OFFSET(tConvElecRad,0,0,1,_maxLT),INDEX(elecRad,1,5)*allOnes,tpSurvRad)</f>
        <v>19488.948662591414</v>
      </c>
      <c r="F134" s="39">
        <f ca="1">SUMPRODUCT(OFFSET(tConvElecRad,0,1,1,_maxLT),INDEX(elecRad,1,5)*allOnes,tpSurvRad)</f>
        <v>19359.090626200232</v>
      </c>
      <c r="G134" s="39">
        <f ca="1">SUMPRODUCT(OFFSET(tConvElecRad,0,2,1,_maxLT),INDEX(elecRad,1,5)*allOnes,tpSurvRad)</f>
        <v>19244.185921550408</v>
      </c>
      <c r="H134" s="39">
        <f ca="1">SUMPRODUCT(OFFSET(tConvElecRad,0,3,1,_maxLT),INDEX(elecRad,1,5)*allOnes,tpSurvRad)</f>
        <v>19134.556539407469</v>
      </c>
      <c r="I134" s="39">
        <f ca="1">SUMPRODUCT(OFFSET(tConvElecRad,0,4,1,_maxLT),INDEX(elecRad,1,5)*allOnes,tpSurvRad)</f>
        <v>19038.260918476812</v>
      </c>
      <c r="J134" s="39">
        <f ca="1">SUMPRODUCT(OFFSET(tConvElecRad,0,5,1,_maxLT),INDEX(elecRad,1,5)*allOnes,tpSurvRad)</f>
        <v>18963.216609448024</v>
      </c>
      <c r="K134" s="39">
        <f ca="1">SUMPRODUCT(OFFSET(tConvElecRad,0,6,1,_maxLT),INDEX(elecRad,1,5)*allOnes,tpSurvRad)</f>
        <v>18901.055721381636</v>
      </c>
      <c r="L134" s="39">
        <f ca="1">SUMPRODUCT(OFFSET(tConvElecRad,0,7,1,_maxLT),INDEX(elecRad,1,5)*allOnes,tpSurvRad)</f>
        <v>18838.287125943531</v>
      </c>
      <c r="M134" s="39">
        <f ca="1">SUMPRODUCT(OFFSET(tConvElecRad,0,8,1,_maxLT),INDEX(elecRad,1,5)*allOnes,tpSurvRad)</f>
        <v>18787.669864851894</v>
      </c>
      <c r="N134" s="39">
        <f ca="1">SUMPRODUCT(OFFSET(tConvElecRad,0,9,1,_maxLT),INDEX(elecRad,1,5)*allOnes,tpSurvRad)</f>
        <v>18752.3784757176</v>
      </c>
      <c r="O134" s="39">
        <f ca="1">SUMPRODUCT(OFFSET(tConvElecRad,0,10,1,_maxLT),INDEX(elecRad,1,5)*allOnes,tpSurvRad)</f>
        <v>18726.155454634416</v>
      </c>
      <c r="P134" s="39">
        <f ca="1">SUMPRODUCT(OFFSET(tConvElecRad,0,11,1,_maxLT),INDEX(elecRad,1,5)*allOnes,tpSurvRad)</f>
        <v>18703.883822980264</v>
      </c>
      <c r="Q134" s="39">
        <f ca="1">SUMPRODUCT(OFFSET(tConvElecRad,0,12,1,_maxLT),INDEX(elecRad,1,5)*allOnes,tpSurvRad)</f>
        <v>18687.267225333369</v>
      </c>
      <c r="R134" s="39">
        <f ca="1">SUMPRODUCT(OFFSET(tConvElecRad,0,13,1,_maxLT),INDEX(elecRad,1,5)*allOnes,tpSurvRad)</f>
        <v>18674.479938702749</v>
      </c>
      <c r="S134" s="39">
        <f ca="1">SUMPRODUCT(OFFSET(tConvElecRad,0,14,1,_maxLT),INDEX(elecRad,1,5)*allOnes,tpSurvRad)</f>
        <v>18672.164457469866</v>
      </c>
      <c r="T134" s="39">
        <f ca="1">SUMPRODUCT(OFFSET(tConvElecRad,0,15,1,_maxLT),INDEX(elecRad,1,5)*allOnes,tpSurvRad)</f>
        <v>18674.296172610513</v>
      </c>
      <c r="U134" s="39">
        <f ca="1">SUMPRODUCT(OFFSET(tConvElecRad,0,16,1,_maxLT),INDEX(elecRad,1,5)*allOnes,tpSurvRad)</f>
        <v>18677.816907545322</v>
      </c>
      <c r="V134" s="39">
        <f ca="1">SUMPRODUCT(OFFSET(tConvElecRad,0,17,1,_maxLT),INDEX(elecRad,1,5)*allOnes,tpSurvRad)</f>
        <v>18683.251693974868</v>
      </c>
      <c r="W134" s="39">
        <f ca="1">SUMPRODUCT(OFFSET(tConvElecRad,0,18,1,_maxLT),INDEX(elecRad,1,5)*allOnes,tpSurvRad)</f>
        <v>18688.551685359973</v>
      </c>
      <c r="X134" s="39">
        <f ca="1">SUMPRODUCT(OFFSET(tConvElecRad,0,19,1,_maxLT),INDEX(elecRad,1,5)*allOnes,tpSurvRad)</f>
        <v>18692.975333933296</v>
      </c>
      <c r="Y134" s="39">
        <f ca="1">SUMPRODUCT(OFFSET(tConvElecRad,0,20,1,_maxLT),INDEX(elecRad,1,5)*allOnes,tpSurvRad)</f>
        <v>18695.918663152159</v>
      </c>
      <c r="Z134" s="39">
        <f ca="1">SUMPRODUCT(OFFSET(tConvElecRad,0,21,1,_maxLT),INDEX(elecRad,1,5)*allOnes,tpSurvRad)</f>
        <v>18697.928855497274</v>
      </c>
      <c r="AA134" s="39">
        <f ca="1">SUMPRODUCT(OFFSET(tConvElecRad,0,22,1,_maxLT),INDEX(elecRad,1,5)*allOnes,tpSurvRad)</f>
        <v>18697.928855497274</v>
      </c>
      <c r="AB134" s="39">
        <f ca="1">SUMPRODUCT(OFFSET(tConvElecRad,0,23,1,_maxLT),INDEX(elecRad,1,5)*allOnes,tpSurvRad)</f>
        <v>18697.928855497274</v>
      </c>
      <c r="AC134" s="39">
        <f ca="1">SUMPRODUCT(OFFSET(tConvElecRad,0,24,1,_maxLT),INDEX(elecRad,1,5)*allOnes,tpSurvRad)</f>
        <v>18697.928855497274</v>
      </c>
      <c r="AD134" s="39">
        <f ca="1">SUMPRODUCT(OFFSET(tConvElecRad,0,25,1,_maxLT),INDEX(elecRad,1,5)*allOnes,tpSurvRad)</f>
        <v>18697.928855497274</v>
      </c>
      <c r="AE134" s="39">
        <f ca="1">SUMPRODUCT(OFFSET(tConvElecRad,0,26,1,_maxLT),INDEX(elecRad,1,5)*allOnes,tpSurvRad)</f>
        <v>18697.928855497274</v>
      </c>
      <c r="AF134" s="39">
        <f ca="1">SUMPRODUCT(OFFSET(tConvElecRad,0,27,1,_maxLT),INDEX(elecRad,1,5)*allOnes,tpSurvRad)</f>
        <v>18697.928855497274</v>
      </c>
      <c r="AG134" s="39">
        <f ca="1">SUMPRODUCT(OFFSET(tConvElecRad,0,28,1,_maxLT),INDEX(elecRad,1,5)*allOnes,tpSurvRad)</f>
        <v>18697.928855497274</v>
      </c>
      <c r="AH134" s="39">
        <f ca="1">SUMPRODUCT(OFFSET(tConvElecRad,0,29,1,_maxLT),INDEX(elecRad,1,5)*allOnes,tpSurvRad)</f>
        <v>18697.928855497274</v>
      </c>
      <c r="AI134" s="39">
        <f ca="1">SUMPRODUCT(OFFSET(tConvElecRad,0,30,1,_maxLT),INDEX(elecRad,1,5)*allOnes,tpSurvRad)</f>
        <v>18697.928855497274</v>
      </c>
      <c r="AJ134" s="39">
        <f ca="1">SUMPRODUCT(OFFSET(tConvElecRad,0,31,1,_maxLT),INDEX(elecRad,1,5)*allOnes,tpSurvRad)</f>
        <v>18697.928855497274</v>
      </c>
      <c r="AK134" s="39">
        <f ca="1">SUMPRODUCT(OFFSET(tConvElecRad,0,32,1,_maxLT),INDEX(elecRad,1,5)*allOnes,tpSurvRad)</f>
        <v>18697.928855497274</v>
      </c>
      <c r="AL134" s="40">
        <f ca="1">SUMPRODUCT(OFFSET(tConvElecRad,0,33,1,_maxLT),INDEX(elecRad,1,5)*allOnes,tpSurvRad)</f>
        <v>18697.928855497274</v>
      </c>
      <c r="AM134" s="10"/>
    </row>
    <row r="135" spans="2:39">
      <c r="B135" s="10"/>
      <c r="C135" s="57" t="str">
        <f>"EL 5: " &amp; INDEX(_doName,6,6)</f>
        <v>EL 5: EL 5</v>
      </c>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3"/>
      <c r="AM135" s="10"/>
    </row>
    <row r="136" spans="2:39">
      <c r="B136" s="10"/>
      <c r="C136" s="16" t="s">
        <v>69</v>
      </c>
      <c r="D136" s="12" t="str">
        <f>_yearDol &amp; "$"</f>
        <v>2015$</v>
      </c>
      <c r="E136" s="13">
        <f t="array" ref="E136:AL136">INDEX(mspRad,1,6)*tPIdxAll + INDEX(instRad,1,6) + IF(bESav,SUMPRODUCT(dFactor,tpSurvRad,INDEX(mrRad,1,6)*allOnes),0)</f>
        <v>2332.0783975747399</v>
      </c>
      <c r="F136" s="13">
        <v>2332.0783975747399</v>
      </c>
      <c r="G136" s="13">
        <v>2332.0783975747399</v>
      </c>
      <c r="H136" s="13">
        <v>2332.0783975747399</v>
      </c>
      <c r="I136" s="13">
        <v>2332.0783975747399</v>
      </c>
      <c r="J136" s="13">
        <v>2332.0783975747399</v>
      </c>
      <c r="K136" s="13">
        <v>2332.0783975747399</v>
      </c>
      <c r="L136" s="13">
        <v>2332.0783975747399</v>
      </c>
      <c r="M136" s="13">
        <v>2332.0783975747399</v>
      </c>
      <c r="N136" s="13">
        <v>2332.0783975747399</v>
      </c>
      <c r="O136" s="13">
        <v>2332.0783975747399</v>
      </c>
      <c r="P136" s="13">
        <v>2332.0783975747399</v>
      </c>
      <c r="Q136" s="13">
        <v>2332.0783975747399</v>
      </c>
      <c r="R136" s="13">
        <v>2332.0783975747399</v>
      </c>
      <c r="S136" s="13">
        <v>2332.0783975747399</v>
      </c>
      <c r="T136" s="13">
        <v>2332.0783975747399</v>
      </c>
      <c r="U136" s="13">
        <v>2332.0783975747399</v>
      </c>
      <c r="V136" s="13">
        <v>2332.0783975747399</v>
      </c>
      <c r="W136" s="13">
        <v>2332.0783975747399</v>
      </c>
      <c r="X136" s="13">
        <v>2332.0783975747399</v>
      </c>
      <c r="Y136" s="13">
        <v>2332.0783975747399</v>
      </c>
      <c r="Z136" s="13">
        <v>2332.0783975747399</v>
      </c>
      <c r="AA136" s="13">
        <v>2332.0783975747399</v>
      </c>
      <c r="AB136" s="13">
        <v>2332.0783975747399</v>
      </c>
      <c r="AC136" s="13">
        <v>2332.0783975747399</v>
      </c>
      <c r="AD136" s="13">
        <v>2332.0783975747399</v>
      </c>
      <c r="AE136" s="13">
        <v>2332.0783975747399</v>
      </c>
      <c r="AF136" s="13">
        <v>2332.0783975747399</v>
      </c>
      <c r="AG136" s="13">
        <v>2332.0783975747399</v>
      </c>
      <c r="AH136" s="13">
        <v>2332.0783975747399</v>
      </c>
      <c r="AI136" s="13">
        <v>2332.0783975747399</v>
      </c>
      <c r="AJ136" s="13">
        <v>2332.0783975747399</v>
      </c>
      <c r="AK136" s="13">
        <v>2332.0783975747399</v>
      </c>
      <c r="AL136" s="56">
        <v>2332.0783975747399</v>
      </c>
      <c r="AM136" s="10"/>
    </row>
    <row r="137" spans="2:39">
      <c r="B137" s="10"/>
      <c r="C137" s="16" t="str">
        <f>zEO&amp;" Costs"</f>
        <v>Operating Costs</v>
      </c>
      <c r="D137" s="12" t="str">
        <f>_yearDol &amp; "$"</f>
        <v>2015$</v>
      </c>
      <c r="E137" s="13">
        <f t="array" aca="1" ref="E137:AL137" ca="1">(tlccEFuElecbc5) + IF(bOSav,SUMPRODUCT(dFactor,tpSurvRad,INDEX(mrRad,1,6)*allOnes),0)</f>
        <v>84370.689020043923</v>
      </c>
      <c r="F137" s="13">
        <f ca="1"/>
        <v>85054.894136601943</v>
      </c>
      <c r="G137" s="13">
        <f ca="1"/>
        <v>85718.653978331742</v>
      </c>
      <c r="H137" s="13">
        <f ca="1"/>
        <v>86317.701621620523</v>
      </c>
      <c r="I137" s="13">
        <f ca="1"/>
        <v>86861.414442627924</v>
      </c>
      <c r="J137" s="13">
        <f ca="1"/>
        <v>87408.625115613962</v>
      </c>
      <c r="K137" s="13">
        <f ca="1"/>
        <v>87959.35667583812</v>
      </c>
      <c r="L137" s="13">
        <f ca="1"/>
        <v>88513.632314063521</v>
      </c>
      <c r="M137" s="13">
        <f ca="1"/>
        <v>89071.475377633207</v>
      </c>
      <c r="N137" s="13">
        <f ca="1"/>
        <v>89632.909371554502</v>
      </c>
      <c r="O137" s="13">
        <f ca="1"/>
        <v>90197.95795959</v>
      </c>
      <c r="P137" s="13">
        <f ca="1"/>
        <v>90766.644965357555</v>
      </c>
      <c r="Q137" s="13">
        <f ca="1"/>
        <v>91338.994373437177</v>
      </c>
      <c r="R137" s="13">
        <f ca="1"/>
        <v>91915.030330485723</v>
      </c>
      <c r="S137" s="13">
        <f ca="1"/>
        <v>92494.777146360255</v>
      </c>
      <c r="T137" s="13">
        <f ca="1"/>
        <v>93078.259295248688</v>
      </c>
      <c r="U137" s="13">
        <f ca="1"/>
        <v>93665.501416808882</v>
      </c>
      <c r="V137" s="13">
        <f ca="1"/>
        <v>94256.528317315446</v>
      </c>
      <c r="W137" s="13">
        <f ca="1"/>
        <v>94851.364970814873</v>
      </c>
      <c r="X137" s="13">
        <f ca="1"/>
        <v>95450.036520289155</v>
      </c>
      <c r="Y137" s="13">
        <f ca="1"/>
        <v>96052.568278826962</v>
      </c>
      <c r="Z137" s="13">
        <f ca="1"/>
        <v>96658.985730803892</v>
      </c>
      <c r="AA137" s="13">
        <f ca="1"/>
        <v>97269.314533070676</v>
      </c>
      <c r="AB137" s="13">
        <f ca="1"/>
        <v>97883.580516149945</v>
      </c>
      <c r="AC137" s="13">
        <f ca="1"/>
        <v>98501.809685441214</v>
      </c>
      <c r="AD137" s="13">
        <f ca="1"/>
        <v>99124.028222435227</v>
      </c>
      <c r="AE137" s="13">
        <f ca="1"/>
        <v>99750.262485935891</v>
      </c>
      <c r="AF137" s="13">
        <f ca="1"/>
        <v>100380.53901329165</v>
      </c>
      <c r="AG137" s="13">
        <f ca="1"/>
        <v>101014.88452163539</v>
      </c>
      <c r="AH137" s="13">
        <f ca="1"/>
        <v>101653.32590913305</v>
      </c>
      <c r="AI137" s="13">
        <f ca="1"/>
        <v>102295.89025624112</v>
      </c>
      <c r="AJ137" s="13">
        <f ca="1"/>
        <v>102942.60482697359</v>
      </c>
      <c r="AK137" s="13">
        <f ca="1"/>
        <v>103593.49707017677</v>
      </c>
      <c r="AL137" s="56">
        <f ca="1"/>
        <v>104248.59462081471</v>
      </c>
      <c r="AM137" s="10"/>
    </row>
    <row r="138" spans="2:39">
      <c r="B138" s="10"/>
      <c r="C138" s="28" t="str">
        <f>INDEX(_fuel,1)</f>
        <v>Electricity</v>
      </c>
      <c r="D138" s="12" t="str">
        <f>_yearDol &amp; "$"</f>
        <v>2015$</v>
      </c>
      <c r="E138" s="13">
        <f ca="1">SUMPRODUCT(dFactor,tpSurvRad,INDEX(elecRad,1,6)*allOnes,OFFSET(tPrcElec,0,0,1,_maxLT))</f>
        <v>84370.689020043923</v>
      </c>
      <c r="F138" s="13">
        <f ca="1">SUMPRODUCT(dFactor,tpSurvRad,INDEX(elecRad,1,6)*allOnes,OFFSET(tPrcElec,0,1,1,_maxLT))</f>
        <v>85054.894136601943</v>
      </c>
      <c r="G138" s="13">
        <f ca="1">SUMPRODUCT(dFactor,tpSurvRad,INDEX(elecRad,1,6)*allOnes,OFFSET(tPrcElec,0,2,1,_maxLT))</f>
        <v>85718.653978331742</v>
      </c>
      <c r="H138" s="13">
        <f ca="1">SUMPRODUCT(dFactor,tpSurvRad,INDEX(elecRad,1,6)*allOnes,OFFSET(tPrcElec,0,3,1,_maxLT))</f>
        <v>86317.701621620523</v>
      </c>
      <c r="I138" s="13">
        <f ca="1">SUMPRODUCT(dFactor,tpSurvRad,INDEX(elecRad,1,6)*allOnes,OFFSET(tPrcElec,0,4,1,_maxLT))</f>
        <v>86861.414442627924</v>
      </c>
      <c r="J138" s="13">
        <f ca="1">SUMPRODUCT(dFactor,tpSurvRad,INDEX(elecRad,1,6)*allOnes,OFFSET(tPrcElec,0,5,1,_maxLT))</f>
        <v>87408.625115613962</v>
      </c>
      <c r="K138" s="13">
        <f ca="1">SUMPRODUCT(dFactor,tpSurvRad,INDEX(elecRad,1,6)*allOnes,OFFSET(tPrcElec,0,6,1,_maxLT))</f>
        <v>87959.35667583812</v>
      </c>
      <c r="L138" s="13">
        <f ca="1">SUMPRODUCT(dFactor,tpSurvRad,INDEX(elecRad,1,6)*allOnes,OFFSET(tPrcElec,0,7,1,_maxLT))</f>
        <v>88513.632314063521</v>
      </c>
      <c r="M138" s="13">
        <f ca="1">SUMPRODUCT(dFactor,tpSurvRad,INDEX(elecRad,1,6)*allOnes,OFFSET(tPrcElec,0,8,1,_maxLT))</f>
        <v>89071.475377633207</v>
      </c>
      <c r="N138" s="13">
        <f ca="1">SUMPRODUCT(dFactor,tpSurvRad,INDEX(elecRad,1,6)*allOnes,OFFSET(tPrcElec,0,9,1,_maxLT))</f>
        <v>89632.909371554502</v>
      </c>
      <c r="O138" s="13">
        <f ca="1">SUMPRODUCT(dFactor,tpSurvRad,INDEX(elecRad,1,6)*allOnes,OFFSET(tPrcElec,0,10,1,_maxLT))</f>
        <v>90197.95795959</v>
      </c>
      <c r="P138" s="13">
        <f ca="1">SUMPRODUCT(dFactor,tpSurvRad,INDEX(elecRad,1,6)*allOnes,OFFSET(tPrcElec,0,11,1,_maxLT))</f>
        <v>90766.644965357555</v>
      </c>
      <c r="Q138" s="13">
        <f ca="1">SUMPRODUCT(dFactor,tpSurvRad,INDEX(elecRad,1,6)*allOnes,OFFSET(tPrcElec,0,12,1,_maxLT))</f>
        <v>91338.994373437177</v>
      </c>
      <c r="R138" s="13">
        <f ca="1">SUMPRODUCT(dFactor,tpSurvRad,INDEX(elecRad,1,6)*allOnes,OFFSET(tPrcElec,0,13,1,_maxLT))</f>
        <v>91915.030330485723</v>
      </c>
      <c r="S138" s="13">
        <f ca="1">SUMPRODUCT(dFactor,tpSurvRad,INDEX(elecRad,1,6)*allOnes,OFFSET(tPrcElec,0,14,1,_maxLT))</f>
        <v>92494.777146360255</v>
      </c>
      <c r="T138" s="13">
        <f ca="1">SUMPRODUCT(dFactor,tpSurvRad,INDEX(elecRad,1,6)*allOnes,OFFSET(tPrcElec,0,15,1,_maxLT))</f>
        <v>93078.259295248688</v>
      </c>
      <c r="U138" s="13">
        <f ca="1">SUMPRODUCT(dFactor,tpSurvRad,INDEX(elecRad,1,6)*allOnes,OFFSET(tPrcElec,0,16,1,_maxLT))</f>
        <v>93665.501416808882</v>
      </c>
      <c r="V138" s="13">
        <f ca="1">SUMPRODUCT(dFactor,tpSurvRad,INDEX(elecRad,1,6)*allOnes,OFFSET(tPrcElec,0,17,1,_maxLT))</f>
        <v>94256.528317315446</v>
      </c>
      <c r="W138" s="13">
        <f ca="1">SUMPRODUCT(dFactor,tpSurvRad,INDEX(elecRad,1,6)*allOnes,OFFSET(tPrcElec,0,18,1,_maxLT))</f>
        <v>94851.364970814873</v>
      </c>
      <c r="X138" s="13">
        <f ca="1">SUMPRODUCT(dFactor,tpSurvRad,INDEX(elecRad,1,6)*allOnes,OFFSET(tPrcElec,0,19,1,_maxLT))</f>
        <v>95450.036520289155</v>
      </c>
      <c r="Y138" s="13">
        <f ca="1">SUMPRODUCT(dFactor,tpSurvRad,INDEX(elecRad,1,6)*allOnes,OFFSET(tPrcElec,0,20,1,_maxLT))</f>
        <v>96052.568278826962</v>
      </c>
      <c r="Z138" s="13">
        <f ca="1">SUMPRODUCT(dFactor,tpSurvRad,INDEX(elecRad,1,6)*allOnes,OFFSET(tPrcElec,0,21,1,_maxLT))</f>
        <v>96658.985730803892</v>
      </c>
      <c r="AA138" s="13">
        <f ca="1">SUMPRODUCT(dFactor,tpSurvRad,INDEX(elecRad,1,6)*allOnes,OFFSET(tPrcElec,0,22,1,_maxLT))</f>
        <v>97269.314533070676</v>
      </c>
      <c r="AB138" s="13">
        <f ca="1">SUMPRODUCT(dFactor,tpSurvRad,INDEX(elecRad,1,6)*allOnes,OFFSET(tPrcElec,0,23,1,_maxLT))</f>
        <v>97883.580516149945</v>
      </c>
      <c r="AC138" s="13">
        <f ca="1">SUMPRODUCT(dFactor,tpSurvRad,INDEX(elecRad,1,6)*allOnes,OFFSET(tPrcElec,0,24,1,_maxLT))</f>
        <v>98501.809685441214</v>
      </c>
      <c r="AD138" s="13">
        <f ca="1">SUMPRODUCT(dFactor,tpSurvRad,INDEX(elecRad,1,6)*allOnes,OFFSET(tPrcElec,0,25,1,_maxLT))</f>
        <v>99124.028222435227</v>
      </c>
      <c r="AE138" s="13">
        <f ca="1">SUMPRODUCT(dFactor,tpSurvRad,INDEX(elecRad,1,6)*allOnes,OFFSET(tPrcElec,0,26,1,_maxLT))</f>
        <v>99750.262485935891</v>
      </c>
      <c r="AF138" s="13">
        <f ca="1">SUMPRODUCT(dFactor,tpSurvRad,INDEX(elecRad,1,6)*allOnes,OFFSET(tPrcElec,0,27,1,_maxLT))</f>
        <v>100380.53901329165</v>
      </c>
      <c r="AG138" s="13">
        <f ca="1">SUMPRODUCT(dFactor,tpSurvRad,INDEX(elecRad,1,6)*allOnes,OFFSET(tPrcElec,0,28,1,_maxLT))</f>
        <v>101014.88452163539</v>
      </c>
      <c r="AH138" s="13">
        <f ca="1">SUMPRODUCT(dFactor,tpSurvRad,INDEX(elecRad,1,6)*allOnes,OFFSET(tPrcElec,0,29,1,_maxLT))</f>
        <v>101653.32590913305</v>
      </c>
      <c r="AI138" s="13">
        <f ca="1">SUMPRODUCT(dFactor,tpSurvRad,INDEX(elecRad,1,6)*allOnes,OFFSET(tPrcElec,0,30,1,_maxLT))</f>
        <v>102295.89025624112</v>
      </c>
      <c r="AJ138" s="13">
        <f ca="1">SUMPRODUCT(dFactor,tpSurvRad,INDEX(elecRad,1,6)*allOnes,OFFSET(tPrcElec,0,31,1,_maxLT))</f>
        <v>102942.60482697359</v>
      </c>
      <c r="AK138" s="13">
        <f ca="1">SUMPRODUCT(dFactor,tpSurvRad,INDEX(elecRad,1,6)*allOnes,OFFSET(tPrcElec,0,32,1,_maxLT))</f>
        <v>103593.49707017677</v>
      </c>
      <c r="AL138" s="56">
        <f ca="1">SUMPRODUCT(dFactor,tpSurvRad,INDEX(elecRad,1,6)*allOnes,OFFSET(tPrcElec,0,33,1,_maxLT))</f>
        <v>104248.59462081471</v>
      </c>
      <c r="AM138" s="10"/>
    </row>
    <row r="139" spans="2:39">
      <c r="B139" s="10"/>
      <c r="C139" s="16" t="s">
        <v>79</v>
      </c>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5"/>
      <c r="AM139" s="10"/>
    </row>
    <row r="140" spans="2:39">
      <c r="B140" s="10"/>
      <c r="C140" s="28" t="str">
        <f>INDEX(_fuel,1)</f>
        <v>Electricity</v>
      </c>
      <c r="D140" s="12" t="s">
        <v>83</v>
      </c>
      <c r="E140" s="39">
        <f ca="1">SUMPRODUCT(OFFSET(tConvElecRad,0,0,1,_maxLT),INDEX(elecRad,1,6)*allOnes,tpSurvRad)</f>
        <v>17800.901063172925</v>
      </c>
      <c r="F140" s="39">
        <f ca="1">SUMPRODUCT(OFFSET(tConvElecRad,0,1,1,_maxLT),INDEX(elecRad,1,6)*allOnes,tpSurvRad)</f>
        <v>17682.29076263402</v>
      </c>
      <c r="G140" s="39">
        <f ca="1">SUMPRODUCT(OFFSET(tConvElecRad,0,2,1,_maxLT),INDEX(elecRad,1,6)*allOnes,tpSurvRad)</f>
        <v>17577.338601561798</v>
      </c>
      <c r="H140" s="39">
        <f ca="1">SUMPRODUCT(OFFSET(tConvElecRad,0,3,1,_maxLT),INDEX(elecRad,1,6)*allOnes,tpSurvRad)</f>
        <v>17477.204837605139</v>
      </c>
      <c r="I140" s="39">
        <f ca="1">SUMPRODUCT(OFFSET(tConvElecRad,0,4,1,_maxLT),INDEX(elecRad,1,6)*allOnes,tpSurvRad)</f>
        <v>17389.24992271054</v>
      </c>
      <c r="J140" s="39">
        <f ca="1">SUMPRODUCT(OFFSET(tConvElecRad,0,5,1,_maxLT),INDEX(elecRad,1,6)*allOnes,tpSurvRad)</f>
        <v>17320.705623913153</v>
      </c>
      <c r="K140" s="39">
        <f ca="1">SUMPRODUCT(OFFSET(tConvElecRad,0,6,1,_maxLT),INDEX(elecRad,1,6)*allOnes,tpSurvRad)</f>
        <v>17263.928840433156</v>
      </c>
      <c r="L140" s="39">
        <f ca="1">SUMPRODUCT(OFFSET(tConvElecRad,0,7,1,_maxLT),INDEX(elecRad,1,6)*allOnes,tpSurvRad)</f>
        <v>17206.596986539327</v>
      </c>
      <c r="M140" s="39">
        <f ca="1">SUMPRODUCT(OFFSET(tConvElecRad,0,8,1,_maxLT),INDEX(elecRad,1,6)*allOnes,tpSurvRad)</f>
        <v>17160.363971491646</v>
      </c>
      <c r="N140" s="39">
        <f ca="1">SUMPRODUCT(OFFSET(tConvElecRad,0,9,1,_maxLT),INDEX(elecRad,1,6)*allOnes,tpSurvRad)</f>
        <v>17128.129368320497</v>
      </c>
      <c r="O140" s="39">
        <f ca="1">SUMPRODUCT(OFFSET(tConvElecRad,0,10,1,_maxLT),INDEX(elecRad,1,6)*allOnes,tpSurvRad)</f>
        <v>17104.177670773304</v>
      </c>
      <c r="P140" s="39">
        <f ca="1">SUMPRODUCT(OFFSET(tConvElecRad,0,11,1,_maxLT),INDEX(elecRad,1,6)*allOnes,tpSurvRad)</f>
        <v>17083.835110563683</v>
      </c>
      <c r="Q140" s="39">
        <f ca="1">SUMPRODUCT(OFFSET(tConvElecRad,0,12,1,_maxLT),INDEX(elecRad,1,6)*allOnes,tpSurvRad)</f>
        <v>17068.657770018541</v>
      </c>
      <c r="R140" s="39">
        <f ca="1">SUMPRODUCT(OFFSET(tConvElecRad,0,13,1,_maxLT),INDEX(elecRad,1,6)*allOnes,tpSurvRad)</f>
        <v>17056.978062297057</v>
      </c>
      <c r="S140" s="39">
        <f ca="1">SUMPRODUCT(OFFSET(tConvElecRad,0,14,1,_maxLT),INDEX(elecRad,1,6)*allOnes,tpSurvRad)</f>
        <v>17054.863137933829</v>
      </c>
      <c r="T140" s="39">
        <f ca="1">SUMPRODUCT(OFFSET(tConvElecRad,0,15,1,_maxLT),INDEX(elecRad,1,6)*allOnes,tpSurvRad)</f>
        <v>17056.810213220982</v>
      </c>
      <c r="U140" s="39">
        <f ca="1">SUMPRODUCT(OFFSET(tConvElecRad,0,16,1,_maxLT),INDEX(elecRad,1,6)*allOnes,tpSurvRad)</f>
        <v>17060.025997475394</v>
      </c>
      <c r="V140" s="39">
        <f ca="1">SUMPRODUCT(OFFSET(tConvElecRad,0,17,1,_maxLT),INDEX(elecRad,1,6)*allOnes,tpSurvRad)</f>
        <v>17064.990046445237</v>
      </c>
      <c r="W140" s="39">
        <f ca="1">SUMPRODUCT(OFFSET(tConvElecRad,0,18,1,_maxLT),INDEX(elecRad,1,6)*allOnes,tpSurvRad)</f>
        <v>17069.830975728557</v>
      </c>
      <c r="X140" s="39">
        <f ca="1">SUMPRODUCT(OFFSET(tConvElecRad,0,19,1,_maxLT),INDEX(elecRad,1,6)*allOnes,tpSurvRad)</f>
        <v>17073.87146718632</v>
      </c>
      <c r="Y140" s="39">
        <f ca="1">SUMPRODUCT(OFFSET(tConvElecRad,0,20,1,_maxLT),INDEX(elecRad,1,6)*allOnes,tpSurvRad)</f>
        <v>17076.559858085613</v>
      </c>
      <c r="Z140" s="39">
        <f ca="1">SUMPRODUCT(OFFSET(tConvElecRad,0,21,1,_maxLT),INDEX(elecRad,1,6)*allOnes,tpSurvRad)</f>
        <v>17078.395936350935</v>
      </c>
      <c r="AA140" s="39">
        <f ca="1">SUMPRODUCT(OFFSET(tConvElecRad,0,22,1,_maxLT),INDEX(elecRad,1,6)*allOnes,tpSurvRad)</f>
        <v>17078.395936350935</v>
      </c>
      <c r="AB140" s="39">
        <f ca="1">SUMPRODUCT(OFFSET(tConvElecRad,0,23,1,_maxLT),INDEX(elecRad,1,6)*allOnes,tpSurvRad)</f>
        <v>17078.395936350935</v>
      </c>
      <c r="AC140" s="39">
        <f ca="1">SUMPRODUCT(OFFSET(tConvElecRad,0,24,1,_maxLT),INDEX(elecRad,1,6)*allOnes,tpSurvRad)</f>
        <v>17078.395936350935</v>
      </c>
      <c r="AD140" s="39">
        <f ca="1">SUMPRODUCT(OFFSET(tConvElecRad,0,25,1,_maxLT),INDEX(elecRad,1,6)*allOnes,tpSurvRad)</f>
        <v>17078.395936350935</v>
      </c>
      <c r="AE140" s="39">
        <f ca="1">SUMPRODUCT(OFFSET(tConvElecRad,0,26,1,_maxLT),INDEX(elecRad,1,6)*allOnes,tpSurvRad)</f>
        <v>17078.395936350935</v>
      </c>
      <c r="AF140" s="39">
        <f ca="1">SUMPRODUCT(OFFSET(tConvElecRad,0,27,1,_maxLT),INDEX(elecRad,1,6)*allOnes,tpSurvRad)</f>
        <v>17078.395936350935</v>
      </c>
      <c r="AG140" s="39">
        <f ca="1">SUMPRODUCT(OFFSET(tConvElecRad,0,28,1,_maxLT),INDEX(elecRad,1,6)*allOnes,tpSurvRad)</f>
        <v>17078.395936350935</v>
      </c>
      <c r="AH140" s="39">
        <f ca="1">SUMPRODUCT(OFFSET(tConvElecRad,0,29,1,_maxLT),INDEX(elecRad,1,6)*allOnes,tpSurvRad)</f>
        <v>17078.395936350935</v>
      </c>
      <c r="AI140" s="39">
        <f ca="1">SUMPRODUCT(OFFSET(tConvElecRad,0,30,1,_maxLT),INDEX(elecRad,1,6)*allOnes,tpSurvRad)</f>
        <v>17078.395936350935</v>
      </c>
      <c r="AJ140" s="39">
        <f ca="1">SUMPRODUCT(OFFSET(tConvElecRad,0,31,1,_maxLT),INDEX(elecRad,1,6)*allOnes,tpSurvRad)</f>
        <v>17078.395936350935</v>
      </c>
      <c r="AK140" s="39">
        <f ca="1">SUMPRODUCT(OFFSET(tConvElecRad,0,32,1,_maxLT),INDEX(elecRad,1,6)*allOnes,tpSurvRad)</f>
        <v>17078.395936350935</v>
      </c>
      <c r="AL140" s="40">
        <f ca="1">SUMPRODUCT(OFFSET(tConvElecRad,0,33,1,_maxLT),INDEX(elecRad,1,6)*allOnes,tpSurvRad)</f>
        <v>17078.395936350935</v>
      </c>
      <c r="AM140" s="10"/>
    </row>
    <row r="141" spans="2:39">
      <c r="B141" s="10"/>
      <c r="C141" s="57" t="str">
        <f>"EL 6: " &amp; INDEX(_doName,6,7)</f>
        <v>EL 6: EL 6</v>
      </c>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3"/>
      <c r="AM141" s="10"/>
    </row>
    <row r="142" spans="2:39">
      <c r="B142" s="10"/>
      <c r="C142" s="16" t="s">
        <v>69</v>
      </c>
      <c r="D142" s="12" t="str">
        <f>_yearDol &amp; "$"</f>
        <v>2015$</v>
      </c>
      <c r="E142" s="13">
        <f t="array" ref="E142:AL142">INDEX(mspRad,1,7)*tPIdxAll + INDEX(instRad,1,7) + IF(bESav,SUMPRODUCT(dFactor,tpSurvRad,INDEX(mrRad,1,7)*allOnes),0)</f>
        <v>1891.6428018076101</v>
      </c>
      <c r="F142" s="13">
        <v>1891.6428018076101</v>
      </c>
      <c r="G142" s="13">
        <v>1891.6428018076101</v>
      </c>
      <c r="H142" s="13">
        <v>1891.6428018076101</v>
      </c>
      <c r="I142" s="13">
        <v>1891.6428018076101</v>
      </c>
      <c r="J142" s="13">
        <v>1891.6428018076101</v>
      </c>
      <c r="K142" s="13">
        <v>1891.6428018076101</v>
      </c>
      <c r="L142" s="13">
        <v>1891.6428018076101</v>
      </c>
      <c r="M142" s="13">
        <v>1891.6428018076101</v>
      </c>
      <c r="N142" s="13">
        <v>1891.6428018076101</v>
      </c>
      <c r="O142" s="13">
        <v>1891.6428018076101</v>
      </c>
      <c r="P142" s="13">
        <v>1891.6428018076101</v>
      </c>
      <c r="Q142" s="13">
        <v>1891.6428018076101</v>
      </c>
      <c r="R142" s="13">
        <v>1891.6428018076101</v>
      </c>
      <c r="S142" s="13">
        <v>1891.6428018076101</v>
      </c>
      <c r="T142" s="13">
        <v>1891.6428018076101</v>
      </c>
      <c r="U142" s="13">
        <v>1891.6428018076101</v>
      </c>
      <c r="V142" s="13">
        <v>1891.6428018076101</v>
      </c>
      <c r="W142" s="13">
        <v>1891.6428018076101</v>
      </c>
      <c r="X142" s="13">
        <v>1891.6428018076101</v>
      </c>
      <c r="Y142" s="13">
        <v>1891.6428018076101</v>
      </c>
      <c r="Z142" s="13">
        <v>1891.6428018076101</v>
      </c>
      <c r="AA142" s="13">
        <v>1891.6428018076101</v>
      </c>
      <c r="AB142" s="13">
        <v>1891.6428018076101</v>
      </c>
      <c r="AC142" s="13">
        <v>1891.6428018076101</v>
      </c>
      <c r="AD142" s="13">
        <v>1891.6428018076101</v>
      </c>
      <c r="AE142" s="13">
        <v>1891.6428018076101</v>
      </c>
      <c r="AF142" s="13">
        <v>1891.6428018076101</v>
      </c>
      <c r="AG142" s="13">
        <v>1891.6428018076101</v>
      </c>
      <c r="AH142" s="13">
        <v>1891.6428018076101</v>
      </c>
      <c r="AI142" s="13">
        <v>1891.6428018076101</v>
      </c>
      <c r="AJ142" s="13">
        <v>1891.6428018076101</v>
      </c>
      <c r="AK142" s="13">
        <v>1891.6428018076101</v>
      </c>
      <c r="AL142" s="56">
        <v>1891.6428018076101</v>
      </c>
      <c r="AM142" s="10"/>
    </row>
    <row r="143" spans="2:39">
      <c r="B143" s="10"/>
      <c r="C143" s="16" t="str">
        <f>zEO&amp;" Costs"</f>
        <v>Operating Costs</v>
      </c>
      <c r="D143" s="12" t="str">
        <f>_yearDol &amp; "$"</f>
        <v>2015$</v>
      </c>
      <c r="E143" s="13">
        <f t="array" aca="1" ref="E143:AL143" ca="1">(tlccEFuElecbc6) + IF(bOSav,SUMPRODUCT(dFactor,tpSurvRad,INDEX(mrRad,1,7)*allOnes),0)</f>
        <v>47661.235288373544</v>
      </c>
      <c r="F143" s="13">
        <f ca="1"/>
        <v>48047.744648727748</v>
      </c>
      <c r="G143" s="13">
        <f ca="1"/>
        <v>48422.70441685462</v>
      </c>
      <c r="H143" s="13">
        <f ca="1"/>
        <v>48761.108085324704</v>
      </c>
      <c r="I143" s="13">
        <f ca="1"/>
        <v>49068.25295983415</v>
      </c>
      <c r="J143" s="13">
        <f ca="1"/>
        <v>49377.373780588641</v>
      </c>
      <c r="K143" s="13">
        <f ca="1"/>
        <v>49688.483560269822</v>
      </c>
      <c r="L143" s="13">
        <f ca="1"/>
        <v>50001.595399403879</v>
      </c>
      <c r="M143" s="13">
        <f ca="1"/>
        <v>50316.722486969404</v>
      </c>
      <c r="N143" s="13">
        <f ca="1"/>
        <v>50633.878101009876</v>
      </c>
      <c r="O143" s="13">
        <f ca="1"/>
        <v>50953.075609250329</v>
      </c>
      <c r="P143" s="13">
        <f ca="1"/>
        <v>51274.328469718152</v>
      </c>
      <c r="Q143" s="13">
        <f ca="1"/>
        <v>51597.650231368818</v>
      </c>
      <c r="R143" s="13">
        <f ca="1"/>
        <v>51923.054534715571</v>
      </c>
      <c r="S143" s="13">
        <f ca="1"/>
        <v>52250.555112463815</v>
      </c>
      <c r="T143" s="13">
        <f ca="1"/>
        <v>52580.165790149913</v>
      </c>
      <c r="U143" s="13">
        <f ca="1"/>
        <v>52911.900486784602</v>
      </c>
      <c r="V143" s="13">
        <f ca="1"/>
        <v>53245.773215500929</v>
      </c>
      <c r="W143" s="13">
        <f ca="1"/>
        <v>53581.798084206814</v>
      </c>
      <c r="X143" s="13">
        <f ca="1"/>
        <v>53919.989296242216</v>
      </c>
      <c r="Y143" s="13">
        <f ca="1"/>
        <v>54260.361151040808</v>
      </c>
      <c r="Z143" s="13">
        <f ca="1"/>
        <v>54602.92804479679</v>
      </c>
      <c r="AA143" s="13">
        <f ca="1"/>
        <v>54947.704471136014</v>
      </c>
      <c r="AB143" s="13">
        <f ca="1"/>
        <v>55294.70502179204</v>
      </c>
      <c r="AC143" s="13">
        <f ca="1"/>
        <v>55643.944387286967</v>
      </c>
      <c r="AD143" s="13">
        <f ca="1"/>
        <v>55995.437357617113</v>
      </c>
      <c r="AE143" s="13">
        <f ca="1"/>
        <v>56349.198822943668</v>
      </c>
      <c r="AF143" s="13">
        <f ca="1"/>
        <v>56705.243774288203</v>
      </c>
      <c r="AG143" s="13">
        <f ca="1"/>
        <v>57063.587304232737</v>
      </c>
      <c r="AH143" s="13">
        <f ca="1"/>
        <v>57424.2446076255</v>
      </c>
      <c r="AI143" s="13">
        <f ca="1"/>
        <v>57787.230982291308</v>
      </c>
      <c r="AJ143" s="13">
        <f ca="1"/>
        <v>58152.561829746832</v>
      </c>
      <c r="AK143" s="13">
        <f ca="1"/>
        <v>58520.252655921242</v>
      </c>
      <c r="AL143" s="56">
        <f ca="1"/>
        <v>58890.319071882033</v>
      </c>
      <c r="AM143" s="10"/>
    </row>
    <row r="144" spans="2:39">
      <c r="B144" s="10"/>
      <c r="C144" s="28" t="str">
        <f>INDEX(_fuel,1)</f>
        <v>Electricity</v>
      </c>
      <c r="D144" s="12" t="str">
        <f>_yearDol &amp; "$"</f>
        <v>2015$</v>
      </c>
      <c r="E144" s="13">
        <f ca="1">SUMPRODUCT(dFactor,tpSurvRad,INDEX(elecRad,1,7)*allOnes,OFFSET(tPrcElec,0,0,1,_maxLT))</f>
        <v>47661.235288373544</v>
      </c>
      <c r="F144" s="13">
        <f ca="1">SUMPRODUCT(dFactor,tpSurvRad,INDEX(elecRad,1,7)*allOnes,OFFSET(tPrcElec,0,1,1,_maxLT))</f>
        <v>48047.744648727748</v>
      </c>
      <c r="G144" s="13">
        <f ca="1">SUMPRODUCT(dFactor,tpSurvRad,INDEX(elecRad,1,7)*allOnes,OFFSET(tPrcElec,0,2,1,_maxLT))</f>
        <v>48422.70441685462</v>
      </c>
      <c r="H144" s="13">
        <f ca="1">SUMPRODUCT(dFactor,tpSurvRad,INDEX(elecRad,1,7)*allOnes,OFFSET(tPrcElec,0,3,1,_maxLT))</f>
        <v>48761.108085324704</v>
      </c>
      <c r="I144" s="13">
        <f ca="1">SUMPRODUCT(dFactor,tpSurvRad,INDEX(elecRad,1,7)*allOnes,OFFSET(tPrcElec,0,4,1,_maxLT))</f>
        <v>49068.25295983415</v>
      </c>
      <c r="J144" s="13">
        <f ca="1">SUMPRODUCT(dFactor,tpSurvRad,INDEX(elecRad,1,7)*allOnes,OFFSET(tPrcElec,0,5,1,_maxLT))</f>
        <v>49377.373780588641</v>
      </c>
      <c r="K144" s="13">
        <f ca="1">SUMPRODUCT(dFactor,tpSurvRad,INDEX(elecRad,1,7)*allOnes,OFFSET(tPrcElec,0,6,1,_maxLT))</f>
        <v>49688.483560269822</v>
      </c>
      <c r="L144" s="13">
        <f ca="1">SUMPRODUCT(dFactor,tpSurvRad,INDEX(elecRad,1,7)*allOnes,OFFSET(tPrcElec,0,7,1,_maxLT))</f>
        <v>50001.595399403879</v>
      </c>
      <c r="M144" s="13">
        <f ca="1">SUMPRODUCT(dFactor,tpSurvRad,INDEX(elecRad,1,7)*allOnes,OFFSET(tPrcElec,0,8,1,_maxLT))</f>
        <v>50316.722486969404</v>
      </c>
      <c r="N144" s="13">
        <f ca="1">SUMPRODUCT(dFactor,tpSurvRad,INDEX(elecRad,1,7)*allOnes,OFFSET(tPrcElec,0,9,1,_maxLT))</f>
        <v>50633.878101009876</v>
      </c>
      <c r="O144" s="13">
        <f ca="1">SUMPRODUCT(dFactor,tpSurvRad,INDEX(elecRad,1,7)*allOnes,OFFSET(tPrcElec,0,10,1,_maxLT))</f>
        <v>50953.075609250329</v>
      </c>
      <c r="P144" s="13">
        <f ca="1">SUMPRODUCT(dFactor,tpSurvRad,INDEX(elecRad,1,7)*allOnes,OFFSET(tPrcElec,0,11,1,_maxLT))</f>
        <v>51274.328469718152</v>
      </c>
      <c r="Q144" s="13">
        <f ca="1">SUMPRODUCT(dFactor,tpSurvRad,INDEX(elecRad,1,7)*allOnes,OFFSET(tPrcElec,0,12,1,_maxLT))</f>
        <v>51597.650231368818</v>
      </c>
      <c r="R144" s="13">
        <f ca="1">SUMPRODUCT(dFactor,tpSurvRad,INDEX(elecRad,1,7)*allOnes,OFFSET(tPrcElec,0,13,1,_maxLT))</f>
        <v>51923.054534715571</v>
      </c>
      <c r="S144" s="13">
        <f ca="1">SUMPRODUCT(dFactor,tpSurvRad,INDEX(elecRad,1,7)*allOnes,OFFSET(tPrcElec,0,14,1,_maxLT))</f>
        <v>52250.555112463815</v>
      </c>
      <c r="T144" s="13">
        <f ca="1">SUMPRODUCT(dFactor,tpSurvRad,INDEX(elecRad,1,7)*allOnes,OFFSET(tPrcElec,0,15,1,_maxLT))</f>
        <v>52580.165790149913</v>
      </c>
      <c r="U144" s="13">
        <f ca="1">SUMPRODUCT(dFactor,tpSurvRad,INDEX(elecRad,1,7)*allOnes,OFFSET(tPrcElec,0,16,1,_maxLT))</f>
        <v>52911.900486784602</v>
      </c>
      <c r="V144" s="13">
        <f ca="1">SUMPRODUCT(dFactor,tpSurvRad,INDEX(elecRad,1,7)*allOnes,OFFSET(tPrcElec,0,17,1,_maxLT))</f>
        <v>53245.773215500929</v>
      </c>
      <c r="W144" s="13">
        <f ca="1">SUMPRODUCT(dFactor,tpSurvRad,INDEX(elecRad,1,7)*allOnes,OFFSET(tPrcElec,0,18,1,_maxLT))</f>
        <v>53581.798084206814</v>
      </c>
      <c r="X144" s="13">
        <f ca="1">SUMPRODUCT(dFactor,tpSurvRad,INDEX(elecRad,1,7)*allOnes,OFFSET(tPrcElec,0,19,1,_maxLT))</f>
        <v>53919.989296242216</v>
      </c>
      <c r="Y144" s="13">
        <f ca="1">SUMPRODUCT(dFactor,tpSurvRad,INDEX(elecRad,1,7)*allOnes,OFFSET(tPrcElec,0,20,1,_maxLT))</f>
        <v>54260.361151040808</v>
      </c>
      <c r="Z144" s="13">
        <f ca="1">SUMPRODUCT(dFactor,tpSurvRad,INDEX(elecRad,1,7)*allOnes,OFFSET(tPrcElec,0,21,1,_maxLT))</f>
        <v>54602.92804479679</v>
      </c>
      <c r="AA144" s="13">
        <f ca="1">SUMPRODUCT(dFactor,tpSurvRad,INDEX(elecRad,1,7)*allOnes,OFFSET(tPrcElec,0,22,1,_maxLT))</f>
        <v>54947.704471136014</v>
      </c>
      <c r="AB144" s="13">
        <f ca="1">SUMPRODUCT(dFactor,tpSurvRad,INDEX(elecRad,1,7)*allOnes,OFFSET(tPrcElec,0,23,1,_maxLT))</f>
        <v>55294.70502179204</v>
      </c>
      <c r="AC144" s="13">
        <f ca="1">SUMPRODUCT(dFactor,tpSurvRad,INDEX(elecRad,1,7)*allOnes,OFFSET(tPrcElec,0,24,1,_maxLT))</f>
        <v>55643.944387286967</v>
      </c>
      <c r="AD144" s="13">
        <f ca="1">SUMPRODUCT(dFactor,tpSurvRad,INDEX(elecRad,1,7)*allOnes,OFFSET(tPrcElec,0,25,1,_maxLT))</f>
        <v>55995.437357617113</v>
      </c>
      <c r="AE144" s="13">
        <f ca="1">SUMPRODUCT(dFactor,tpSurvRad,INDEX(elecRad,1,7)*allOnes,OFFSET(tPrcElec,0,26,1,_maxLT))</f>
        <v>56349.198822943668</v>
      </c>
      <c r="AF144" s="13">
        <f ca="1">SUMPRODUCT(dFactor,tpSurvRad,INDEX(elecRad,1,7)*allOnes,OFFSET(tPrcElec,0,27,1,_maxLT))</f>
        <v>56705.243774288203</v>
      </c>
      <c r="AG144" s="13">
        <f ca="1">SUMPRODUCT(dFactor,tpSurvRad,INDEX(elecRad,1,7)*allOnes,OFFSET(tPrcElec,0,28,1,_maxLT))</f>
        <v>57063.587304232737</v>
      </c>
      <c r="AH144" s="13">
        <f ca="1">SUMPRODUCT(dFactor,tpSurvRad,INDEX(elecRad,1,7)*allOnes,OFFSET(tPrcElec,0,29,1,_maxLT))</f>
        <v>57424.2446076255</v>
      </c>
      <c r="AI144" s="13">
        <f ca="1">SUMPRODUCT(dFactor,tpSurvRad,INDEX(elecRad,1,7)*allOnes,OFFSET(tPrcElec,0,30,1,_maxLT))</f>
        <v>57787.230982291308</v>
      </c>
      <c r="AJ144" s="13">
        <f ca="1">SUMPRODUCT(dFactor,tpSurvRad,INDEX(elecRad,1,7)*allOnes,OFFSET(tPrcElec,0,31,1,_maxLT))</f>
        <v>58152.561829746832</v>
      </c>
      <c r="AK144" s="13">
        <f ca="1">SUMPRODUCT(dFactor,tpSurvRad,INDEX(elecRad,1,7)*allOnes,OFFSET(tPrcElec,0,32,1,_maxLT))</f>
        <v>58520.252655921242</v>
      </c>
      <c r="AL144" s="56">
        <f ca="1">SUMPRODUCT(dFactor,tpSurvRad,INDEX(elecRad,1,7)*allOnes,OFFSET(tPrcElec,0,33,1,_maxLT))</f>
        <v>58890.319071882033</v>
      </c>
      <c r="AM144" s="10"/>
    </row>
    <row r="145" spans="2:39">
      <c r="B145" s="10"/>
      <c r="C145" s="16" t="s">
        <v>79</v>
      </c>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5"/>
      <c r="AM145" s="10"/>
    </row>
    <row r="146" spans="2:39">
      <c r="B146" s="10"/>
      <c r="C146" s="28" t="str">
        <f>INDEX(_fuel,1)</f>
        <v>Electricity</v>
      </c>
      <c r="D146" s="12" t="s">
        <v>83</v>
      </c>
      <c r="E146" s="39">
        <f ca="1">SUMPRODUCT(OFFSET(tConvElecRad,0,0,1,_maxLT),INDEX(elecRad,1,7)*allOnes,tpSurvRad)</f>
        <v>10055.778182816377</v>
      </c>
      <c r="F146" s="39">
        <f ca="1">SUMPRODUCT(OFFSET(tConvElecRad,0,1,1,_maxLT),INDEX(elecRad,1,7)*allOnes,tpSurvRad)</f>
        <v>9988.7748963993799</v>
      </c>
      <c r="G146" s="39">
        <f ca="1">SUMPRODUCT(OFFSET(tConvElecRad,0,2,1,_maxLT),INDEX(elecRad,1,7)*allOnes,tpSurvRad)</f>
        <v>9929.4871306956047</v>
      </c>
      <c r="H146" s="39">
        <f ca="1">SUMPRODUCT(OFFSET(tConvElecRad,0,3,1,_maxLT),INDEX(elecRad,1,7)*allOnes,tpSurvRad)</f>
        <v>9872.9212908324862</v>
      </c>
      <c r="I146" s="39">
        <f ca="1">SUMPRODUCT(OFFSET(tConvElecRad,0,4,1,_maxLT),INDEX(elecRad,1,7)*allOnes,tpSurvRad)</f>
        <v>9823.2353164467077</v>
      </c>
      <c r="J146" s="39">
        <f ca="1">SUMPRODUCT(OFFSET(tConvElecRad,0,5,1,_maxLT),INDEX(elecRad,1,7)*allOnes,tpSurvRad)</f>
        <v>9784.5144527130615</v>
      </c>
      <c r="K146" s="39">
        <f ca="1">SUMPRODUCT(OFFSET(tConvElecRad,0,6,1,_maxLT),INDEX(elecRad,1,7)*allOnes,tpSurvRad)</f>
        <v>9752.4410908881455</v>
      </c>
      <c r="L146" s="39">
        <f ca="1">SUMPRODUCT(OFFSET(tConvElecRad,0,7,1,_maxLT),INDEX(elecRad,1,7)*allOnes,tpSurvRad)</f>
        <v>9720.0541682531639</v>
      </c>
      <c r="M146" s="39">
        <f ca="1">SUMPRODUCT(OFFSET(tConvElecRad,0,8,1,_maxLT),INDEX(elecRad,1,7)*allOnes,tpSurvRad)</f>
        <v>9693.9370103411929</v>
      </c>
      <c r="N146" s="39">
        <f ca="1">SUMPRODUCT(OFFSET(tConvElecRad,0,9,1,_maxLT),INDEX(elecRad,1,7)*allOnes,tpSurvRad)</f>
        <v>9675.7275939667161</v>
      </c>
      <c r="O146" s="39">
        <f ca="1">SUMPRODUCT(OFFSET(tConvElecRad,0,10,1,_maxLT),INDEX(elecRad,1,7)*allOnes,tpSurvRad)</f>
        <v>9662.1972138594538</v>
      </c>
      <c r="P146" s="39">
        <f ca="1">SUMPRODUCT(OFFSET(tConvElecRad,0,11,1,_maxLT),INDEX(elecRad,1,7)*allOnes,tpSurvRad)</f>
        <v>9650.7056454038684</v>
      </c>
      <c r="Q146" s="39">
        <f ca="1">SUMPRODUCT(OFFSET(tConvElecRad,0,12,1,_maxLT),INDEX(elecRad,1,7)*allOnes,tpSurvRad)</f>
        <v>9642.1319238048673</v>
      </c>
      <c r="R146" s="39">
        <f ca="1">SUMPRODUCT(OFFSET(tConvElecRad,0,13,1,_maxLT),INDEX(elecRad,1,7)*allOnes,tpSurvRad)</f>
        <v>9635.534024649618</v>
      </c>
      <c r="S146" s="39">
        <f ca="1">SUMPRODUCT(OFFSET(tConvElecRad,0,14,1,_maxLT),INDEX(elecRad,1,7)*allOnes,tpSurvRad)</f>
        <v>9634.3392980346798</v>
      </c>
      <c r="T146" s="39">
        <f ca="1">SUMPRODUCT(OFFSET(tConvElecRad,0,15,1,_maxLT),INDEX(elecRad,1,7)*allOnes,tpSurvRad)</f>
        <v>9635.4392062428888</v>
      </c>
      <c r="U146" s="39">
        <f ca="1">SUMPRODUCT(OFFSET(tConvElecRad,0,16,1,_maxLT),INDEX(elecRad,1,7)*allOnes,tpSurvRad)</f>
        <v>9637.2558116513101</v>
      </c>
      <c r="V146" s="39">
        <f ca="1">SUMPRODUCT(OFFSET(tConvElecRad,0,17,1,_maxLT),INDEX(elecRad,1,7)*allOnes,tpSurvRad)</f>
        <v>9640.0600166267886</v>
      </c>
      <c r="W146" s="39">
        <f ca="1">SUMPRODUCT(OFFSET(tConvElecRad,0,18,1,_maxLT),INDEX(elecRad,1,7)*allOnes,tpSurvRad)</f>
        <v>9642.7946709512544</v>
      </c>
      <c r="X146" s="39">
        <f ca="1">SUMPRODUCT(OFFSET(tConvElecRad,0,19,1,_maxLT),INDEX(elecRad,1,7)*allOnes,tpSurvRad)</f>
        <v>9645.0771557369753</v>
      </c>
      <c r="Y146" s="39">
        <f ca="1">SUMPRODUCT(OFFSET(tConvElecRad,0,20,1,_maxLT),INDEX(elecRad,1,7)*allOnes,tpSurvRad)</f>
        <v>9646.5958351822501</v>
      </c>
      <c r="Z146" s="39">
        <f ca="1">SUMPRODUCT(OFFSET(tConvElecRad,0,21,1,_maxLT),INDEX(elecRad,1,7)*allOnes,tpSurvRad)</f>
        <v>9647.6330408662125</v>
      </c>
      <c r="AA146" s="39">
        <f ca="1">SUMPRODUCT(OFFSET(tConvElecRad,0,22,1,_maxLT),INDEX(elecRad,1,7)*allOnes,tpSurvRad)</f>
        <v>9647.6330408662125</v>
      </c>
      <c r="AB146" s="39">
        <f ca="1">SUMPRODUCT(OFFSET(tConvElecRad,0,23,1,_maxLT),INDEX(elecRad,1,7)*allOnes,tpSurvRad)</f>
        <v>9647.6330408662125</v>
      </c>
      <c r="AC146" s="39">
        <f ca="1">SUMPRODUCT(OFFSET(tConvElecRad,0,24,1,_maxLT),INDEX(elecRad,1,7)*allOnes,tpSurvRad)</f>
        <v>9647.6330408662125</v>
      </c>
      <c r="AD146" s="39">
        <f ca="1">SUMPRODUCT(OFFSET(tConvElecRad,0,25,1,_maxLT),INDEX(elecRad,1,7)*allOnes,tpSurvRad)</f>
        <v>9647.6330408662125</v>
      </c>
      <c r="AE146" s="39">
        <f ca="1">SUMPRODUCT(OFFSET(tConvElecRad,0,26,1,_maxLT),INDEX(elecRad,1,7)*allOnes,tpSurvRad)</f>
        <v>9647.6330408662125</v>
      </c>
      <c r="AF146" s="39">
        <f ca="1">SUMPRODUCT(OFFSET(tConvElecRad,0,27,1,_maxLT),INDEX(elecRad,1,7)*allOnes,tpSurvRad)</f>
        <v>9647.6330408662125</v>
      </c>
      <c r="AG146" s="39">
        <f ca="1">SUMPRODUCT(OFFSET(tConvElecRad,0,28,1,_maxLT),INDEX(elecRad,1,7)*allOnes,tpSurvRad)</f>
        <v>9647.6330408662125</v>
      </c>
      <c r="AH146" s="39">
        <f ca="1">SUMPRODUCT(OFFSET(tConvElecRad,0,29,1,_maxLT),INDEX(elecRad,1,7)*allOnes,tpSurvRad)</f>
        <v>9647.6330408662125</v>
      </c>
      <c r="AI146" s="39">
        <f ca="1">SUMPRODUCT(OFFSET(tConvElecRad,0,30,1,_maxLT),INDEX(elecRad,1,7)*allOnes,tpSurvRad)</f>
        <v>9647.6330408662125</v>
      </c>
      <c r="AJ146" s="39">
        <f ca="1">SUMPRODUCT(OFFSET(tConvElecRad,0,31,1,_maxLT),INDEX(elecRad,1,7)*allOnes,tpSurvRad)</f>
        <v>9647.6330408662125</v>
      </c>
      <c r="AK146" s="39">
        <f ca="1">SUMPRODUCT(OFFSET(tConvElecRad,0,32,1,_maxLT),INDEX(elecRad,1,7)*allOnes,tpSurvRad)</f>
        <v>9647.6330408662125</v>
      </c>
      <c r="AL146" s="40">
        <f ca="1">SUMPRODUCT(OFFSET(tConvElecRad,0,33,1,_maxLT),INDEX(elecRad,1,7)*allOnes,tpSurvRad)</f>
        <v>9647.6330408662125</v>
      </c>
      <c r="AM146" s="10"/>
    </row>
    <row r="147" spans="2:39">
      <c r="B147" s="10"/>
      <c r="C147" s="41" t="str">
        <f ca="1">"Std (CSL " &amp; stdCSL &amp; "): " &amp; INDEX(_doName,6,stdCSL+1)</f>
        <v>Std (CSL 5): EL 5</v>
      </c>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3"/>
      <c r="AM147" s="10"/>
    </row>
    <row r="148" spans="2:39">
      <c r="B148" s="10"/>
      <c r="C148" s="57" t="str">
        <f>"EL 0: " &amp; INDEX(_doName,6,1)</f>
        <v>EL 0: EL 5</v>
      </c>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3"/>
      <c r="AM148" s="10"/>
    </row>
    <row r="149" spans="2:39">
      <c r="B149" s="10"/>
      <c r="C149" s="16" t="s">
        <v>69</v>
      </c>
      <c r="D149" s="12" t="str">
        <f>_yearDol &amp; "$"</f>
        <v>2015$</v>
      </c>
      <c r="E149" s="13">
        <f t="array" aca="1" ref="E149:AL149" ca="1">INDEX(mspRad,stdCSL+1,1)*tPIdxAll + INDEX(instRad,stdCSL+1,1) + IF(bESav,SUMPRODUCT(dFactor,tpSurvRad,INDEX(mrRad,stdCSL+1,1)*allOnes),0)</f>
        <v>0</v>
      </c>
      <c r="F149" s="13">
        <f ca="1"/>
        <v>0</v>
      </c>
      <c r="G149" s="13">
        <f ca="1"/>
        <v>0</v>
      </c>
      <c r="H149" s="13">
        <f ca="1"/>
        <v>0</v>
      </c>
      <c r="I149" s="13">
        <f ca="1"/>
        <v>0</v>
      </c>
      <c r="J149" s="13">
        <f ca="1"/>
        <v>0</v>
      </c>
      <c r="K149" s="13">
        <f ca="1"/>
        <v>0</v>
      </c>
      <c r="L149" s="13">
        <f ca="1"/>
        <v>0</v>
      </c>
      <c r="M149" s="13">
        <f ca="1"/>
        <v>0</v>
      </c>
      <c r="N149" s="13">
        <f ca="1"/>
        <v>0</v>
      </c>
      <c r="O149" s="13">
        <f ca="1"/>
        <v>0</v>
      </c>
      <c r="P149" s="13">
        <f ca="1"/>
        <v>0</v>
      </c>
      <c r="Q149" s="13">
        <f ca="1"/>
        <v>0</v>
      </c>
      <c r="R149" s="13">
        <f ca="1"/>
        <v>0</v>
      </c>
      <c r="S149" s="13">
        <f ca="1"/>
        <v>0</v>
      </c>
      <c r="T149" s="13">
        <f ca="1"/>
        <v>0</v>
      </c>
      <c r="U149" s="13">
        <f ca="1"/>
        <v>0</v>
      </c>
      <c r="V149" s="13">
        <f ca="1"/>
        <v>0</v>
      </c>
      <c r="W149" s="13">
        <f ca="1"/>
        <v>0</v>
      </c>
      <c r="X149" s="13">
        <f ca="1"/>
        <v>0</v>
      </c>
      <c r="Y149" s="13">
        <f ca="1"/>
        <v>0</v>
      </c>
      <c r="Z149" s="13">
        <f ca="1"/>
        <v>0</v>
      </c>
      <c r="AA149" s="13">
        <f ca="1"/>
        <v>0</v>
      </c>
      <c r="AB149" s="13">
        <f ca="1"/>
        <v>0</v>
      </c>
      <c r="AC149" s="13">
        <f ca="1"/>
        <v>0</v>
      </c>
      <c r="AD149" s="13">
        <f ca="1"/>
        <v>0</v>
      </c>
      <c r="AE149" s="13">
        <f ca="1"/>
        <v>0</v>
      </c>
      <c r="AF149" s="13">
        <f ca="1"/>
        <v>0</v>
      </c>
      <c r="AG149" s="13">
        <f ca="1"/>
        <v>0</v>
      </c>
      <c r="AH149" s="13">
        <f ca="1"/>
        <v>0</v>
      </c>
      <c r="AI149" s="13">
        <f ca="1"/>
        <v>0</v>
      </c>
      <c r="AJ149" s="13">
        <f ca="1"/>
        <v>0</v>
      </c>
      <c r="AK149" s="13">
        <f ca="1"/>
        <v>0</v>
      </c>
      <c r="AL149" s="56">
        <f ca="1"/>
        <v>0</v>
      </c>
      <c r="AM149" s="10"/>
    </row>
    <row r="150" spans="2:39">
      <c r="B150" s="10"/>
      <c r="C150" s="16" t="str">
        <f>zEO&amp;" Costs"</f>
        <v>Operating Costs</v>
      </c>
      <c r="D150" s="12" t="str">
        <f>_yearDol &amp; "$"</f>
        <v>2015$</v>
      </c>
      <c r="E150" s="13">
        <f t="array" aca="1" ref="E150:AL150" ca="1">(tlccEFuElecpol0) + IF(bOSav,SUMPRODUCT(dFactor,tpSurvRad,INDEX(mrRad,stdCSL+1,1)*allOnes),0)</f>
        <v>0</v>
      </c>
      <c r="F150" s="13">
        <f ca="1"/>
        <v>0</v>
      </c>
      <c r="G150" s="13">
        <f ca="1"/>
        <v>0</v>
      </c>
      <c r="H150" s="13">
        <f ca="1"/>
        <v>0</v>
      </c>
      <c r="I150" s="13">
        <f ca="1"/>
        <v>0</v>
      </c>
      <c r="J150" s="13">
        <f ca="1"/>
        <v>0</v>
      </c>
      <c r="K150" s="13">
        <f ca="1"/>
        <v>0</v>
      </c>
      <c r="L150" s="13">
        <f ca="1"/>
        <v>0</v>
      </c>
      <c r="M150" s="13">
        <f ca="1"/>
        <v>0</v>
      </c>
      <c r="N150" s="13">
        <f ca="1"/>
        <v>0</v>
      </c>
      <c r="O150" s="13">
        <f ca="1"/>
        <v>0</v>
      </c>
      <c r="P150" s="13">
        <f ca="1"/>
        <v>0</v>
      </c>
      <c r="Q150" s="13">
        <f ca="1"/>
        <v>0</v>
      </c>
      <c r="R150" s="13">
        <f ca="1"/>
        <v>0</v>
      </c>
      <c r="S150" s="13">
        <f ca="1"/>
        <v>0</v>
      </c>
      <c r="T150" s="13">
        <f ca="1"/>
        <v>0</v>
      </c>
      <c r="U150" s="13">
        <f ca="1"/>
        <v>0</v>
      </c>
      <c r="V150" s="13">
        <f ca="1"/>
        <v>0</v>
      </c>
      <c r="W150" s="13">
        <f ca="1"/>
        <v>0</v>
      </c>
      <c r="X150" s="13">
        <f ca="1"/>
        <v>0</v>
      </c>
      <c r="Y150" s="13">
        <f ca="1"/>
        <v>0</v>
      </c>
      <c r="Z150" s="13">
        <f ca="1"/>
        <v>0</v>
      </c>
      <c r="AA150" s="13">
        <f ca="1"/>
        <v>0</v>
      </c>
      <c r="AB150" s="13">
        <f ca="1"/>
        <v>0</v>
      </c>
      <c r="AC150" s="13">
        <f ca="1"/>
        <v>0</v>
      </c>
      <c r="AD150" s="13">
        <f ca="1"/>
        <v>0</v>
      </c>
      <c r="AE150" s="13">
        <f ca="1"/>
        <v>0</v>
      </c>
      <c r="AF150" s="13">
        <f ca="1"/>
        <v>0</v>
      </c>
      <c r="AG150" s="13">
        <f ca="1"/>
        <v>0</v>
      </c>
      <c r="AH150" s="13">
        <f ca="1"/>
        <v>0</v>
      </c>
      <c r="AI150" s="13">
        <f ca="1"/>
        <v>0</v>
      </c>
      <c r="AJ150" s="13">
        <f ca="1"/>
        <v>0</v>
      </c>
      <c r="AK150" s="13">
        <f ca="1"/>
        <v>0</v>
      </c>
      <c r="AL150" s="56">
        <f ca="1"/>
        <v>0</v>
      </c>
      <c r="AM150" s="10"/>
    </row>
    <row r="151" spans="2:39">
      <c r="B151" s="10"/>
      <c r="C151" s="28" t="str">
        <f>INDEX(_fuel,1)</f>
        <v>Electricity</v>
      </c>
      <c r="D151" s="12" t="str">
        <f>_yearDol &amp; "$"</f>
        <v>2015$</v>
      </c>
      <c r="E151" s="13">
        <f ca="1">SUMPRODUCT(dFactor,tpSurvRad,INDEX(elecRad,stdCSL+1,1)*allOnes,OFFSET(tPrcElec,0,0,1,_maxLT))</f>
        <v>0</v>
      </c>
      <c r="F151" s="13">
        <f ca="1">SUMPRODUCT(dFactor,tpSurvRad,INDEX(elecRad,stdCSL+1,1)*allOnes,OFFSET(tPrcElec,0,1,1,_maxLT))</f>
        <v>0</v>
      </c>
      <c r="G151" s="13">
        <f ca="1">SUMPRODUCT(dFactor,tpSurvRad,INDEX(elecRad,stdCSL+1,1)*allOnes,OFFSET(tPrcElec,0,2,1,_maxLT))</f>
        <v>0</v>
      </c>
      <c r="H151" s="13">
        <f ca="1">SUMPRODUCT(dFactor,tpSurvRad,INDEX(elecRad,stdCSL+1,1)*allOnes,OFFSET(tPrcElec,0,3,1,_maxLT))</f>
        <v>0</v>
      </c>
      <c r="I151" s="13">
        <f ca="1">SUMPRODUCT(dFactor,tpSurvRad,INDEX(elecRad,stdCSL+1,1)*allOnes,OFFSET(tPrcElec,0,4,1,_maxLT))</f>
        <v>0</v>
      </c>
      <c r="J151" s="13">
        <f ca="1">SUMPRODUCT(dFactor,tpSurvRad,INDEX(elecRad,stdCSL+1,1)*allOnes,OFFSET(tPrcElec,0,5,1,_maxLT))</f>
        <v>0</v>
      </c>
      <c r="K151" s="13">
        <f ca="1">SUMPRODUCT(dFactor,tpSurvRad,INDEX(elecRad,stdCSL+1,1)*allOnes,OFFSET(tPrcElec,0,6,1,_maxLT))</f>
        <v>0</v>
      </c>
      <c r="L151" s="13">
        <f ca="1">SUMPRODUCT(dFactor,tpSurvRad,INDEX(elecRad,stdCSL+1,1)*allOnes,OFFSET(tPrcElec,0,7,1,_maxLT))</f>
        <v>0</v>
      </c>
      <c r="M151" s="13">
        <f ca="1">SUMPRODUCT(dFactor,tpSurvRad,INDEX(elecRad,stdCSL+1,1)*allOnes,OFFSET(tPrcElec,0,8,1,_maxLT))</f>
        <v>0</v>
      </c>
      <c r="N151" s="13">
        <f ca="1">SUMPRODUCT(dFactor,tpSurvRad,INDEX(elecRad,stdCSL+1,1)*allOnes,OFFSET(tPrcElec,0,9,1,_maxLT))</f>
        <v>0</v>
      </c>
      <c r="O151" s="13">
        <f ca="1">SUMPRODUCT(dFactor,tpSurvRad,INDEX(elecRad,stdCSL+1,1)*allOnes,OFFSET(tPrcElec,0,10,1,_maxLT))</f>
        <v>0</v>
      </c>
      <c r="P151" s="13">
        <f ca="1">SUMPRODUCT(dFactor,tpSurvRad,INDEX(elecRad,stdCSL+1,1)*allOnes,OFFSET(tPrcElec,0,11,1,_maxLT))</f>
        <v>0</v>
      </c>
      <c r="Q151" s="13">
        <f ca="1">SUMPRODUCT(dFactor,tpSurvRad,INDEX(elecRad,stdCSL+1,1)*allOnes,OFFSET(tPrcElec,0,12,1,_maxLT))</f>
        <v>0</v>
      </c>
      <c r="R151" s="13">
        <f ca="1">SUMPRODUCT(dFactor,tpSurvRad,INDEX(elecRad,stdCSL+1,1)*allOnes,OFFSET(tPrcElec,0,13,1,_maxLT))</f>
        <v>0</v>
      </c>
      <c r="S151" s="13">
        <f ca="1">SUMPRODUCT(dFactor,tpSurvRad,INDEX(elecRad,stdCSL+1,1)*allOnes,OFFSET(tPrcElec,0,14,1,_maxLT))</f>
        <v>0</v>
      </c>
      <c r="T151" s="13">
        <f ca="1">SUMPRODUCT(dFactor,tpSurvRad,INDEX(elecRad,stdCSL+1,1)*allOnes,OFFSET(tPrcElec,0,15,1,_maxLT))</f>
        <v>0</v>
      </c>
      <c r="U151" s="13">
        <f ca="1">SUMPRODUCT(dFactor,tpSurvRad,INDEX(elecRad,stdCSL+1,1)*allOnes,OFFSET(tPrcElec,0,16,1,_maxLT))</f>
        <v>0</v>
      </c>
      <c r="V151" s="13">
        <f ca="1">SUMPRODUCT(dFactor,tpSurvRad,INDEX(elecRad,stdCSL+1,1)*allOnes,OFFSET(tPrcElec,0,17,1,_maxLT))</f>
        <v>0</v>
      </c>
      <c r="W151" s="13">
        <f ca="1">SUMPRODUCT(dFactor,tpSurvRad,INDEX(elecRad,stdCSL+1,1)*allOnes,OFFSET(tPrcElec,0,18,1,_maxLT))</f>
        <v>0</v>
      </c>
      <c r="X151" s="13">
        <f ca="1">SUMPRODUCT(dFactor,tpSurvRad,INDEX(elecRad,stdCSL+1,1)*allOnes,OFFSET(tPrcElec,0,19,1,_maxLT))</f>
        <v>0</v>
      </c>
      <c r="Y151" s="13">
        <f ca="1">SUMPRODUCT(dFactor,tpSurvRad,INDEX(elecRad,stdCSL+1,1)*allOnes,OFFSET(tPrcElec,0,20,1,_maxLT))</f>
        <v>0</v>
      </c>
      <c r="Z151" s="13">
        <f ca="1">SUMPRODUCT(dFactor,tpSurvRad,INDEX(elecRad,stdCSL+1,1)*allOnes,OFFSET(tPrcElec,0,21,1,_maxLT))</f>
        <v>0</v>
      </c>
      <c r="AA151" s="13">
        <f ca="1">SUMPRODUCT(dFactor,tpSurvRad,INDEX(elecRad,stdCSL+1,1)*allOnes,OFFSET(tPrcElec,0,22,1,_maxLT))</f>
        <v>0</v>
      </c>
      <c r="AB151" s="13">
        <f ca="1">SUMPRODUCT(dFactor,tpSurvRad,INDEX(elecRad,stdCSL+1,1)*allOnes,OFFSET(tPrcElec,0,23,1,_maxLT))</f>
        <v>0</v>
      </c>
      <c r="AC151" s="13">
        <f ca="1">SUMPRODUCT(dFactor,tpSurvRad,INDEX(elecRad,stdCSL+1,1)*allOnes,OFFSET(tPrcElec,0,24,1,_maxLT))</f>
        <v>0</v>
      </c>
      <c r="AD151" s="13">
        <f ca="1">SUMPRODUCT(dFactor,tpSurvRad,INDEX(elecRad,stdCSL+1,1)*allOnes,OFFSET(tPrcElec,0,25,1,_maxLT))</f>
        <v>0</v>
      </c>
      <c r="AE151" s="13">
        <f ca="1">SUMPRODUCT(dFactor,tpSurvRad,INDEX(elecRad,stdCSL+1,1)*allOnes,OFFSET(tPrcElec,0,26,1,_maxLT))</f>
        <v>0</v>
      </c>
      <c r="AF151" s="13">
        <f ca="1">SUMPRODUCT(dFactor,tpSurvRad,INDEX(elecRad,stdCSL+1,1)*allOnes,OFFSET(tPrcElec,0,27,1,_maxLT))</f>
        <v>0</v>
      </c>
      <c r="AG151" s="13">
        <f ca="1">SUMPRODUCT(dFactor,tpSurvRad,INDEX(elecRad,stdCSL+1,1)*allOnes,OFFSET(tPrcElec,0,28,1,_maxLT))</f>
        <v>0</v>
      </c>
      <c r="AH151" s="13">
        <f ca="1">SUMPRODUCT(dFactor,tpSurvRad,INDEX(elecRad,stdCSL+1,1)*allOnes,OFFSET(tPrcElec,0,29,1,_maxLT))</f>
        <v>0</v>
      </c>
      <c r="AI151" s="13">
        <f ca="1">SUMPRODUCT(dFactor,tpSurvRad,INDEX(elecRad,stdCSL+1,1)*allOnes,OFFSET(tPrcElec,0,30,1,_maxLT))</f>
        <v>0</v>
      </c>
      <c r="AJ151" s="13">
        <f ca="1">SUMPRODUCT(dFactor,tpSurvRad,INDEX(elecRad,stdCSL+1,1)*allOnes,OFFSET(tPrcElec,0,31,1,_maxLT))</f>
        <v>0</v>
      </c>
      <c r="AK151" s="13">
        <f ca="1">SUMPRODUCT(dFactor,tpSurvRad,INDEX(elecRad,stdCSL+1,1)*allOnes,OFFSET(tPrcElec,0,32,1,_maxLT))</f>
        <v>0</v>
      </c>
      <c r="AL151" s="56">
        <f ca="1">SUMPRODUCT(dFactor,tpSurvRad,INDEX(elecRad,stdCSL+1,1)*allOnes,OFFSET(tPrcElec,0,33,1,_maxLT))</f>
        <v>0</v>
      </c>
      <c r="AM151" s="10"/>
    </row>
    <row r="152" spans="2:39">
      <c r="B152" s="10"/>
      <c r="C152" s="16" t="s">
        <v>79</v>
      </c>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5"/>
      <c r="AM152" s="10"/>
    </row>
    <row r="153" spans="2:39">
      <c r="B153" s="10"/>
      <c r="C153" s="28" t="str">
        <f>INDEX(_fuel,1)</f>
        <v>Electricity</v>
      </c>
      <c r="D153" s="12" t="s">
        <v>83</v>
      </c>
      <c r="E153" s="39">
        <f ca="1">SUMPRODUCT(OFFSET(tConvElecRad,0,0,1,_maxLT),INDEX(elecRad,stdCSL+1,1)*allOnes,tpSurvRad)</f>
        <v>0</v>
      </c>
      <c r="F153" s="39">
        <f ca="1">SUMPRODUCT(OFFSET(tConvElecRad,0,1,1,_maxLT),INDEX(elecRad,stdCSL+1,1)*allOnes,tpSurvRad)</f>
        <v>0</v>
      </c>
      <c r="G153" s="39">
        <f ca="1">SUMPRODUCT(OFFSET(tConvElecRad,0,2,1,_maxLT),INDEX(elecRad,stdCSL+1,1)*allOnes,tpSurvRad)</f>
        <v>0</v>
      </c>
      <c r="H153" s="39">
        <f ca="1">SUMPRODUCT(OFFSET(tConvElecRad,0,3,1,_maxLT),INDEX(elecRad,stdCSL+1,1)*allOnes,tpSurvRad)</f>
        <v>0</v>
      </c>
      <c r="I153" s="39">
        <f ca="1">SUMPRODUCT(OFFSET(tConvElecRad,0,4,1,_maxLT),INDEX(elecRad,stdCSL+1,1)*allOnes,tpSurvRad)</f>
        <v>0</v>
      </c>
      <c r="J153" s="39">
        <f ca="1">SUMPRODUCT(OFFSET(tConvElecRad,0,5,1,_maxLT),INDEX(elecRad,stdCSL+1,1)*allOnes,tpSurvRad)</f>
        <v>0</v>
      </c>
      <c r="K153" s="39">
        <f ca="1">SUMPRODUCT(OFFSET(tConvElecRad,0,6,1,_maxLT),INDEX(elecRad,stdCSL+1,1)*allOnes,tpSurvRad)</f>
        <v>0</v>
      </c>
      <c r="L153" s="39">
        <f ca="1">SUMPRODUCT(OFFSET(tConvElecRad,0,7,1,_maxLT),INDEX(elecRad,stdCSL+1,1)*allOnes,tpSurvRad)</f>
        <v>0</v>
      </c>
      <c r="M153" s="39">
        <f ca="1">SUMPRODUCT(OFFSET(tConvElecRad,0,8,1,_maxLT),INDEX(elecRad,stdCSL+1,1)*allOnes,tpSurvRad)</f>
        <v>0</v>
      </c>
      <c r="N153" s="39">
        <f ca="1">SUMPRODUCT(OFFSET(tConvElecRad,0,9,1,_maxLT),INDEX(elecRad,stdCSL+1,1)*allOnes,tpSurvRad)</f>
        <v>0</v>
      </c>
      <c r="O153" s="39">
        <f ca="1">SUMPRODUCT(OFFSET(tConvElecRad,0,10,1,_maxLT),INDEX(elecRad,stdCSL+1,1)*allOnes,tpSurvRad)</f>
        <v>0</v>
      </c>
      <c r="P153" s="39">
        <f ca="1">SUMPRODUCT(OFFSET(tConvElecRad,0,11,1,_maxLT),INDEX(elecRad,stdCSL+1,1)*allOnes,tpSurvRad)</f>
        <v>0</v>
      </c>
      <c r="Q153" s="39">
        <f ca="1">SUMPRODUCT(OFFSET(tConvElecRad,0,12,1,_maxLT),INDEX(elecRad,stdCSL+1,1)*allOnes,tpSurvRad)</f>
        <v>0</v>
      </c>
      <c r="R153" s="39">
        <f ca="1">SUMPRODUCT(OFFSET(tConvElecRad,0,13,1,_maxLT),INDEX(elecRad,stdCSL+1,1)*allOnes,tpSurvRad)</f>
        <v>0</v>
      </c>
      <c r="S153" s="39">
        <f ca="1">SUMPRODUCT(OFFSET(tConvElecRad,0,14,1,_maxLT),INDEX(elecRad,stdCSL+1,1)*allOnes,tpSurvRad)</f>
        <v>0</v>
      </c>
      <c r="T153" s="39">
        <f ca="1">SUMPRODUCT(OFFSET(tConvElecRad,0,15,1,_maxLT),INDEX(elecRad,stdCSL+1,1)*allOnes,tpSurvRad)</f>
        <v>0</v>
      </c>
      <c r="U153" s="39">
        <f ca="1">SUMPRODUCT(OFFSET(tConvElecRad,0,16,1,_maxLT),INDEX(elecRad,stdCSL+1,1)*allOnes,tpSurvRad)</f>
        <v>0</v>
      </c>
      <c r="V153" s="39">
        <f ca="1">SUMPRODUCT(OFFSET(tConvElecRad,0,17,1,_maxLT),INDEX(elecRad,stdCSL+1,1)*allOnes,tpSurvRad)</f>
        <v>0</v>
      </c>
      <c r="W153" s="39">
        <f ca="1">SUMPRODUCT(OFFSET(tConvElecRad,0,18,1,_maxLT),INDEX(elecRad,stdCSL+1,1)*allOnes,tpSurvRad)</f>
        <v>0</v>
      </c>
      <c r="X153" s="39">
        <f ca="1">SUMPRODUCT(OFFSET(tConvElecRad,0,19,1,_maxLT),INDEX(elecRad,stdCSL+1,1)*allOnes,tpSurvRad)</f>
        <v>0</v>
      </c>
      <c r="Y153" s="39">
        <f ca="1">SUMPRODUCT(OFFSET(tConvElecRad,0,20,1,_maxLT),INDEX(elecRad,stdCSL+1,1)*allOnes,tpSurvRad)</f>
        <v>0</v>
      </c>
      <c r="Z153" s="39">
        <f ca="1">SUMPRODUCT(OFFSET(tConvElecRad,0,21,1,_maxLT),INDEX(elecRad,stdCSL+1,1)*allOnes,tpSurvRad)</f>
        <v>0</v>
      </c>
      <c r="AA153" s="39">
        <f ca="1">SUMPRODUCT(OFFSET(tConvElecRad,0,22,1,_maxLT),INDEX(elecRad,stdCSL+1,1)*allOnes,tpSurvRad)</f>
        <v>0</v>
      </c>
      <c r="AB153" s="39">
        <f ca="1">SUMPRODUCT(OFFSET(tConvElecRad,0,23,1,_maxLT),INDEX(elecRad,stdCSL+1,1)*allOnes,tpSurvRad)</f>
        <v>0</v>
      </c>
      <c r="AC153" s="39">
        <f ca="1">SUMPRODUCT(OFFSET(tConvElecRad,0,24,1,_maxLT),INDEX(elecRad,stdCSL+1,1)*allOnes,tpSurvRad)</f>
        <v>0</v>
      </c>
      <c r="AD153" s="39">
        <f ca="1">SUMPRODUCT(OFFSET(tConvElecRad,0,25,1,_maxLT),INDEX(elecRad,stdCSL+1,1)*allOnes,tpSurvRad)</f>
        <v>0</v>
      </c>
      <c r="AE153" s="39">
        <f ca="1">SUMPRODUCT(OFFSET(tConvElecRad,0,26,1,_maxLT),INDEX(elecRad,stdCSL+1,1)*allOnes,tpSurvRad)</f>
        <v>0</v>
      </c>
      <c r="AF153" s="39">
        <f ca="1">SUMPRODUCT(OFFSET(tConvElecRad,0,27,1,_maxLT),INDEX(elecRad,stdCSL+1,1)*allOnes,tpSurvRad)</f>
        <v>0</v>
      </c>
      <c r="AG153" s="39">
        <f ca="1">SUMPRODUCT(OFFSET(tConvElecRad,0,28,1,_maxLT),INDEX(elecRad,stdCSL+1,1)*allOnes,tpSurvRad)</f>
        <v>0</v>
      </c>
      <c r="AH153" s="39">
        <f ca="1">SUMPRODUCT(OFFSET(tConvElecRad,0,29,1,_maxLT),INDEX(elecRad,stdCSL+1,1)*allOnes,tpSurvRad)</f>
        <v>0</v>
      </c>
      <c r="AI153" s="39">
        <f ca="1">SUMPRODUCT(OFFSET(tConvElecRad,0,30,1,_maxLT),INDEX(elecRad,stdCSL+1,1)*allOnes,tpSurvRad)</f>
        <v>0</v>
      </c>
      <c r="AJ153" s="39">
        <f ca="1">SUMPRODUCT(OFFSET(tConvElecRad,0,31,1,_maxLT),INDEX(elecRad,stdCSL+1,1)*allOnes,tpSurvRad)</f>
        <v>0</v>
      </c>
      <c r="AK153" s="39">
        <f ca="1">SUMPRODUCT(OFFSET(tConvElecRad,0,32,1,_maxLT),INDEX(elecRad,stdCSL+1,1)*allOnes,tpSurvRad)</f>
        <v>0</v>
      </c>
      <c r="AL153" s="40">
        <f ca="1">SUMPRODUCT(OFFSET(tConvElecRad,0,33,1,_maxLT),INDEX(elecRad,stdCSL+1,1)*allOnes,tpSurvRad)</f>
        <v>0</v>
      </c>
      <c r="AM153" s="10"/>
    </row>
    <row r="154" spans="2:39">
      <c r="B154" s="10"/>
      <c r="C154" s="57" t="str">
        <f>"EL 1: " &amp; INDEX(_doName,6,2)</f>
        <v>EL 1: EL 1</v>
      </c>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3"/>
      <c r="AM154" s="10"/>
    </row>
    <row r="155" spans="2:39">
      <c r="B155" s="10"/>
      <c r="C155" s="16" t="s">
        <v>69</v>
      </c>
      <c r="D155" s="12" t="str">
        <f>_yearDol &amp; "$"</f>
        <v>2015$</v>
      </c>
      <c r="E155" s="13">
        <f t="array" aca="1" ref="E155:AL155" ca="1">INDEX(mspRad,stdCSL+1,2)*tPIdxAll + INDEX(instRad,stdCSL+1,2) + IF(bESav,SUMPRODUCT(dFactor,tpSurvRad,INDEX(mrRad,stdCSL+1,2)*allOnes),0)</f>
        <v>0</v>
      </c>
      <c r="F155" s="13">
        <f ca="1"/>
        <v>0</v>
      </c>
      <c r="G155" s="13">
        <f ca="1"/>
        <v>0</v>
      </c>
      <c r="H155" s="13">
        <f ca="1"/>
        <v>0</v>
      </c>
      <c r="I155" s="13">
        <f ca="1"/>
        <v>0</v>
      </c>
      <c r="J155" s="13">
        <f ca="1"/>
        <v>0</v>
      </c>
      <c r="K155" s="13">
        <f ca="1"/>
        <v>0</v>
      </c>
      <c r="L155" s="13">
        <f ca="1"/>
        <v>0</v>
      </c>
      <c r="M155" s="13">
        <f ca="1"/>
        <v>0</v>
      </c>
      <c r="N155" s="13">
        <f ca="1"/>
        <v>0</v>
      </c>
      <c r="O155" s="13">
        <f ca="1"/>
        <v>0</v>
      </c>
      <c r="P155" s="13">
        <f ca="1"/>
        <v>0</v>
      </c>
      <c r="Q155" s="13">
        <f ca="1"/>
        <v>0</v>
      </c>
      <c r="R155" s="13">
        <f ca="1"/>
        <v>0</v>
      </c>
      <c r="S155" s="13">
        <f ca="1"/>
        <v>0</v>
      </c>
      <c r="T155" s="13">
        <f ca="1"/>
        <v>0</v>
      </c>
      <c r="U155" s="13">
        <f ca="1"/>
        <v>0</v>
      </c>
      <c r="V155" s="13">
        <f ca="1"/>
        <v>0</v>
      </c>
      <c r="W155" s="13">
        <f ca="1"/>
        <v>0</v>
      </c>
      <c r="X155" s="13">
        <f ca="1"/>
        <v>0</v>
      </c>
      <c r="Y155" s="13">
        <f ca="1"/>
        <v>0</v>
      </c>
      <c r="Z155" s="13">
        <f ca="1"/>
        <v>0</v>
      </c>
      <c r="AA155" s="13">
        <f ca="1"/>
        <v>0</v>
      </c>
      <c r="AB155" s="13">
        <f ca="1"/>
        <v>0</v>
      </c>
      <c r="AC155" s="13">
        <f ca="1"/>
        <v>0</v>
      </c>
      <c r="AD155" s="13">
        <f ca="1"/>
        <v>0</v>
      </c>
      <c r="AE155" s="13">
        <f ca="1"/>
        <v>0</v>
      </c>
      <c r="AF155" s="13">
        <f ca="1"/>
        <v>0</v>
      </c>
      <c r="AG155" s="13">
        <f ca="1"/>
        <v>0</v>
      </c>
      <c r="AH155" s="13">
        <f ca="1"/>
        <v>0</v>
      </c>
      <c r="AI155" s="13">
        <f ca="1"/>
        <v>0</v>
      </c>
      <c r="AJ155" s="13">
        <f ca="1"/>
        <v>0</v>
      </c>
      <c r="AK155" s="13">
        <f ca="1"/>
        <v>0</v>
      </c>
      <c r="AL155" s="56">
        <f ca="1"/>
        <v>0</v>
      </c>
      <c r="AM155" s="10"/>
    </row>
    <row r="156" spans="2:39">
      <c r="B156" s="10"/>
      <c r="C156" s="16" t="str">
        <f>zEO&amp;" Costs"</f>
        <v>Operating Costs</v>
      </c>
      <c r="D156" s="12" t="str">
        <f>_yearDol &amp; "$"</f>
        <v>2015$</v>
      </c>
      <c r="E156" s="13">
        <f t="array" aca="1" ref="E156:AL156" ca="1">(tlccEFuElecpol1) + IF(bOSav,SUMPRODUCT(dFactor,tpSurvRad,INDEX(mrRad,stdCSL+1,2)*allOnes),0)</f>
        <v>0</v>
      </c>
      <c r="F156" s="13">
        <f ca="1"/>
        <v>0</v>
      </c>
      <c r="G156" s="13">
        <f ca="1"/>
        <v>0</v>
      </c>
      <c r="H156" s="13">
        <f ca="1"/>
        <v>0</v>
      </c>
      <c r="I156" s="13">
        <f ca="1"/>
        <v>0</v>
      </c>
      <c r="J156" s="13">
        <f ca="1"/>
        <v>0</v>
      </c>
      <c r="K156" s="13">
        <f ca="1"/>
        <v>0</v>
      </c>
      <c r="L156" s="13">
        <f ca="1"/>
        <v>0</v>
      </c>
      <c r="M156" s="13">
        <f ca="1"/>
        <v>0</v>
      </c>
      <c r="N156" s="13">
        <f ca="1"/>
        <v>0</v>
      </c>
      <c r="O156" s="13">
        <f ca="1"/>
        <v>0</v>
      </c>
      <c r="P156" s="13">
        <f ca="1"/>
        <v>0</v>
      </c>
      <c r="Q156" s="13">
        <f ca="1"/>
        <v>0</v>
      </c>
      <c r="R156" s="13">
        <f ca="1"/>
        <v>0</v>
      </c>
      <c r="S156" s="13">
        <f ca="1"/>
        <v>0</v>
      </c>
      <c r="T156" s="13">
        <f ca="1"/>
        <v>0</v>
      </c>
      <c r="U156" s="13">
        <f ca="1"/>
        <v>0</v>
      </c>
      <c r="V156" s="13">
        <f ca="1"/>
        <v>0</v>
      </c>
      <c r="W156" s="13">
        <f ca="1"/>
        <v>0</v>
      </c>
      <c r="X156" s="13">
        <f ca="1"/>
        <v>0</v>
      </c>
      <c r="Y156" s="13">
        <f ca="1"/>
        <v>0</v>
      </c>
      <c r="Z156" s="13">
        <f ca="1"/>
        <v>0</v>
      </c>
      <c r="AA156" s="13">
        <f ca="1"/>
        <v>0</v>
      </c>
      <c r="AB156" s="13">
        <f ca="1"/>
        <v>0</v>
      </c>
      <c r="AC156" s="13">
        <f ca="1"/>
        <v>0</v>
      </c>
      <c r="AD156" s="13">
        <f ca="1"/>
        <v>0</v>
      </c>
      <c r="AE156" s="13">
        <f ca="1"/>
        <v>0</v>
      </c>
      <c r="AF156" s="13">
        <f ca="1"/>
        <v>0</v>
      </c>
      <c r="AG156" s="13">
        <f ca="1"/>
        <v>0</v>
      </c>
      <c r="AH156" s="13">
        <f ca="1"/>
        <v>0</v>
      </c>
      <c r="AI156" s="13">
        <f ca="1"/>
        <v>0</v>
      </c>
      <c r="AJ156" s="13">
        <f ca="1"/>
        <v>0</v>
      </c>
      <c r="AK156" s="13">
        <f ca="1"/>
        <v>0</v>
      </c>
      <c r="AL156" s="56">
        <f ca="1"/>
        <v>0</v>
      </c>
      <c r="AM156" s="10"/>
    </row>
    <row r="157" spans="2:39">
      <c r="B157" s="10"/>
      <c r="C157" s="28" t="str">
        <f>INDEX(_fuel,1)</f>
        <v>Electricity</v>
      </c>
      <c r="D157" s="12" t="str">
        <f>_yearDol &amp; "$"</f>
        <v>2015$</v>
      </c>
      <c r="E157" s="13">
        <f ca="1">SUMPRODUCT(dFactor,tpSurvRad,INDEX(elecRad,stdCSL+1,2)*allOnes,OFFSET(tPrcElec,0,0,1,_maxLT))</f>
        <v>0</v>
      </c>
      <c r="F157" s="13">
        <f ca="1">SUMPRODUCT(dFactor,tpSurvRad,INDEX(elecRad,stdCSL+1,2)*allOnes,OFFSET(tPrcElec,0,1,1,_maxLT))</f>
        <v>0</v>
      </c>
      <c r="G157" s="13">
        <f ca="1">SUMPRODUCT(dFactor,tpSurvRad,INDEX(elecRad,stdCSL+1,2)*allOnes,OFFSET(tPrcElec,0,2,1,_maxLT))</f>
        <v>0</v>
      </c>
      <c r="H157" s="13">
        <f ca="1">SUMPRODUCT(dFactor,tpSurvRad,INDEX(elecRad,stdCSL+1,2)*allOnes,OFFSET(tPrcElec,0,3,1,_maxLT))</f>
        <v>0</v>
      </c>
      <c r="I157" s="13">
        <f ca="1">SUMPRODUCT(dFactor,tpSurvRad,INDEX(elecRad,stdCSL+1,2)*allOnes,OFFSET(tPrcElec,0,4,1,_maxLT))</f>
        <v>0</v>
      </c>
      <c r="J157" s="13">
        <f ca="1">SUMPRODUCT(dFactor,tpSurvRad,INDEX(elecRad,stdCSL+1,2)*allOnes,OFFSET(tPrcElec,0,5,1,_maxLT))</f>
        <v>0</v>
      </c>
      <c r="K157" s="13">
        <f ca="1">SUMPRODUCT(dFactor,tpSurvRad,INDEX(elecRad,stdCSL+1,2)*allOnes,OFFSET(tPrcElec,0,6,1,_maxLT))</f>
        <v>0</v>
      </c>
      <c r="L157" s="13">
        <f ca="1">SUMPRODUCT(dFactor,tpSurvRad,INDEX(elecRad,stdCSL+1,2)*allOnes,OFFSET(tPrcElec,0,7,1,_maxLT))</f>
        <v>0</v>
      </c>
      <c r="M157" s="13">
        <f ca="1">SUMPRODUCT(dFactor,tpSurvRad,INDEX(elecRad,stdCSL+1,2)*allOnes,OFFSET(tPrcElec,0,8,1,_maxLT))</f>
        <v>0</v>
      </c>
      <c r="N157" s="13">
        <f ca="1">SUMPRODUCT(dFactor,tpSurvRad,INDEX(elecRad,stdCSL+1,2)*allOnes,OFFSET(tPrcElec,0,9,1,_maxLT))</f>
        <v>0</v>
      </c>
      <c r="O157" s="13">
        <f ca="1">SUMPRODUCT(dFactor,tpSurvRad,INDEX(elecRad,stdCSL+1,2)*allOnes,OFFSET(tPrcElec,0,10,1,_maxLT))</f>
        <v>0</v>
      </c>
      <c r="P157" s="13">
        <f ca="1">SUMPRODUCT(dFactor,tpSurvRad,INDEX(elecRad,stdCSL+1,2)*allOnes,OFFSET(tPrcElec,0,11,1,_maxLT))</f>
        <v>0</v>
      </c>
      <c r="Q157" s="13">
        <f ca="1">SUMPRODUCT(dFactor,tpSurvRad,INDEX(elecRad,stdCSL+1,2)*allOnes,OFFSET(tPrcElec,0,12,1,_maxLT))</f>
        <v>0</v>
      </c>
      <c r="R157" s="13">
        <f ca="1">SUMPRODUCT(dFactor,tpSurvRad,INDEX(elecRad,stdCSL+1,2)*allOnes,OFFSET(tPrcElec,0,13,1,_maxLT))</f>
        <v>0</v>
      </c>
      <c r="S157" s="13">
        <f ca="1">SUMPRODUCT(dFactor,tpSurvRad,INDEX(elecRad,stdCSL+1,2)*allOnes,OFFSET(tPrcElec,0,14,1,_maxLT))</f>
        <v>0</v>
      </c>
      <c r="T157" s="13">
        <f ca="1">SUMPRODUCT(dFactor,tpSurvRad,INDEX(elecRad,stdCSL+1,2)*allOnes,OFFSET(tPrcElec,0,15,1,_maxLT))</f>
        <v>0</v>
      </c>
      <c r="U157" s="13">
        <f ca="1">SUMPRODUCT(dFactor,tpSurvRad,INDEX(elecRad,stdCSL+1,2)*allOnes,OFFSET(tPrcElec,0,16,1,_maxLT))</f>
        <v>0</v>
      </c>
      <c r="V157" s="13">
        <f ca="1">SUMPRODUCT(dFactor,tpSurvRad,INDEX(elecRad,stdCSL+1,2)*allOnes,OFFSET(tPrcElec,0,17,1,_maxLT))</f>
        <v>0</v>
      </c>
      <c r="W157" s="13">
        <f ca="1">SUMPRODUCT(dFactor,tpSurvRad,INDEX(elecRad,stdCSL+1,2)*allOnes,OFFSET(tPrcElec,0,18,1,_maxLT))</f>
        <v>0</v>
      </c>
      <c r="X157" s="13">
        <f ca="1">SUMPRODUCT(dFactor,tpSurvRad,INDEX(elecRad,stdCSL+1,2)*allOnes,OFFSET(tPrcElec,0,19,1,_maxLT))</f>
        <v>0</v>
      </c>
      <c r="Y157" s="13">
        <f ca="1">SUMPRODUCT(dFactor,tpSurvRad,INDEX(elecRad,stdCSL+1,2)*allOnes,OFFSET(tPrcElec,0,20,1,_maxLT))</f>
        <v>0</v>
      </c>
      <c r="Z157" s="13">
        <f ca="1">SUMPRODUCT(dFactor,tpSurvRad,INDEX(elecRad,stdCSL+1,2)*allOnes,OFFSET(tPrcElec,0,21,1,_maxLT))</f>
        <v>0</v>
      </c>
      <c r="AA157" s="13">
        <f ca="1">SUMPRODUCT(dFactor,tpSurvRad,INDEX(elecRad,stdCSL+1,2)*allOnes,OFFSET(tPrcElec,0,22,1,_maxLT))</f>
        <v>0</v>
      </c>
      <c r="AB157" s="13">
        <f ca="1">SUMPRODUCT(dFactor,tpSurvRad,INDEX(elecRad,stdCSL+1,2)*allOnes,OFFSET(tPrcElec,0,23,1,_maxLT))</f>
        <v>0</v>
      </c>
      <c r="AC157" s="13">
        <f ca="1">SUMPRODUCT(dFactor,tpSurvRad,INDEX(elecRad,stdCSL+1,2)*allOnes,OFFSET(tPrcElec,0,24,1,_maxLT))</f>
        <v>0</v>
      </c>
      <c r="AD157" s="13">
        <f ca="1">SUMPRODUCT(dFactor,tpSurvRad,INDEX(elecRad,stdCSL+1,2)*allOnes,OFFSET(tPrcElec,0,25,1,_maxLT))</f>
        <v>0</v>
      </c>
      <c r="AE157" s="13">
        <f ca="1">SUMPRODUCT(dFactor,tpSurvRad,INDEX(elecRad,stdCSL+1,2)*allOnes,OFFSET(tPrcElec,0,26,1,_maxLT))</f>
        <v>0</v>
      </c>
      <c r="AF157" s="13">
        <f ca="1">SUMPRODUCT(dFactor,tpSurvRad,INDEX(elecRad,stdCSL+1,2)*allOnes,OFFSET(tPrcElec,0,27,1,_maxLT))</f>
        <v>0</v>
      </c>
      <c r="AG157" s="13">
        <f ca="1">SUMPRODUCT(dFactor,tpSurvRad,INDEX(elecRad,stdCSL+1,2)*allOnes,OFFSET(tPrcElec,0,28,1,_maxLT))</f>
        <v>0</v>
      </c>
      <c r="AH157" s="13">
        <f ca="1">SUMPRODUCT(dFactor,tpSurvRad,INDEX(elecRad,stdCSL+1,2)*allOnes,OFFSET(tPrcElec,0,29,1,_maxLT))</f>
        <v>0</v>
      </c>
      <c r="AI157" s="13">
        <f ca="1">SUMPRODUCT(dFactor,tpSurvRad,INDEX(elecRad,stdCSL+1,2)*allOnes,OFFSET(tPrcElec,0,30,1,_maxLT))</f>
        <v>0</v>
      </c>
      <c r="AJ157" s="13">
        <f ca="1">SUMPRODUCT(dFactor,tpSurvRad,INDEX(elecRad,stdCSL+1,2)*allOnes,OFFSET(tPrcElec,0,31,1,_maxLT))</f>
        <v>0</v>
      </c>
      <c r="AK157" s="13">
        <f ca="1">SUMPRODUCT(dFactor,tpSurvRad,INDEX(elecRad,stdCSL+1,2)*allOnes,OFFSET(tPrcElec,0,32,1,_maxLT))</f>
        <v>0</v>
      </c>
      <c r="AL157" s="56">
        <f ca="1">SUMPRODUCT(dFactor,tpSurvRad,INDEX(elecRad,stdCSL+1,2)*allOnes,OFFSET(tPrcElec,0,33,1,_maxLT))</f>
        <v>0</v>
      </c>
      <c r="AM157" s="10"/>
    </row>
    <row r="158" spans="2:39">
      <c r="B158" s="10"/>
      <c r="C158" s="16" t="s">
        <v>79</v>
      </c>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5"/>
      <c r="AM158" s="10"/>
    </row>
    <row r="159" spans="2:39">
      <c r="B159" s="10"/>
      <c r="C159" s="28" t="str">
        <f>INDEX(_fuel,1)</f>
        <v>Electricity</v>
      </c>
      <c r="D159" s="12" t="s">
        <v>83</v>
      </c>
      <c r="E159" s="39">
        <f ca="1">SUMPRODUCT(OFFSET(tConvElecRad,0,0,1,_maxLT),INDEX(elecRad,stdCSL+1,2)*allOnes,tpSurvRad)</f>
        <v>0</v>
      </c>
      <c r="F159" s="39">
        <f ca="1">SUMPRODUCT(OFFSET(tConvElecRad,0,1,1,_maxLT),INDEX(elecRad,stdCSL+1,2)*allOnes,tpSurvRad)</f>
        <v>0</v>
      </c>
      <c r="G159" s="39">
        <f ca="1">SUMPRODUCT(OFFSET(tConvElecRad,0,2,1,_maxLT),INDEX(elecRad,stdCSL+1,2)*allOnes,tpSurvRad)</f>
        <v>0</v>
      </c>
      <c r="H159" s="39">
        <f ca="1">SUMPRODUCT(OFFSET(tConvElecRad,0,3,1,_maxLT),INDEX(elecRad,stdCSL+1,2)*allOnes,tpSurvRad)</f>
        <v>0</v>
      </c>
      <c r="I159" s="39">
        <f ca="1">SUMPRODUCT(OFFSET(tConvElecRad,0,4,1,_maxLT),INDEX(elecRad,stdCSL+1,2)*allOnes,tpSurvRad)</f>
        <v>0</v>
      </c>
      <c r="J159" s="39">
        <f ca="1">SUMPRODUCT(OFFSET(tConvElecRad,0,5,1,_maxLT),INDEX(elecRad,stdCSL+1,2)*allOnes,tpSurvRad)</f>
        <v>0</v>
      </c>
      <c r="K159" s="39">
        <f ca="1">SUMPRODUCT(OFFSET(tConvElecRad,0,6,1,_maxLT),INDEX(elecRad,stdCSL+1,2)*allOnes,tpSurvRad)</f>
        <v>0</v>
      </c>
      <c r="L159" s="39">
        <f ca="1">SUMPRODUCT(OFFSET(tConvElecRad,0,7,1,_maxLT),INDEX(elecRad,stdCSL+1,2)*allOnes,tpSurvRad)</f>
        <v>0</v>
      </c>
      <c r="M159" s="39">
        <f ca="1">SUMPRODUCT(OFFSET(tConvElecRad,0,8,1,_maxLT),INDEX(elecRad,stdCSL+1,2)*allOnes,tpSurvRad)</f>
        <v>0</v>
      </c>
      <c r="N159" s="39">
        <f ca="1">SUMPRODUCT(OFFSET(tConvElecRad,0,9,1,_maxLT),INDEX(elecRad,stdCSL+1,2)*allOnes,tpSurvRad)</f>
        <v>0</v>
      </c>
      <c r="O159" s="39">
        <f ca="1">SUMPRODUCT(OFFSET(tConvElecRad,0,10,1,_maxLT),INDEX(elecRad,stdCSL+1,2)*allOnes,tpSurvRad)</f>
        <v>0</v>
      </c>
      <c r="P159" s="39">
        <f ca="1">SUMPRODUCT(OFFSET(tConvElecRad,0,11,1,_maxLT),INDEX(elecRad,stdCSL+1,2)*allOnes,tpSurvRad)</f>
        <v>0</v>
      </c>
      <c r="Q159" s="39">
        <f ca="1">SUMPRODUCT(OFFSET(tConvElecRad,0,12,1,_maxLT),INDEX(elecRad,stdCSL+1,2)*allOnes,tpSurvRad)</f>
        <v>0</v>
      </c>
      <c r="R159" s="39">
        <f ca="1">SUMPRODUCT(OFFSET(tConvElecRad,0,13,1,_maxLT),INDEX(elecRad,stdCSL+1,2)*allOnes,tpSurvRad)</f>
        <v>0</v>
      </c>
      <c r="S159" s="39">
        <f ca="1">SUMPRODUCT(OFFSET(tConvElecRad,0,14,1,_maxLT),INDEX(elecRad,stdCSL+1,2)*allOnes,tpSurvRad)</f>
        <v>0</v>
      </c>
      <c r="T159" s="39">
        <f ca="1">SUMPRODUCT(OFFSET(tConvElecRad,0,15,1,_maxLT),INDEX(elecRad,stdCSL+1,2)*allOnes,tpSurvRad)</f>
        <v>0</v>
      </c>
      <c r="U159" s="39">
        <f ca="1">SUMPRODUCT(OFFSET(tConvElecRad,0,16,1,_maxLT),INDEX(elecRad,stdCSL+1,2)*allOnes,tpSurvRad)</f>
        <v>0</v>
      </c>
      <c r="V159" s="39">
        <f ca="1">SUMPRODUCT(OFFSET(tConvElecRad,0,17,1,_maxLT),INDEX(elecRad,stdCSL+1,2)*allOnes,tpSurvRad)</f>
        <v>0</v>
      </c>
      <c r="W159" s="39">
        <f ca="1">SUMPRODUCT(OFFSET(tConvElecRad,0,18,1,_maxLT),INDEX(elecRad,stdCSL+1,2)*allOnes,tpSurvRad)</f>
        <v>0</v>
      </c>
      <c r="X159" s="39">
        <f ca="1">SUMPRODUCT(OFFSET(tConvElecRad,0,19,1,_maxLT),INDEX(elecRad,stdCSL+1,2)*allOnes,tpSurvRad)</f>
        <v>0</v>
      </c>
      <c r="Y159" s="39">
        <f ca="1">SUMPRODUCT(OFFSET(tConvElecRad,0,20,1,_maxLT),INDEX(elecRad,stdCSL+1,2)*allOnes,tpSurvRad)</f>
        <v>0</v>
      </c>
      <c r="Z159" s="39">
        <f ca="1">SUMPRODUCT(OFFSET(tConvElecRad,0,21,1,_maxLT),INDEX(elecRad,stdCSL+1,2)*allOnes,tpSurvRad)</f>
        <v>0</v>
      </c>
      <c r="AA159" s="39">
        <f ca="1">SUMPRODUCT(OFFSET(tConvElecRad,0,22,1,_maxLT),INDEX(elecRad,stdCSL+1,2)*allOnes,tpSurvRad)</f>
        <v>0</v>
      </c>
      <c r="AB159" s="39">
        <f ca="1">SUMPRODUCT(OFFSET(tConvElecRad,0,23,1,_maxLT),INDEX(elecRad,stdCSL+1,2)*allOnes,tpSurvRad)</f>
        <v>0</v>
      </c>
      <c r="AC159" s="39">
        <f ca="1">SUMPRODUCT(OFFSET(tConvElecRad,0,24,1,_maxLT),INDEX(elecRad,stdCSL+1,2)*allOnes,tpSurvRad)</f>
        <v>0</v>
      </c>
      <c r="AD159" s="39">
        <f ca="1">SUMPRODUCT(OFFSET(tConvElecRad,0,25,1,_maxLT),INDEX(elecRad,stdCSL+1,2)*allOnes,tpSurvRad)</f>
        <v>0</v>
      </c>
      <c r="AE159" s="39">
        <f ca="1">SUMPRODUCT(OFFSET(tConvElecRad,0,26,1,_maxLT),INDEX(elecRad,stdCSL+1,2)*allOnes,tpSurvRad)</f>
        <v>0</v>
      </c>
      <c r="AF159" s="39">
        <f ca="1">SUMPRODUCT(OFFSET(tConvElecRad,0,27,1,_maxLT),INDEX(elecRad,stdCSL+1,2)*allOnes,tpSurvRad)</f>
        <v>0</v>
      </c>
      <c r="AG159" s="39">
        <f ca="1">SUMPRODUCT(OFFSET(tConvElecRad,0,28,1,_maxLT),INDEX(elecRad,stdCSL+1,2)*allOnes,tpSurvRad)</f>
        <v>0</v>
      </c>
      <c r="AH159" s="39">
        <f ca="1">SUMPRODUCT(OFFSET(tConvElecRad,0,29,1,_maxLT),INDEX(elecRad,stdCSL+1,2)*allOnes,tpSurvRad)</f>
        <v>0</v>
      </c>
      <c r="AI159" s="39">
        <f ca="1">SUMPRODUCT(OFFSET(tConvElecRad,0,30,1,_maxLT),INDEX(elecRad,stdCSL+1,2)*allOnes,tpSurvRad)</f>
        <v>0</v>
      </c>
      <c r="AJ159" s="39">
        <f ca="1">SUMPRODUCT(OFFSET(tConvElecRad,0,31,1,_maxLT),INDEX(elecRad,stdCSL+1,2)*allOnes,tpSurvRad)</f>
        <v>0</v>
      </c>
      <c r="AK159" s="39">
        <f ca="1">SUMPRODUCT(OFFSET(tConvElecRad,0,32,1,_maxLT),INDEX(elecRad,stdCSL+1,2)*allOnes,tpSurvRad)</f>
        <v>0</v>
      </c>
      <c r="AL159" s="40">
        <f ca="1">SUMPRODUCT(OFFSET(tConvElecRad,0,33,1,_maxLT),INDEX(elecRad,stdCSL+1,2)*allOnes,tpSurvRad)</f>
        <v>0</v>
      </c>
      <c r="AM159" s="10"/>
    </row>
    <row r="160" spans="2:39">
      <c r="B160" s="10"/>
      <c r="C160" s="57" t="str">
        <f>"EL 2: " &amp; INDEX(_doName,6,3)</f>
        <v>EL 2: EL 2</v>
      </c>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3"/>
      <c r="AM160" s="10"/>
    </row>
    <row r="161" spans="2:39">
      <c r="B161" s="10"/>
      <c r="C161" s="16" t="s">
        <v>69</v>
      </c>
      <c r="D161" s="12" t="str">
        <f>_yearDol &amp; "$"</f>
        <v>2015$</v>
      </c>
      <c r="E161" s="13">
        <f t="array" aca="1" ref="E161:AL161" ca="1">INDEX(mspRad,stdCSL+1,3)*tPIdxAll + INDEX(instRad,stdCSL+1,3) + IF(bESav,SUMPRODUCT(dFactor,tpSurvRad,INDEX(mrRad,stdCSL+1,3)*allOnes),0)</f>
        <v>0</v>
      </c>
      <c r="F161" s="13">
        <f ca="1"/>
        <v>0</v>
      </c>
      <c r="G161" s="13">
        <f ca="1"/>
        <v>0</v>
      </c>
      <c r="H161" s="13">
        <f ca="1"/>
        <v>0</v>
      </c>
      <c r="I161" s="13">
        <f ca="1"/>
        <v>0</v>
      </c>
      <c r="J161" s="13">
        <f ca="1"/>
        <v>0</v>
      </c>
      <c r="K161" s="13">
        <f ca="1"/>
        <v>0</v>
      </c>
      <c r="L161" s="13">
        <f ca="1"/>
        <v>0</v>
      </c>
      <c r="M161" s="13">
        <f ca="1"/>
        <v>0</v>
      </c>
      <c r="N161" s="13">
        <f ca="1"/>
        <v>0</v>
      </c>
      <c r="O161" s="13">
        <f ca="1"/>
        <v>0</v>
      </c>
      <c r="P161" s="13">
        <f ca="1"/>
        <v>0</v>
      </c>
      <c r="Q161" s="13">
        <f ca="1"/>
        <v>0</v>
      </c>
      <c r="R161" s="13">
        <f ca="1"/>
        <v>0</v>
      </c>
      <c r="S161" s="13">
        <f ca="1"/>
        <v>0</v>
      </c>
      <c r="T161" s="13">
        <f ca="1"/>
        <v>0</v>
      </c>
      <c r="U161" s="13">
        <f ca="1"/>
        <v>0</v>
      </c>
      <c r="V161" s="13">
        <f ca="1"/>
        <v>0</v>
      </c>
      <c r="W161" s="13">
        <f ca="1"/>
        <v>0</v>
      </c>
      <c r="X161" s="13">
        <f ca="1"/>
        <v>0</v>
      </c>
      <c r="Y161" s="13">
        <f ca="1"/>
        <v>0</v>
      </c>
      <c r="Z161" s="13">
        <f ca="1"/>
        <v>0</v>
      </c>
      <c r="AA161" s="13">
        <f ca="1"/>
        <v>0</v>
      </c>
      <c r="AB161" s="13">
        <f ca="1"/>
        <v>0</v>
      </c>
      <c r="AC161" s="13">
        <f ca="1"/>
        <v>0</v>
      </c>
      <c r="AD161" s="13">
        <f ca="1"/>
        <v>0</v>
      </c>
      <c r="AE161" s="13">
        <f ca="1"/>
        <v>0</v>
      </c>
      <c r="AF161" s="13">
        <f ca="1"/>
        <v>0</v>
      </c>
      <c r="AG161" s="13">
        <f ca="1"/>
        <v>0</v>
      </c>
      <c r="AH161" s="13">
        <f ca="1"/>
        <v>0</v>
      </c>
      <c r="AI161" s="13">
        <f ca="1"/>
        <v>0</v>
      </c>
      <c r="AJ161" s="13">
        <f ca="1"/>
        <v>0</v>
      </c>
      <c r="AK161" s="13">
        <f ca="1"/>
        <v>0</v>
      </c>
      <c r="AL161" s="56">
        <f ca="1"/>
        <v>0</v>
      </c>
      <c r="AM161" s="10"/>
    </row>
    <row r="162" spans="2:39">
      <c r="B162" s="10"/>
      <c r="C162" s="16" t="str">
        <f>zEO&amp;" Costs"</f>
        <v>Operating Costs</v>
      </c>
      <c r="D162" s="12" t="str">
        <f>_yearDol &amp; "$"</f>
        <v>2015$</v>
      </c>
      <c r="E162" s="13">
        <f t="array" aca="1" ref="E162:AL162" ca="1">(tlccEFuElecpol2) + IF(bOSav,SUMPRODUCT(dFactor,tpSurvRad,INDEX(mrRad,stdCSL+1,3)*allOnes),0)</f>
        <v>0</v>
      </c>
      <c r="F162" s="13">
        <f ca="1"/>
        <v>0</v>
      </c>
      <c r="G162" s="13">
        <f ca="1"/>
        <v>0</v>
      </c>
      <c r="H162" s="13">
        <f ca="1"/>
        <v>0</v>
      </c>
      <c r="I162" s="13">
        <f ca="1"/>
        <v>0</v>
      </c>
      <c r="J162" s="13">
        <f ca="1"/>
        <v>0</v>
      </c>
      <c r="K162" s="13">
        <f ca="1"/>
        <v>0</v>
      </c>
      <c r="L162" s="13">
        <f ca="1"/>
        <v>0</v>
      </c>
      <c r="M162" s="13">
        <f ca="1"/>
        <v>0</v>
      </c>
      <c r="N162" s="13">
        <f ca="1"/>
        <v>0</v>
      </c>
      <c r="O162" s="13">
        <f ca="1"/>
        <v>0</v>
      </c>
      <c r="P162" s="13">
        <f ca="1"/>
        <v>0</v>
      </c>
      <c r="Q162" s="13">
        <f ca="1"/>
        <v>0</v>
      </c>
      <c r="R162" s="13">
        <f ca="1"/>
        <v>0</v>
      </c>
      <c r="S162" s="13">
        <f ca="1"/>
        <v>0</v>
      </c>
      <c r="T162" s="13">
        <f ca="1"/>
        <v>0</v>
      </c>
      <c r="U162" s="13">
        <f ca="1"/>
        <v>0</v>
      </c>
      <c r="V162" s="13">
        <f ca="1"/>
        <v>0</v>
      </c>
      <c r="W162" s="13">
        <f ca="1"/>
        <v>0</v>
      </c>
      <c r="X162" s="13">
        <f ca="1"/>
        <v>0</v>
      </c>
      <c r="Y162" s="13">
        <f ca="1"/>
        <v>0</v>
      </c>
      <c r="Z162" s="13">
        <f ca="1"/>
        <v>0</v>
      </c>
      <c r="AA162" s="13">
        <f ca="1"/>
        <v>0</v>
      </c>
      <c r="AB162" s="13">
        <f ca="1"/>
        <v>0</v>
      </c>
      <c r="AC162" s="13">
        <f ca="1"/>
        <v>0</v>
      </c>
      <c r="AD162" s="13">
        <f ca="1"/>
        <v>0</v>
      </c>
      <c r="AE162" s="13">
        <f ca="1"/>
        <v>0</v>
      </c>
      <c r="AF162" s="13">
        <f ca="1"/>
        <v>0</v>
      </c>
      <c r="AG162" s="13">
        <f ca="1"/>
        <v>0</v>
      </c>
      <c r="AH162" s="13">
        <f ca="1"/>
        <v>0</v>
      </c>
      <c r="AI162" s="13">
        <f ca="1"/>
        <v>0</v>
      </c>
      <c r="AJ162" s="13">
        <f ca="1"/>
        <v>0</v>
      </c>
      <c r="AK162" s="13">
        <f ca="1"/>
        <v>0</v>
      </c>
      <c r="AL162" s="56">
        <f ca="1"/>
        <v>0</v>
      </c>
      <c r="AM162" s="10"/>
    </row>
    <row r="163" spans="2:39">
      <c r="B163" s="10"/>
      <c r="C163" s="28" t="str">
        <f>INDEX(_fuel,1)</f>
        <v>Electricity</v>
      </c>
      <c r="D163" s="12" t="str">
        <f>_yearDol &amp; "$"</f>
        <v>2015$</v>
      </c>
      <c r="E163" s="13">
        <f ca="1">SUMPRODUCT(dFactor,tpSurvRad,INDEX(elecRad,stdCSL+1,3)*allOnes,OFFSET(tPrcElec,0,0,1,_maxLT))</f>
        <v>0</v>
      </c>
      <c r="F163" s="13">
        <f ca="1">SUMPRODUCT(dFactor,tpSurvRad,INDEX(elecRad,stdCSL+1,3)*allOnes,OFFSET(tPrcElec,0,1,1,_maxLT))</f>
        <v>0</v>
      </c>
      <c r="G163" s="13">
        <f ca="1">SUMPRODUCT(dFactor,tpSurvRad,INDEX(elecRad,stdCSL+1,3)*allOnes,OFFSET(tPrcElec,0,2,1,_maxLT))</f>
        <v>0</v>
      </c>
      <c r="H163" s="13">
        <f ca="1">SUMPRODUCT(dFactor,tpSurvRad,INDEX(elecRad,stdCSL+1,3)*allOnes,OFFSET(tPrcElec,0,3,1,_maxLT))</f>
        <v>0</v>
      </c>
      <c r="I163" s="13">
        <f ca="1">SUMPRODUCT(dFactor,tpSurvRad,INDEX(elecRad,stdCSL+1,3)*allOnes,OFFSET(tPrcElec,0,4,1,_maxLT))</f>
        <v>0</v>
      </c>
      <c r="J163" s="13">
        <f ca="1">SUMPRODUCT(dFactor,tpSurvRad,INDEX(elecRad,stdCSL+1,3)*allOnes,OFFSET(tPrcElec,0,5,1,_maxLT))</f>
        <v>0</v>
      </c>
      <c r="K163" s="13">
        <f ca="1">SUMPRODUCT(dFactor,tpSurvRad,INDEX(elecRad,stdCSL+1,3)*allOnes,OFFSET(tPrcElec,0,6,1,_maxLT))</f>
        <v>0</v>
      </c>
      <c r="L163" s="13">
        <f ca="1">SUMPRODUCT(dFactor,tpSurvRad,INDEX(elecRad,stdCSL+1,3)*allOnes,OFFSET(tPrcElec,0,7,1,_maxLT))</f>
        <v>0</v>
      </c>
      <c r="M163" s="13">
        <f ca="1">SUMPRODUCT(dFactor,tpSurvRad,INDEX(elecRad,stdCSL+1,3)*allOnes,OFFSET(tPrcElec,0,8,1,_maxLT))</f>
        <v>0</v>
      </c>
      <c r="N163" s="13">
        <f ca="1">SUMPRODUCT(dFactor,tpSurvRad,INDEX(elecRad,stdCSL+1,3)*allOnes,OFFSET(tPrcElec,0,9,1,_maxLT))</f>
        <v>0</v>
      </c>
      <c r="O163" s="13">
        <f ca="1">SUMPRODUCT(dFactor,tpSurvRad,INDEX(elecRad,stdCSL+1,3)*allOnes,OFFSET(tPrcElec,0,10,1,_maxLT))</f>
        <v>0</v>
      </c>
      <c r="P163" s="13">
        <f ca="1">SUMPRODUCT(dFactor,tpSurvRad,INDEX(elecRad,stdCSL+1,3)*allOnes,OFFSET(tPrcElec,0,11,1,_maxLT))</f>
        <v>0</v>
      </c>
      <c r="Q163" s="13">
        <f ca="1">SUMPRODUCT(dFactor,tpSurvRad,INDEX(elecRad,stdCSL+1,3)*allOnes,OFFSET(tPrcElec,0,12,1,_maxLT))</f>
        <v>0</v>
      </c>
      <c r="R163" s="13">
        <f ca="1">SUMPRODUCT(dFactor,tpSurvRad,INDEX(elecRad,stdCSL+1,3)*allOnes,OFFSET(tPrcElec,0,13,1,_maxLT))</f>
        <v>0</v>
      </c>
      <c r="S163" s="13">
        <f ca="1">SUMPRODUCT(dFactor,tpSurvRad,INDEX(elecRad,stdCSL+1,3)*allOnes,OFFSET(tPrcElec,0,14,1,_maxLT))</f>
        <v>0</v>
      </c>
      <c r="T163" s="13">
        <f ca="1">SUMPRODUCT(dFactor,tpSurvRad,INDEX(elecRad,stdCSL+1,3)*allOnes,OFFSET(tPrcElec,0,15,1,_maxLT))</f>
        <v>0</v>
      </c>
      <c r="U163" s="13">
        <f ca="1">SUMPRODUCT(dFactor,tpSurvRad,INDEX(elecRad,stdCSL+1,3)*allOnes,OFFSET(tPrcElec,0,16,1,_maxLT))</f>
        <v>0</v>
      </c>
      <c r="V163" s="13">
        <f ca="1">SUMPRODUCT(dFactor,tpSurvRad,INDEX(elecRad,stdCSL+1,3)*allOnes,OFFSET(tPrcElec,0,17,1,_maxLT))</f>
        <v>0</v>
      </c>
      <c r="W163" s="13">
        <f ca="1">SUMPRODUCT(dFactor,tpSurvRad,INDEX(elecRad,stdCSL+1,3)*allOnes,OFFSET(tPrcElec,0,18,1,_maxLT))</f>
        <v>0</v>
      </c>
      <c r="X163" s="13">
        <f ca="1">SUMPRODUCT(dFactor,tpSurvRad,INDEX(elecRad,stdCSL+1,3)*allOnes,OFFSET(tPrcElec,0,19,1,_maxLT))</f>
        <v>0</v>
      </c>
      <c r="Y163" s="13">
        <f ca="1">SUMPRODUCT(dFactor,tpSurvRad,INDEX(elecRad,stdCSL+1,3)*allOnes,OFFSET(tPrcElec,0,20,1,_maxLT))</f>
        <v>0</v>
      </c>
      <c r="Z163" s="13">
        <f ca="1">SUMPRODUCT(dFactor,tpSurvRad,INDEX(elecRad,stdCSL+1,3)*allOnes,OFFSET(tPrcElec,0,21,1,_maxLT))</f>
        <v>0</v>
      </c>
      <c r="AA163" s="13">
        <f ca="1">SUMPRODUCT(dFactor,tpSurvRad,INDEX(elecRad,stdCSL+1,3)*allOnes,OFFSET(tPrcElec,0,22,1,_maxLT))</f>
        <v>0</v>
      </c>
      <c r="AB163" s="13">
        <f ca="1">SUMPRODUCT(dFactor,tpSurvRad,INDEX(elecRad,stdCSL+1,3)*allOnes,OFFSET(tPrcElec,0,23,1,_maxLT))</f>
        <v>0</v>
      </c>
      <c r="AC163" s="13">
        <f ca="1">SUMPRODUCT(dFactor,tpSurvRad,INDEX(elecRad,stdCSL+1,3)*allOnes,OFFSET(tPrcElec,0,24,1,_maxLT))</f>
        <v>0</v>
      </c>
      <c r="AD163" s="13">
        <f ca="1">SUMPRODUCT(dFactor,tpSurvRad,INDEX(elecRad,stdCSL+1,3)*allOnes,OFFSET(tPrcElec,0,25,1,_maxLT))</f>
        <v>0</v>
      </c>
      <c r="AE163" s="13">
        <f ca="1">SUMPRODUCT(dFactor,tpSurvRad,INDEX(elecRad,stdCSL+1,3)*allOnes,OFFSET(tPrcElec,0,26,1,_maxLT))</f>
        <v>0</v>
      </c>
      <c r="AF163" s="13">
        <f ca="1">SUMPRODUCT(dFactor,tpSurvRad,INDEX(elecRad,stdCSL+1,3)*allOnes,OFFSET(tPrcElec,0,27,1,_maxLT))</f>
        <v>0</v>
      </c>
      <c r="AG163" s="13">
        <f ca="1">SUMPRODUCT(dFactor,tpSurvRad,INDEX(elecRad,stdCSL+1,3)*allOnes,OFFSET(tPrcElec,0,28,1,_maxLT))</f>
        <v>0</v>
      </c>
      <c r="AH163" s="13">
        <f ca="1">SUMPRODUCT(dFactor,tpSurvRad,INDEX(elecRad,stdCSL+1,3)*allOnes,OFFSET(tPrcElec,0,29,1,_maxLT))</f>
        <v>0</v>
      </c>
      <c r="AI163" s="13">
        <f ca="1">SUMPRODUCT(dFactor,tpSurvRad,INDEX(elecRad,stdCSL+1,3)*allOnes,OFFSET(tPrcElec,0,30,1,_maxLT))</f>
        <v>0</v>
      </c>
      <c r="AJ163" s="13">
        <f ca="1">SUMPRODUCT(dFactor,tpSurvRad,INDEX(elecRad,stdCSL+1,3)*allOnes,OFFSET(tPrcElec,0,31,1,_maxLT))</f>
        <v>0</v>
      </c>
      <c r="AK163" s="13">
        <f ca="1">SUMPRODUCT(dFactor,tpSurvRad,INDEX(elecRad,stdCSL+1,3)*allOnes,OFFSET(tPrcElec,0,32,1,_maxLT))</f>
        <v>0</v>
      </c>
      <c r="AL163" s="56">
        <f ca="1">SUMPRODUCT(dFactor,tpSurvRad,INDEX(elecRad,stdCSL+1,3)*allOnes,OFFSET(tPrcElec,0,33,1,_maxLT))</f>
        <v>0</v>
      </c>
      <c r="AM163" s="10"/>
    </row>
    <row r="164" spans="2:39">
      <c r="B164" s="10"/>
      <c r="C164" s="16" t="s">
        <v>79</v>
      </c>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5"/>
      <c r="AM164" s="10"/>
    </row>
    <row r="165" spans="2:39">
      <c r="B165" s="10"/>
      <c r="C165" s="28" t="str">
        <f>INDEX(_fuel,1)</f>
        <v>Electricity</v>
      </c>
      <c r="D165" s="12" t="s">
        <v>83</v>
      </c>
      <c r="E165" s="39">
        <f ca="1">SUMPRODUCT(OFFSET(tConvElecRad,0,0,1,_maxLT),INDEX(elecRad,stdCSL+1,3)*allOnes,tpSurvRad)</f>
        <v>0</v>
      </c>
      <c r="F165" s="39">
        <f ca="1">SUMPRODUCT(OFFSET(tConvElecRad,0,1,1,_maxLT),INDEX(elecRad,stdCSL+1,3)*allOnes,tpSurvRad)</f>
        <v>0</v>
      </c>
      <c r="G165" s="39">
        <f ca="1">SUMPRODUCT(OFFSET(tConvElecRad,0,2,1,_maxLT),INDEX(elecRad,stdCSL+1,3)*allOnes,tpSurvRad)</f>
        <v>0</v>
      </c>
      <c r="H165" s="39">
        <f ca="1">SUMPRODUCT(OFFSET(tConvElecRad,0,3,1,_maxLT),INDEX(elecRad,stdCSL+1,3)*allOnes,tpSurvRad)</f>
        <v>0</v>
      </c>
      <c r="I165" s="39">
        <f ca="1">SUMPRODUCT(OFFSET(tConvElecRad,0,4,1,_maxLT),INDEX(elecRad,stdCSL+1,3)*allOnes,tpSurvRad)</f>
        <v>0</v>
      </c>
      <c r="J165" s="39">
        <f ca="1">SUMPRODUCT(OFFSET(tConvElecRad,0,5,1,_maxLT),INDEX(elecRad,stdCSL+1,3)*allOnes,tpSurvRad)</f>
        <v>0</v>
      </c>
      <c r="K165" s="39">
        <f ca="1">SUMPRODUCT(OFFSET(tConvElecRad,0,6,1,_maxLT),INDEX(elecRad,stdCSL+1,3)*allOnes,tpSurvRad)</f>
        <v>0</v>
      </c>
      <c r="L165" s="39">
        <f ca="1">SUMPRODUCT(OFFSET(tConvElecRad,0,7,1,_maxLT),INDEX(elecRad,stdCSL+1,3)*allOnes,tpSurvRad)</f>
        <v>0</v>
      </c>
      <c r="M165" s="39">
        <f ca="1">SUMPRODUCT(OFFSET(tConvElecRad,0,8,1,_maxLT),INDEX(elecRad,stdCSL+1,3)*allOnes,tpSurvRad)</f>
        <v>0</v>
      </c>
      <c r="N165" s="39">
        <f ca="1">SUMPRODUCT(OFFSET(tConvElecRad,0,9,1,_maxLT),INDEX(elecRad,stdCSL+1,3)*allOnes,tpSurvRad)</f>
        <v>0</v>
      </c>
      <c r="O165" s="39">
        <f ca="1">SUMPRODUCT(OFFSET(tConvElecRad,0,10,1,_maxLT),INDEX(elecRad,stdCSL+1,3)*allOnes,tpSurvRad)</f>
        <v>0</v>
      </c>
      <c r="P165" s="39">
        <f ca="1">SUMPRODUCT(OFFSET(tConvElecRad,0,11,1,_maxLT),INDEX(elecRad,stdCSL+1,3)*allOnes,tpSurvRad)</f>
        <v>0</v>
      </c>
      <c r="Q165" s="39">
        <f ca="1">SUMPRODUCT(OFFSET(tConvElecRad,0,12,1,_maxLT),INDEX(elecRad,stdCSL+1,3)*allOnes,tpSurvRad)</f>
        <v>0</v>
      </c>
      <c r="R165" s="39">
        <f ca="1">SUMPRODUCT(OFFSET(tConvElecRad,0,13,1,_maxLT),INDEX(elecRad,stdCSL+1,3)*allOnes,tpSurvRad)</f>
        <v>0</v>
      </c>
      <c r="S165" s="39">
        <f ca="1">SUMPRODUCT(OFFSET(tConvElecRad,0,14,1,_maxLT),INDEX(elecRad,stdCSL+1,3)*allOnes,tpSurvRad)</f>
        <v>0</v>
      </c>
      <c r="T165" s="39">
        <f ca="1">SUMPRODUCT(OFFSET(tConvElecRad,0,15,1,_maxLT),INDEX(elecRad,stdCSL+1,3)*allOnes,tpSurvRad)</f>
        <v>0</v>
      </c>
      <c r="U165" s="39">
        <f ca="1">SUMPRODUCT(OFFSET(tConvElecRad,0,16,1,_maxLT),INDEX(elecRad,stdCSL+1,3)*allOnes,tpSurvRad)</f>
        <v>0</v>
      </c>
      <c r="V165" s="39">
        <f ca="1">SUMPRODUCT(OFFSET(tConvElecRad,0,17,1,_maxLT),INDEX(elecRad,stdCSL+1,3)*allOnes,tpSurvRad)</f>
        <v>0</v>
      </c>
      <c r="W165" s="39">
        <f ca="1">SUMPRODUCT(OFFSET(tConvElecRad,0,18,1,_maxLT),INDEX(elecRad,stdCSL+1,3)*allOnes,tpSurvRad)</f>
        <v>0</v>
      </c>
      <c r="X165" s="39">
        <f ca="1">SUMPRODUCT(OFFSET(tConvElecRad,0,19,1,_maxLT),INDEX(elecRad,stdCSL+1,3)*allOnes,tpSurvRad)</f>
        <v>0</v>
      </c>
      <c r="Y165" s="39">
        <f ca="1">SUMPRODUCT(OFFSET(tConvElecRad,0,20,1,_maxLT),INDEX(elecRad,stdCSL+1,3)*allOnes,tpSurvRad)</f>
        <v>0</v>
      </c>
      <c r="Z165" s="39">
        <f ca="1">SUMPRODUCT(OFFSET(tConvElecRad,0,21,1,_maxLT),INDEX(elecRad,stdCSL+1,3)*allOnes,tpSurvRad)</f>
        <v>0</v>
      </c>
      <c r="AA165" s="39">
        <f ca="1">SUMPRODUCT(OFFSET(tConvElecRad,0,22,1,_maxLT),INDEX(elecRad,stdCSL+1,3)*allOnes,tpSurvRad)</f>
        <v>0</v>
      </c>
      <c r="AB165" s="39">
        <f ca="1">SUMPRODUCT(OFFSET(tConvElecRad,0,23,1,_maxLT),INDEX(elecRad,stdCSL+1,3)*allOnes,tpSurvRad)</f>
        <v>0</v>
      </c>
      <c r="AC165" s="39">
        <f ca="1">SUMPRODUCT(OFFSET(tConvElecRad,0,24,1,_maxLT),INDEX(elecRad,stdCSL+1,3)*allOnes,tpSurvRad)</f>
        <v>0</v>
      </c>
      <c r="AD165" s="39">
        <f ca="1">SUMPRODUCT(OFFSET(tConvElecRad,0,25,1,_maxLT),INDEX(elecRad,stdCSL+1,3)*allOnes,tpSurvRad)</f>
        <v>0</v>
      </c>
      <c r="AE165" s="39">
        <f ca="1">SUMPRODUCT(OFFSET(tConvElecRad,0,26,1,_maxLT),INDEX(elecRad,stdCSL+1,3)*allOnes,tpSurvRad)</f>
        <v>0</v>
      </c>
      <c r="AF165" s="39">
        <f ca="1">SUMPRODUCT(OFFSET(tConvElecRad,0,27,1,_maxLT),INDEX(elecRad,stdCSL+1,3)*allOnes,tpSurvRad)</f>
        <v>0</v>
      </c>
      <c r="AG165" s="39">
        <f ca="1">SUMPRODUCT(OFFSET(tConvElecRad,0,28,1,_maxLT),INDEX(elecRad,stdCSL+1,3)*allOnes,tpSurvRad)</f>
        <v>0</v>
      </c>
      <c r="AH165" s="39">
        <f ca="1">SUMPRODUCT(OFFSET(tConvElecRad,0,29,1,_maxLT),INDEX(elecRad,stdCSL+1,3)*allOnes,tpSurvRad)</f>
        <v>0</v>
      </c>
      <c r="AI165" s="39">
        <f ca="1">SUMPRODUCT(OFFSET(tConvElecRad,0,30,1,_maxLT),INDEX(elecRad,stdCSL+1,3)*allOnes,tpSurvRad)</f>
        <v>0</v>
      </c>
      <c r="AJ165" s="39">
        <f ca="1">SUMPRODUCT(OFFSET(tConvElecRad,0,31,1,_maxLT),INDEX(elecRad,stdCSL+1,3)*allOnes,tpSurvRad)</f>
        <v>0</v>
      </c>
      <c r="AK165" s="39">
        <f ca="1">SUMPRODUCT(OFFSET(tConvElecRad,0,32,1,_maxLT),INDEX(elecRad,stdCSL+1,3)*allOnes,tpSurvRad)</f>
        <v>0</v>
      </c>
      <c r="AL165" s="40">
        <f ca="1">SUMPRODUCT(OFFSET(tConvElecRad,0,33,1,_maxLT),INDEX(elecRad,stdCSL+1,3)*allOnes,tpSurvRad)</f>
        <v>0</v>
      </c>
      <c r="AM165" s="10"/>
    </row>
    <row r="166" spans="2:39">
      <c r="B166" s="10"/>
      <c r="C166" s="57" t="str">
        <f>"EL 3: " &amp; INDEX(_doName,6,4)</f>
        <v>EL 3: EL 3</v>
      </c>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3"/>
      <c r="AM166" s="10"/>
    </row>
    <row r="167" spans="2:39">
      <c r="B167" s="10"/>
      <c r="C167" s="16" t="s">
        <v>69</v>
      </c>
      <c r="D167" s="12" t="str">
        <f>_yearDol &amp; "$"</f>
        <v>2015$</v>
      </c>
      <c r="E167" s="13">
        <f t="array" aca="1" ref="E167:AL167" ca="1">INDEX(mspRad,stdCSL+1,4)*tPIdxAll + INDEX(instRad,stdCSL+1,4) + IF(bESav,SUMPRODUCT(dFactor,tpSurvRad,INDEX(mrRad,stdCSL+1,4)*allOnes),0)</f>
        <v>0</v>
      </c>
      <c r="F167" s="13">
        <f ca="1"/>
        <v>0</v>
      </c>
      <c r="G167" s="13">
        <f ca="1"/>
        <v>0</v>
      </c>
      <c r="H167" s="13">
        <f ca="1"/>
        <v>0</v>
      </c>
      <c r="I167" s="13">
        <f ca="1"/>
        <v>0</v>
      </c>
      <c r="J167" s="13">
        <f ca="1"/>
        <v>0</v>
      </c>
      <c r="K167" s="13">
        <f ca="1"/>
        <v>0</v>
      </c>
      <c r="L167" s="13">
        <f ca="1"/>
        <v>0</v>
      </c>
      <c r="M167" s="13">
        <f ca="1"/>
        <v>0</v>
      </c>
      <c r="N167" s="13">
        <f ca="1"/>
        <v>0</v>
      </c>
      <c r="O167" s="13">
        <f ca="1"/>
        <v>0</v>
      </c>
      <c r="P167" s="13">
        <f ca="1"/>
        <v>0</v>
      </c>
      <c r="Q167" s="13">
        <f ca="1"/>
        <v>0</v>
      </c>
      <c r="R167" s="13">
        <f ca="1"/>
        <v>0</v>
      </c>
      <c r="S167" s="13">
        <f ca="1"/>
        <v>0</v>
      </c>
      <c r="T167" s="13">
        <f ca="1"/>
        <v>0</v>
      </c>
      <c r="U167" s="13">
        <f ca="1"/>
        <v>0</v>
      </c>
      <c r="V167" s="13">
        <f ca="1"/>
        <v>0</v>
      </c>
      <c r="W167" s="13">
        <f ca="1"/>
        <v>0</v>
      </c>
      <c r="X167" s="13">
        <f ca="1"/>
        <v>0</v>
      </c>
      <c r="Y167" s="13">
        <f ca="1"/>
        <v>0</v>
      </c>
      <c r="Z167" s="13">
        <f ca="1"/>
        <v>0</v>
      </c>
      <c r="AA167" s="13">
        <f ca="1"/>
        <v>0</v>
      </c>
      <c r="AB167" s="13">
        <f ca="1"/>
        <v>0</v>
      </c>
      <c r="AC167" s="13">
        <f ca="1"/>
        <v>0</v>
      </c>
      <c r="AD167" s="13">
        <f ca="1"/>
        <v>0</v>
      </c>
      <c r="AE167" s="13">
        <f ca="1"/>
        <v>0</v>
      </c>
      <c r="AF167" s="13">
        <f ca="1"/>
        <v>0</v>
      </c>
      <c r="AG167" s="13">
        <f ca="1"/>
        <v>0</v>
      </c>
      <c r="AH167" s="13">
        <f ca="1"/>
        <v>0</v>
      </c>
      <c r="AI167" s="13">
        <f ca="1"/>
        <v>0</v>
      </c>
      <c r="AJ167" s="13">
        <f ca="1"/>
        <v>0</v>
      </c>
      <c r="AK167" s="13">
        <f ca="1"/>
        <v>0</v>
      </c>
      <c r="AL167" s="56">
        <f ca="1"/>
        <v>0</v>
      </c>
      <c r="AM167" s="10"/>
    </row>
    <row r="168" spans="2:39">
      <c r="B168" s="10"/>
      <c r="C168" s="16" t="str">
        <f>zEO&amp;" Costs"</f>
        <v>Operating Costs</v>
      </c>
      <c r="D168" s="12" t="str">
        <f>_yearDol &amp; "$"</f>
        <v>2015$</v>
      </c>
      <c r="E168" s="13">
        <f t="array" aca="1" ref="E168:AL168" ca="1">(tlccEFuElecpol3) + IF(bOSav,SUMPRODUCT(dFactor,tpSurvRad,INDEX(mrRad,stdCSL+1,4)*allOnes),0)</f>
        <v>0</v>
      </c>
      <c r="F168" s="13">
        <f ca="1"/>
        <v>0</v>
      </c>
      <c r="G168" s="13">
        <f ca="1"/>
        <v>0</v>
      </c>
      <c r="H168" s="13">
        <f ca="1"/>
        <v>0</v>
      </c>
      <c r="I168" s="13">
        <f ca="1"/>
        <v>0</v>
      </c>
      <c r="J168" s="13">
        <f ca="1"/>
        <v>0</v>
      </c>
      <c r="K168" s="13">
        <f ca="1"/>
        <v>0</v>
      </c>
      <c r="L168" s="13">
        <f ca="1"/>
        <v>0</v>
      </c>
      <c r="M168" s="13">
        <f ca="1"/>
        <v>0</v>
      </c>
      <c r="N168" s="13">
        <f ca="1"/>
        <v>0</v>
      </c>
      <c r="O168" s="13">
        <f ca="1"/>
        <v>0</v>
      </c>
      <c r="P168" s="13">
        <f ca="1"/>
        <v>0</v>
      </c>
      <c r="Q168" s="13">
        <f ca="1"/>
        <v>0</v>
      </c>
      <c r="R168" s="13">
        <f ca="1"/>
        <v>0</v>
      </c>
      <c r="S168" s="13">
        <f ca="1"/>
        <v>0</v>
      </c>
      <c r="T168" s="13">
        <f ca="1"/>
        <v>0</v>
      </c>
      <c r="U168" s="13">
        <f ca="1"/>
        <v>0</v>
      </c>
      <c r="V168" s="13">
        <f ca="1"/>
        <v>0</v>
      </c>
      <c r="W168" s="13">
        <f ca="1"/>
        <v>0</v>
      </c>
      <c r="X168" s="13">
        <f ca="1"/>
        <v>0</v>
      </c>
      <c r="Y168" s="13">
        <f ca="1"/>
        <v>0</v>
      </c>
      <c r="Z168" s="13">
        <f ca="1"/>
        <v>0</v>
      </c>
      <c r="AA168" s="13">
        <f ca="1"/>
        <v>0</v>
      </c>
      <c r="AB168" s="13">
        <f ca="1"/>
        <v>0</v>
      </c>
      <c r="AC168" s="13">
        <f ca="1"/>
        <v>0</v>
      </c>
      <c r="AD168" s="13">
        <f ca="1"/>
        <v>0</v>
      </c>
      <c r="AE168" s="13">
        <f ca="1"/>
        <v>0</v>
      </c>
      <c r="AF168" s="13">
        <f ca="1"/>
        <v>0</v>
      </c>
      <c r="AG168" s="13">
        <f ca="1"/>
        <v>0</v>
      </c>
      <c r="AH168" s="13">
        <f ca="1"/>
        <v>0</v>
      </c>
      <c r="AI168" s="13">
        <f ca="1"/>
        <v>0</v>
      </c>
      <c r="AJ168" s="13">
        <f ca="1"/>
        <v>0</v>
      </c>
      <c r="AK168" s="13">
        <f ca="1"/>
        <v>0</v>
      </c>
      <c r="AL168" s="56">
        <f ca="1"/>
        <v>0</v>
      </c>
      <c r="AM168" s="10"/>
    </row>
    <row r="169" spans="2:39">
      <c r="B169" s="10"/>
      <c r="C169" s="28" t="str">
        <f>INDEX(_fuel,1)</f>
        <v>Electricity</v>
      </c>
      <c r="D169" s="12" t="str">
        <f>_yearDol &amp; "$"</f>
        <v>2015$</v>
      </c>
      <c r="E169" s="13">
        <f ca="1">SUMPRODUCT(dFactor,tpSurvRad,INDEX(elecRad,stdCSL+1,4)*allOnes,OFFSET(tPrcElec,0,0,1,_maxLT))</f>
        <v>0</v>
      </c>
      <c r="F169" s="13">
        <f ca="1">SUMPRODUCT(dFactor,tpSurvRad,INDEX(elecRad,stdCSL+1,4)*allOnes,OFFSET(tPrcElec,0,1,1,_maxLT))</f>
        <v>0</v>
      </c>
      <c r="G169" s="13">
        <f ca="1">SUMPRODUCT(dFactor,tpSurvRad,INDEX(elecRad,stdCSL+1,4)*allOnes,OFFSET(tPrcElec,0,2,1,_maxLT))</f>
        <v>0</v>
      </c>
      <c r="H169" s="13">
        <f ca="1">SUMPRODUCT(dFactor,tpSurvRad,INDEX(elecRad,stdCSL+1,4)*allOnes,OFFSET(tPrcElec,0,3,1,_maxLT))</f>
        <v>0</v>
      </c>
      <c r="I169" s="13">
        <f ca="1">SUMPRODUCT(dFactor,tpSurvRad,INDEX(elecRad,stdCSL+1,4)*allOnes,OFFSET(tPrcElec,0,4,1,_maxLT))</f>
        <v>0</v>
      </c>
      <c r="J169" s="13">
        <f ca="1">SUMPRODUCT(dFactor,tpSurvRad,INDEX(elecRad,stdCSL+1,4)*allOnes,OFFSET(tPrcElec,0,5,1,_maxLT))</f>
        <v>0</v>
      </c>
      <c r="K169" s="13">
        <f ca="1">SUMPRODUCT(dFactor,tpSurvRad,INDEX(elecRad,stdCSL+1,4)*allOnes,OFFSET(tPrcElec,0,6,1,_maxLT))</f>
        <v>0</v>
      </c>
      <c r="L169" s="13">
        <f ca="1">SUMPRODUCT(dFactor,tpSurvRad,INDEX(elecRad,stdCSL+1,4)*allOnes,OFFSET(tPrcElec,0,7,1,_maxLT))</f>
        <v>0</v>
      </c>
      <c r="M169" s="13">
        <f ca="1">SUMPRODUCT(dFactor,tpSurvRad,INDEX(elecRad,stdCSL+1,4)*allOnes,OFFSET(tPrcElec,0,8,1,_maxLT))</f>
        <v>0</v>
      </c>
      <c r="N169" s="13">
        <f ca="1">SUMPRODUCT(dFactor,tpSurvRad,INDEX(elecRad,stdCSL+1,4)*allOnes,OFFSET(tPrcElec,0,9,1,_maxLT))</f>
        <v>0</v>
      </c>
      <c r="O169" s="13">
        <f ca="1">SUMPRODUCT(dFactor,tpSurvRad,INDEX(elecRad,stdCSL+1,4)*allOnes,OFFSET(tPrcElec,0,10,1,_maxLT))</f>
        <v>0</v>
      </c>
      <c r="P169" s="13">
        <f ca="1">SUMPRODUCT(dFactor,tpSurvRad,INDEX(elecRad,stdCSL+1,4)*allOnes,OFFSET(tPrcElec,0,11,1,_maxLT))</f>
        <v>0</v>
      </c>
      <c r="Q169" s="13">
        <f ca="1">SUMPRODUCT(dFactor,tpSurvRad,INDEX(elecRad,stdCSL+1,4)*allOnes,OFFSET(tPrcElec,0,12,1,_maxLT))</f>
        <v>0</v>
      </c>
      <c r="R169" s="13">
        <f ca="1">SUMPRODUCT(dFactor,tpSurvRad,INDEX(elecRad,stdCSL+1,4)*allOnes,OFFSET(tPrcElec,0,13,1,_maxLT))</f>
        <v>0</v>
      </c>
      <c r="S169" s="13">
        <f ca="1">SUMPRODUCT(dFactor,tpSurvRad,INDEX(elecRad,stdCSL+1,4)*allOnes,OFFSET(tPrcElec,0,14,1,_maxLT))</f>
        <v>0</v>
      </c>
      <c r="T169" s="13">
        <f ca="1">SUMPRODUCT(dFactor,tpSurvRad,INDEX(elecRad,stdCSL+1,4)*allOnes,OFFSET(tPrcElec,0,15,1,_maxLT))</f>
        <v>0</v>
      </c>
      <c r="U169" s="13">
        <f ca="1">SUMPRODUCT(dFactor,tpSurvRad,INDEX(elecRad,stdCSL+1,4)*allOnes,OFFSET(tPrcElec,0,16,1,_maxLT))</f>
        <v>0</v>
      </c>
      <c r="V169" s="13">
        <f ca="1">SUMPRODUCT(dFactor,tpSurvRad,INDEX(elecRad,stdCSL+1,4)*allOnes,OFFSET(tPrcElec,0,17,1,_maxLT))</f>
        <v>0</v>
      </c>
      <c r="W169" s="13">
        <f ca="1">SUMPRODUCT(dFactor,tpSurvRad,INDEX(elecRad,stdCSL+1,4)*allOnes,OFFSET(tPrcElec,0,18,1,_maxLT))</f>
        <v>0</v>
      </c>
      <c r="X169" s="13">
        <f ca="1">SUMPRODUCT(dFactor,tpSurvRad,INDEX(elecRad,stdCSL+1,4)*allOnes,OFFSET(tPrcElec,0,19,1,_maxLT))</f>
        <v>0</v>
      </c>
      <c r="Y169" s="13">
        <f ca="1">SUMPRODUCT(dFactor,tpSurvRad,INDEX(elecRad,stdCSL+1,4)*allOnes,OFFSET(tPrcElec,0,20,1,_maxLT))</f>
        <v>0</v>
      </c>
      <c r="Z169" s="13">
        <f ca="1">SUMPRODUCT(dFactor,tpSurvRad,INDEX(elecRad,stdCSL+1,4)*allOnes,OFFSET(tPrcElec,0,21,1,_maxLT))</f>
        <v>0</v>
      </c>
      <c r="AA169" s="13">
        <f ca="1">SUMPRODUCT(dFactor,tpSurvRad,INDEX(elecRad,stdCSL+1,4)*allOnes,OFFSET(tPrcElec,0,22,1,_maxLT))</f>
        <v>0</v>
      </c>
      <c r="AB169" s="13">
        <f ca="1">SUMPRODUCT(dFactor,tpSurvRad,INDEX(elecRad,stdCSL+1,4)*allOnes,OFFSET(tPrcElec,0,23,1,_maxLT))</f>
        <v>0</v>
      </c>
      <c r="AC169" s="13">
        <f ca="1">SUMPRODUCT(dFactor,tpSurvRad,INDEX(elecRad,stdCSL+1,4)*allOnes,OFFSET(tPrcElec,0,24,1,_maxLT))</f>
        <v>0</v>
      </c>
      <c r="AD169" s="13">
        <f ca="1">SUMPRODUCT(dFactor,tpSurvRad,INDEX(elecRad,stdCSL+1,4)*allOnes,OFFSET(tPrcElec,0,25,1,_maxLT))</f>
        <v>0</v>
      </c>
      <c r="AE169" s="13">
        <f ca="1">SUMPRODUCT(dFactor,tpSurvRad,INDEX(elecRad,stdCSL+1,4)*allOnes,OFFSET(tPrcElec,0,26,1,_maxLT))</f>
        <v>0</v>
      </c>
      <c r="AF169" s="13">
        <f ca="1">SUMPRODUCT(dFactor,tpSurvRad,INDEX(elecRad,stdCSL+1,4)*allOnes,OFFSET(tPrcElec,0,27,1,_maxLT))</f>
        <v>0</v>
      </c>
      <c r="AG169" s="13">
        <f ca="1">SUMPRODUCT(dFactor,tpSurvRad,INDEX(elecRad,stdCSL+1,4)*allOnes,OFFSET(tPrcElec,0,28,1,_maxLT))</f>
        <v>0</v>
      </c>
      <c r="AH169" s="13">
        <f ca="1">SUMPRODUCT(dFactor,tpSurvRad,INDEX(elecRad,stdCSL+1,4)*allOnes,OFFSET(tPrcElec,0,29,1,_maxLT))</f>
        <v>0</v>
      </c>
      <c r="AI169" s="13">
        <f ca="1">SUMPRODUCT(dFactor,tpSurvRad,INDEX(elecRad,stdCSL+1,4)*allOnes,OFFSET(tPrcElec,0,30,1,_maxLT))</f>
        <v>0</v>
      </c>
      <c r="AJ169" s="13">
        <f ca="1">SUMPRODUCT(dFactor,tpSurvRad,INDEX(elecRad,stdCSL+1,4)*allOnes,OFFSET(tPrcElec,0,31,1,_maxLT))</f>
        <v>0</v>
      </c>
      <c r="AK169" s="13">
        <f ca="1">SUMPRODUCT(dFactor,tpSurvRad,INDEX(elecRad,stdCSL+1,4)*allOnes,OFFSET(tPrcElec,0,32,1,_maxLT))</f>
        <v>0</v>
      </c>
      <c r="AL169" s="56">
        <f ca="1">SUMPRODUCT(dFactor,tpSurvRad,INDEX(elecRad,stdCSL+1,4)*allOnes,OFFSET(tPrcElec,0,33,1,_maxLT))</f>
        <v>0</v>
      </c>
      <c r="AM169" s="10"/>
    </row>
    <row r="170" spans="2:39">
      <c r="B170" s="10"/>
      <c r="C170" s="16" t="s">
        <v>79</v>
      </c>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5"/>
      <c r="AM170" s="10"/>
    </row>
    <row r="171" spans="2:39">
      <c r="B171" s="10"/>
      <c r="C171" s="28" t="str">
        <f>INDEX(_fuel,1)</f>
        <v>Electricity</v>
      </c>
      <c r="D171" s="12" t="s">
        <v>83</v>
      </c>
      <c r="E171" s="39">
        <f ca="1">SUMPRODUCT(OFFSET(tConvElecRad,0,0,1,_maxLT),INDEX(elecRad,stdCSL+1,4)*allOnes,tpSurvRad)</f>
        <v>0</v>
      </c>
      <c r="F171" s="39">
        <f ca="1">SUMPRODUCT(OFFSET(tConvElecRad,0,1,1,_maxLT),INDEX(elecRad,stdCSL+1,4)*allOnes,tpSurvRad)</f>
        <v>0</v>
      </c>
      <c r="G171" s="39">
        <f ca="1">SUMPRODUCT(OFFSET(tConvElecRad,0,2,1,_maxLT),INDEX(elecRad,stdCSL+1,4)*allOnes,tpSurvRad)</f>
        <v>0</v>
      </c>
      <c r="H171" s="39">
        <f ca="1">SUMPRODUCT(OFFSET(tConvElecRad,0,3,1,_maxLT),INDEX(elecRad,stdCSL+1,4)*allOnes,tpSurvRad)</f>
        <v>0</v>
      </c>
      <c r="I171" s="39">
        <f ca="1">SUMPRODUCT(OFFSET(tConvElecRad,0,4,1,_maxLT),INDEX(elecRad,stdCSL+1,4)*allOnes,tpSurvRad)</f>
        <v>0</v>
      </c>
      <c r="J171" s="39">
        <f ca="1">SUMPRODUCT(OFFSET(tConvElecRad,0,5,1,_maxLT),INDEX(elecRad,stdCSL+1,4)*allOnes,tpSurvRad)</f>
        <v>0</v>
      </c>
      <c r="K171" s="39">
        <f ca="1">SUMPRODUCT(OFFSET(tConvElecRad,0,6,1,_maxLT),INDEX(elecRad,stdCSL+1,4)*allOnes,tpSurvRad)</f>
        <v>0</v>
      </c>
      <c r="L171" s="39">
        <f ca="1">SUMPRODUCT(OFFSET(tConvElecRad,0,7,1,_maxLT),INDEX(elecRad,stdCSL+1,4)*allOnes,tpSurvRad)</f>
        <v>0</v>
      </c>
      <c r="M171" s="39">
        <f ca="1">SUMPRODUCT(OFFSET(tConvElecRad,0,8,1,_maxLT),INDEX(elecRad,stdCSL+1,4)*allOnes,tpSurvRad)</f>
        <v>0</v>
      </c>
      <c r="N171" s="39">
        <f ca="1">SUMPRODUCT(OFFSET(tConvElecRad,0,9,1,_maxLT),INDEX(elecRad,stdCSL+1,4)*allOnes,tpSurvRad)</f>
        <v>0</v>
      </c>
      <c r="O171" s="39">
        <f ca="1">SUMPRODUCT(OFFSET(tConvElecRad,0,10,1,_maxLT),INDEX(elecRad,stdCSL+1,4)*allOnes,tpSurvRad)</f>
        <v>0</v>
      </c>
      <c r="P171" s="39">
        <f ca="1">SUMPRODUCT(OFFSET(tConvElecRad,0,11,1,_maxLT),INDEX(elecRad,stdCSL+1,4)*allOnes,tpSurvRad)</f>
        <v>0</v>
      </c>
      <c r="Q171" s="39">
        <f ca="1">SUMPRODUCT(OFFSET(tConvElecRad,0,12,1,_maxLT),INDEX(elecRad,stdCSL+1,4)*allOnes,tpSurvRad)</f>
        <v>0</v>
      </c>
      <c r="R171" s="39">
        <f ca="1">SUMPRODUCT(OFFSET(tConvElecRad,0,13,1,_maxLT),INDEX(elecRad,stdCSL+1,4)*allOnes,tpSurvRad)</f>
        <v>0</v>
      </c>
      <c r="S171" s="39">
        <f ca="1">SUMPRODUCT(OFFSET(tConvElecRad,0,14,1,_maxLT),INDEX(elecRad,stdCSL+1,4)*allOnes,tpSurvRad)</f>
        <v>0</v>
      </c>
      <c r="T171" s="39">
        <f ca="1">SUMPRODUCT(OFFSET(tConvElecRad,0,15,1,_maxLT),INDEX(elecRad,stdCSL+1,4)*allOnes,tpSurvRad)</f>
        <v>0</v>
      </c>
      <c r="U171" s="39">
        <f ca="1">SUMPRODUCT(OFFSET(tConvElecRad,0,16,1,_maxLT),INDEX(elecRad,stdCSL+1,4)*allOnes,tpSurvRad)</f>
        <v>0</v>
      </c>
      <c r="V171" s="39">
        <f ca="1">SUMPRODUCT(OFFSET(tConvElecRad,0,17,1,_maxLT),INDEX(elecRad,stdCSL+1,4)*allOnes,tpSurvRad)</f>
        <v>0</v>
      </c>
      <c r="W171" s="39">
        <f ca="1">SUMPRODUCT(OFFSET(tConvElecRad,0,18,1,_maxLT),INDEX(elecRad,stdCSL+1,4)*allOnes,tpSurvRad)</f>
        <v>0</v>
      </c>
      <c r="X171" s="39">
        <f ca="1">SUMPRODUCT(OFFSET(tConvElecRad,0,19,1,_maxLT),INDEX(elecRad,stdCSL+1,4)*allOnes,tpSurvRad)</f>
        <v>0</v>
      </c>
      <c r="Y171" s="39">
        <f ca="1">SUMPRODUCT(OFFSET(tConvElecRad,0,20,1,_maxLT),INDEX(elecRad,stdCSL+1,4)*allOnes,tpSurvRad)</f>
        <v>0</v>
      </c>
      <c r="Z171" s="39">
        <f ca="1">SUMPRODUCT(OFFSET(tConvElecRad,0,21,1,_maxLT),INDEX(elecRad,stdCSL+1,4)*allOnes,tpSurvRad)</f>
        <v>0</v>
      </c>
      <c r="AA171" s="39">
        <f ca="1">SUMPRODUCT(OFFSET(tConvElecRad,0,22,1,_maxLT),INDEX(elecRad,stdCSL+1,4)*allOnes,tpSurvRad)</f>
        <v>0</v>
      </c>
      <c r="AB171" s="39">
        <f ca="1">SUMPRODUCT(OFFSET(tConvElecRad,0,23,1,_maxLT),INDEX(elecRad,stdCSL+1,4)*allOnes,tpSurvRad)</f>
        <v>0</v>
      </c>
      <c r="AC171" s="39">
        <f ca="1">SUMPRODUCT(OFFSET(tConvElecRad,0,24,1,_maxLT),INDEX(elecRad,stdCSL+1,4)*allOnes,tpSurvRad)</f>
        <v>0</v>
      </c>
      <c r="AD171" s="39">
        <f ca="1">SUMPRODUCT(OFFSET(tConvElecRad,0,25,1,_maxLT),INDEX(elecRad,stdCSL+1,4)*allOnes,tpSurvRad)</f>
        <v>0</v>
      </c>
      <c r="AE171" s="39">
        <f ca="1">SUMPRODUCT(OFFSET(tConvElecRad,0,26,1,_maxLT),INDEX(elecRad,stdCSL+1,4)*allOnes,tpSurvRad)</f>
        <v>0</v>
      </c>
      <c r="AF171" s="39">
        <f ca="1">SUMPRODUCT(OFFSET(tConvElecRad,0,27,1,_maxLT),INDEX(elecRad,stdCSL+1,4)*allOnes,tpSurvRad)</f>
        <v>0</v>
      </c>
      <c r="AG171" s="39">
        <f ca="1">SUMPRODUCT(OFFSET(tConvElecRad,0,28,1,_maxLT),INDEX(elecRad,stdCSL+1,4)*allOnes,tpSurvRad)</f>
        <v>0</v>
      </c>
      <c r="AH171" s="39">
        <f ca="1">SUMPRODUCT(OFFSET(tConvElecRad,0,29,1,_maxLT),INDEX(elecRad,stdCSL+1,4)*allOnes,tpSurvRad)</f>
        <v>0</v>
      </c>
      <c r="AI171" s="39">
        <f ca="1">SUMPRODUCT(OFFSET(tConvElecRad,0,30,1,_maxLT),INDEX(elecRad,stdCSL+1,4)*allOnes,tpSurvRad)</f>
        <v>0</v>
      </c>
      <c r="AJ171" s="39">
        <f ca="1">SUMPRODUCT(OFFSET(tConvElecRad,0,31,1,_maxLT),INDEX(elecRad,stdCSL+1,4)*allOnes,tpSurvRad)</f>
        <v>0</v>
      </c>
      <c r="AK171" s="39">
        <f ca="1">SUMPRODUCT(OFFSET(tConvElecRad,0,32,1,_maxLT),INDEX(elecRad,stdCSL+1,4)*allOnes,tpSurvRad)</f>
        <v>0</v>
      </c>
      <c r="AL171" s="40">
        <f ca="1">SUMPRODUCT(OFFSET(tConvElecRad,0,33,1,_maxLT),INDEX(elecRad,stdCSL+1,4)*allOnes,tpSurvRad)</f>
        <v>0</v>
      </c>
      <c r="AM171" s="10"/>
    </row>
    <row r="172" spans="2:39">
      <c r="B172" s="10"/>
      <c r="C172" s="57" t="str">
        <f>"EL 4: " &amp; INDEX(_doName,6,5)</f>
        <v>EL 4: EL 4</v>
      </c>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3"/>
      <c r="AM172" s="10"/>
    </row>
    <row r="173" spans="2:39">
      <c r="B173" s="10"/>
      <c r="C173" s="16" t="s">
        <v>69</v>
      </c>
      <c r="D173" s="12" t="str">
        <f>_yearDol &amp; "$"</f>
        <v>2015$</v>
      </c>
      <c r="E173" s="13">
        <f t="array" aca="1" ref="E173:AL173" ca="1">INDEX(mspRad,stdCSL+1,5)*tPIdxAll + INDEX(instRad,stdCSL+1,5) + IF(bESav,SUMPRODUCT(dFactor,tpSurvRad,INDEX(mrRad,stdCSL+1,5)*allOnes),0)</f>
        <v>0</v>
      </c>
      <c r="F173" s="13">
        <f ca="1"/>
        <v>0</v>
      </c>
      <c r="G173" s="13">
        <f ca="1"/>
        <v>0</v>
      </c>
      <c r="H173" s="13">
        <f ca="1"/>
        <v>0</v>
      </c>
      <c r="I173" s="13">
        <f ca="1"/>
        <v>0</v>
      </c>
      <c r="J173" s="13">
        <f ca="1"/>
        <v>0</v>
      </c>
      <c r="K173" s="13">
        <f ca="1"/>
        <v>0</v>
      </c>
      <c r="L173" s="13">
        <f ca="1"/>
        <v>0</v>
      </c>
      <c r="M173" s="13">
        <f ca="1"/>
        <v>0</v>
      </c>
      <c r="N173" s="13">
        <f ca="1"/>
        <v>0</v>
      </c>
      <c r="O173" s="13">
        <f ca="1"/>
        <v>0</v>
      </c>
      <c r="P173" s="13">
        <f ca="1"/>
        <v>0</v>
      </c>
      <c r="Q173" s="13">
        <f ca="1"/>
        <v>0</v>
      </c>
      <c r="R173" s="13">
        <f ca="1"/>
        <v>0</v>
      </c>
      <c r="S173" s="13">
        <f ca="1"/>
        <v>0</v>
      </c>
      <c r="T173" s="13">
        <f ca="1"/>
        <v>0</v>
      </c>
      <c r="U173" s="13">
        <f ca="1"/>
        <v>0</v>
      </c>
      <c r="V173" s="13">
        <f ca="1"/>
        <v>0</v>
      </c>
      <c r="W173" s="13">
        <f ca="1"/>
        <v>0</v>
      </c>
      <c r="X173" s="13">
        <f ca="1"/>
        <v>0</v>
      </c>
      <c r="Y173" s="13">
        <f ca="1"/>
        <v>0</v>
      </c>
      <c r="Z173" s="13">
        <f ca="1"/>
        <v>0</v>
      </c>
      <c r="AA173" s="13">
        <f ca="1"/>
        <v>0</v>
      </c>
      <c r="AB173" s="13">
        <f ca="1"/>
        <v>0</v>
      </c>
      <c r="AC173" s="13">
        <f ca="1"/>
        <v>0</v>
      </c>
      <c r="AD173" s="13">
        <f ca="1"/>
        <v>0</v>
      </c>
      <c r="AE173" s="13">
        <f ca="1"/>
        <v>0</v>
      </c>
      <c r="AF173" s="13">
        <f ca="1"/>
        <v>0</v>
      </c>
      <c r="AG173" s="13">
        <f ca="1"/>
        <v>0</v>
      </c>
      <c r="AH173" s="13">
        <f ca="1"/>
        <v>0</v>
      </c>
      <c r="AI173" s="13">
        <f ca="1"/>
        <v>0</v>
      </c>
      <c r="AJ173" s="13">
        <f ca="1"/>
        <v>0</v>
      </c>
      <c r="AK173" s="13">
        <f ca="1"/>
        <v>0</v>
      </c>
      <c r="AL173" s="56">
        <f ca="1"/>
        <v>0</v>
      </c>
      <c r="AM173" s="10"/>
    </row>
    <row r="174" spans="2:39">
      <c r="B174" s="10"/>
      <c r="C174" s="16" t="str">
        <f>zEO&amp;" Costs"</f>
        <v>Operating Costs</v>
      </c>
      <c r="D174" s="12" t="str">
        <f>_yearDol &amp; "$"</f>
        <v>2015$</v>
      </c>
      <c r="E174" s="13">
        <f t="array" aca="1" ref="E174:AL174" ca="1">(tlccEFuElecpol4) + IF(bOSav,SUMPRODUCT(dFactor,tpSurvRad,INDEX(mrRad,stdCSL+1,5)*allOnes),0)</f>
        <v>0</v>
      </c>
      <c r="F174" s="13">
        <f ca="1"/>
        <v>0</v>
      </c>
      <c r="G174" s="13">
        <f ca="1"/>
        <v>0</v>
      </c>
      <c r="H174" s="13">
        <f ca="1"/>
        <v>0</v>
      </c>
      <c r="I174" s="13">
        <f ca="1"/>
        <v>0</v>
      </c>
      <c r="J174" s="13">
        <f ca="1"/>
        <v>0</v>
      </c>
      <c r="K174" s="13">
        <f ca="1"/>
        <v>0</v>
      </c>
      <c r="L174" s="13">
        <f ca="1"/>
        <v>0</v>
      </c>
      <c r="M174" s="13">
        <f ca="1"/>
        <v>0</v>
      </c>
      <c r="N174" s="13">
        <f ca="1"/>
        <v>0</v>
      </c>
      <c r="O174" s="13">
        <f ca="1"/>
        <v>0</v>
      </c>
      <c r="P174" s="13">
        <f ca="1"/>
        <v>0</v>
      </c>
      <c r="Q174" s="13">
        <f ca="1"/>
        <v>0</v>
      </c>
      <c r="R174" s="13">
        <f ca="1"/>
        <v>0</v>
      </c>
      <c r="S174" s="13">
        <f ca="1"/>
        <v>0</v>
      </c>
      <c r="T174" s="13">
        <f ca="1"/>
        <v>0</v>
      </c>
      <c r="U174" s="13">
        <f ca="1"/>
        <v>0</v>
      </c>
      <c r="V174" s="13">
        <f ca="1"/>
        <v>0</v>
      </c>
      <c r="W174" s="13">
        <f ca="1"/>
        <v>0</v>
      </c>
      <c r="X174" s="13">
        <f ca="1"/>
        <v>0</v>
      </c>
      <c r="Y174" s="13">
        <f ca="1"/>
        <v>0</v>
      </c>
      <c r="Z174" s="13">
        <f ca="1"/>
        <v>0</v>
      </c>
      <c r="AA174" s="13">
        <f ca="1"/>
        <v>0</v>
      </c>
      <c r="AB174" s="13">
        <f ca="1"/>
        <v>0</v>
      </c>
      <c r="AC174" s="13">
        <f ca="1"/>
        <v>0</v>
      </c>
      <c r="AD174" s="13">
        <f ca="1"/>
        <v>0</v>
      </c>
      <c r="AE174" s="13">
        <f ca="1"/>
        <v>0</v>
      </c>
      <c r="AF174" s="13">
        <f ca="1"/>
        <v>0</v>
      </c>
      <c r="AG174" s="13">
        <f ca="1"/>
        <v>0</v>
      </c>
      <c r="AH174" s="13">
        <f ca="1"/>
        <v>0</v>
      </c>
      <c r="AI174" s="13">
        <f ca="1"/>
        <v>0</v>
      </c>
      <c r="AJ174" s="13">
        <f ca="1"/>
        <v>0</v>
      </c>
      <c r="AK174" s="13">
        <f ca="1"/>
        <v>0</v>
      </c>
      <c r="AL174" s="56">
        <f ca="1"/>
        <v>0</v>
      </c>
      <c r="AM174" s="10"/>
    </row>
    <row r="175" spans="2:39">
      <c r="B175" s="10"/>
      <c r="C175" s="28" t="str">
        <f>INDEX(_fuel,1)</f>
        <v>Electricity</v>
      </c>
      <c r="D175" s="12" t="str">
        <f>_yearDol &amp; "$"</f>
        <v>2015$</v>
      </c>
      <c r="E175" s="13">
        <f ca="1">SUMPRODUCT(dFactor,tpSurvRad,INDEX(elecRad,stdCSL+1,5)*allOnes,OFFSET(tPrcElec,0,0,1,_maxLT))</f>
        <v>0</v>
      </c>
      <c r="F175" s="13">
        <f ca="1">SUMPRODUCT(dFactor,tpSurvRad,INDEX(elecRad,stdCSL+1,5)*allOnes,OFFSET(tPrcElec,0,1,1,_maxLT))</f>
        <v>0</v>
      </c>
      <c r="G175" s="13">
        <f ca="1">SUMPRODUCT(dFactor,tpSurvRad,INDEX(elecRad,stdCSL+1,5)*allOnes,OFFSET(tPrcElec,0,2,1,_maxLT))</f>
        <v>0</v>
      </c>
      <c r="H175" s="13">
        <f ca="1">SUMPRODUCT(dFactor,tpSurvRad,INDEX(elecRad,stdCSL+1,5)*allOnes,OFFSET(tPrcElec,0,3,1,_maxLT))</f>
        <v>0</v>
      </c>
      <c r="I175" s="13">
        <f ca="1">SUMPRODUCT(dFactor,tpSurvRad,INDEX(elecRad,stdCSL+1,5)*allOnes,OFFSET(tPrcElec,0,4,1,_maxLT))</f>
        <v>0</v>
      </c>
      <c r="J175" s="13">
        <f ca="1">SUMPRODUCT(dFactor,tpSurvRad,INDEX(elecRad,stdCSL+1,5)*allOnes,OFFSET(tPrcElec,0,5,1,_maxLT))</f>
        <v>0</v>
      </c>
      <c r="K175" s="13">
        <f ca="1">SUMPRODUCT(dFactor,tpSurvRad,INDEX(elecRad,stdCSL+1,5)*allOnes,OFFSET(tPrcElec,0,6,1,_maxLT))</f>
        <v>0</v>
      </c>
      <c r="L175" s="13">
        <f ca="1">SUMPRODUCT(dFactor,tpSurvRad,INDEX(elecRad,stdCSL+1,5)*allOnes,OFFSET(tPrcElec,0,7,1,_maxLT))</f>
        <v>0</v>
      </c>
      <c r="M175" s="13">
        <f ca="1">SUMPRODUCT(dFactor,tpSurvRad,INDEX(elecRad,stdCSL+1,5)*allOnes,OFFSET(tPrcElec,0,8,1,_maxLT))</f>
        <v>0</v>
      </c>
      <c r="N175" s="13">
        <f ca="1">SUMPRODUCT(dFactor,tpSurvRad,INDEX(elecRad,stdCSL+1,5)*allOnes,OFFSET(tPrcElec,0,9,1,_maxLT))</f>
        <v>0</v>
      </c>
      <c r="O175" s="13">
        <f ca="1">SUMPRODUCT(dFactor,tpSurvRad,INDEX(elecRad,stdCSL+1,5)*allOnes,OFFSET(tPrcElec,0,10,1,_maxLT))</f>
        <v>0</v>
      </c>
      <c r="P175" s="13">
        <f ca="1">SUMPRODUCT(dFactor,tpSurvRad,INDEX(elecRad,stdCSL+1,5)*allOnes,OFFSET(tPrcElec,0,11,1,_maxLT))</f>
        <v>0</v>
      </c>
      <c r="Q175" s="13">
        <f ca="1">SUMPRODUCT(dFactor,tpSurvRad,INDEX(elecRad,stdCSL+1,5)*allOnes,OFFSET(tPrcElec,0,12,1,_maxLT))</f>
        <v>0</v>
      </c>
      <c r="R175" s="13">
        <f ca="1">SUMPRODUCT(dFactor,tpSurvRad,INDEX(elecRad,stdCSL+1,5)*allOnes,OFFSET(tPrcElec,0,13,1,_maxLT))</f>
        <v>0</v>
      </c>
      <c r="S175" s="13">
        <f ca="1">SUMPRODUCT(dFactor,tpSurvRad,INDEX(elecRad,stdCSL+1,5)*allOnes,OFFSET(tPrcElec,0,14,1,_maxLT))</f>
        <v>0</v>
      </c>
      <c r="T175" s="13">
        <f ca="1">SUMPRODUCT(dFactor,tpSurvRad,INDEX(elecRad,stdCSL+1,5)*allOnes,OFFSET(tPrcElec,0,15,1,_maxLT))</f>
        <v>0</v>
      </c>
      <c r="U175" s="13">
        <f ca="1">SUMPRODUCT(dFactor,tpSurvRad,INDEX(elecRad,stdCSL+1,5)*allOnes,OFFSET(tPrcElec,0,16,1,_maxLT))</f>
        <v>0</v>
      </c>
      <c r="V175" s="13">
        <f ca="1">SUMPRODUCT(dFactor,tpSurvRad,INDEX(elecRad,stdCSL+1,5)*allOnes,OFFSET(tPrcElec,0,17,1,_maxLT))</f>
        <v>0</v>
      </c>
      <c r="W175" s="13">
        <f ca="1">SUMPRODUCT(dFactor,tpSurvRad,INDEX(elecRad,stdCSL+1,5)*allOnes,OFFSET(tPrcElec,0,18,1,_maxLT))</f>
        <v>0</v>
      </c>
      <c r="X175" s="13">
        <f ca="1">SUMPRODUCT(dFactor,tpSurvRad,INDEX(elecRad,stdCSL+1,5)*allOnes,OFFSET(tPrcElec,0,19,1,_maxLT))</f>
        <v>0</v>
      </c>
      <c r="Y175" s="13">
        <f ca="1">SUMPRODUCT(dFactor,tpSurvRad,INDEX(elecRad,stdCSL+1,5)*allOnes,OFFSET(tPrcElec,0,20,1,_maxLT))</f>
        <v>0</v>
      </c>
      <c r="Z175" s="13">
        <f ca="1">SUMPRODUCT(dFactor,tpSurvRad,INDEX(elecRad,stdCSL+1,5)*allOnes,OFFSET(tPrcElec,0,21,1,_maxLT))</f>
        <v>0</v>
      </c>
      <c r="AA175" s="13">
        <f ca="1">SUMPRODUCT(dFactor,tpSurvRad,INDEX(elecRad,stdCSL+1,5)*allOnes,OFFSET(tPrcElec,0,22,1,_maxLT))</f>
        <v>0</v>
      </c>
      <c r="AB175" s="13">
        <f ca="1">SUMPRODUCT(dFactor,tpSurvRad,INDEX(elecRad,stdCSL+1,5)*allOnes,OFFSET(tPrcElec,0,23,1,_maxLT))</f>
        <v>0</v>
      </c>
      <c r="AC175" s="13">
        <f ca="1">SUMPRODUCT(dFactor,tpSurvRad,INDEX(elecRad,stdCSL+1,5)*allOnes,OFFSET(tPrcElec,0,24,1,_maxLT))</f>
        <v>0</v>
      </c>
      <c r="AD175" s="13">
        <f ca="1">SUMPRODUCT(dFactor,tpSurvRad,INDEX(elecRad,stdCSL+1,5)*allOnes,OFFSET(tPrcElec,0,25,1,_maxLT))</f>
        <v>0</v>
      </c>
      <c r="AE175" s="13">
        <f ca="1">SUMPRODUCT(dFactor,tpSurvRad,INDEX(elecRad,stdCSL+1,5)*allOnes,OFFSET(tPrcElec,0,26,1,_maxLT))</f>
        <v>0</v>
      </c>
      <c r="AF175" s="13">
        <f ca="1">SUMPRODUCT(dFactor,tpSurvRad,INDEX(elecRad,stdCSL+1,5)*allOnes,OFFSET(tPrcElec,0,27,1,_maxLT))</f>
        <v>0</v>
      </c>
      <c r="AG175" s="13">
        <f ca="1">SUMPRODUCT(dFactor,tpSurvRad,INDEX(elecRad,stdCSL+1,5)*allOnes,OFFSET(tPrcElec,0,28,1,_maxLT))</f>
        <v>0</v>
      </c>
      <c r="AH175" s="13">
        <f ca="1">SUMPRODUCT(dFactor,tpSurvRad,INDEX(elecRad,stdCSL+1,5)*allOnes,OFFSET(tPrcElec,0,29,1,_maxLT))</f>
        <v>0</v>
      </c>
      <c r="AI175" s="13">
        <f ca="1">SUMPRODUCT(dFactor,tpSurvRad,INDEX(elecRad,stdCSL+1,5)*allOnes,OFFSET(tPrcElec,0,30,1,_maxLT))</f>
        <v>0</v>
      </c>
      <c r="AJ175" s="13">
        <f ca="1">SUMPRODUCT(dFactor,tpSurvRad,INDEX(elecRad,stdCSL+1,5)*allOnes,OFFSET(tPrcElec,0,31,1,_maxLT))</f>
        <v>0</v>
      </c>
      <c r="AK175" s="13">
        <f ca="1">SUMPRODUCT(dFactor,tpSurvRad,INDEX(elecRad,stdCSL+1,5)*allOnes,OFFSET(tPrcElec,0,32,1,_maxLT))</f>
        <v>0</v>
      </c>
      <c r="AL175" s="56">
        <f ca="1">SUMPRODUCT(dFactor,tpSurvRad,INDEX(elecRad,stdCSL+1,5)*allOnes,OFFSET(tPrcElec,0,33,1,_maxLT))</f>
        <v>0</v>
      </c>
      <c r="AM175" s="10"/>
    </row>
    <row r="176" spans="2:39">
      <c r="B176" s="10"/>
      <c r="C176" s="16" t="s">
        <v>79</v>
      </c>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5"/>
      <c r="AM176" s="10"/>
    </row>
    <row r="177" spans="2:39">
      <c r="B177" s="10"/>
      <c r="C177" s="28" t="str">
        <f>INDEX(_fuel,1)</f>
        <v>Electricity</v>
      </c>
      <c r="D177" s="12" t="s">
        <v>83</v>
      </c>
      <c r="E177" s="39">
        <f ca="1">SUMPRODUCT(OFFSET(tConvElecRad,0,0,1,_maxLT),INDEX(elecRad,stdCSL+1,5)*allOnes,tpSurvRad)</f>
        <v>0</v>
      </c>
      <c r="F177" s="39">
        <f ca="1">SUMPRODUCT(OFFSET(tConvElecRad,0,1,1,_maxLT),INDEX(elecRad,stdCSL+1,5)*allOnes,tpSurvRad)</f>
        <v>0</v>
      </c>
      <c r="G177" s="39">
        <f ca="1">SUMPRODUCT(OFFSET(tConvElecRad,0,2,1,_maxLT),INDEX(elecRad,stdCSL+1,5)*allOnes,tpSurvRad)</f>
        <v>0</v>
      </c>
      <c r="H177" s="39">
        <f ca="1">SUMPRODUCT(OFFSET(tConvElecRad,0,3,1,_maxLT),INDEX(elecRad,stdCSL+1,5)*allOnes,tpSurvRad)</f>
        <v>0</v>
      </c>
      <c r="I177" s="39">
        <f ca="1">SUMPRODUCT(OFFSET(tConvElecRad,0,4,1,_maxLT),INDEX(elecRad,stdCSL+1,5)*allOnes,tpSurvRad)</f>
        <v>0</v>
      </c>
      <c r="J177" s="39">
        <f ca="1">SUMPRODUCT(OFFSET(tConvElecRad,0,5,1,_maxLT),INDEX(elecRad,stdCSL+1,5)*allOnes,tpSurvRad)</f>
        <v>0</v>
      </c>
      <c r="K177" s="39">
        <f ca="1">SUMPRODUCT(OFFSET(tConvElecRad,0,6,1,_maxLT),INDEX(elecRad,stdCSL+1,5)*allOnes,tpSurvRad)</f>
        <v>0</v>
      </c>
      <c r="L177" s="39">
        <f ca="1">SUMPRODUCT(OFFSET(tConvElecRad,0,7,1,_maxLT),INDEX(elecRad,stdCSL+1,5)*allOnes,tpSurvRad)</f>
        <v>0</v>
      </c>
      <c r="M177" s="39">
        <f ca="1">SUMPRODUCT(OFFSET(tConvElecRad,0,8,1,_maxLT),INDEX(elecRad,stdCSL+1,5)*allOnes,tpSurvRad)</f>
        <v>0</v>
      </c>
      <c r="N177" s="39">
        <f ca="1">SUMPRODUCT(OFFSET(tConvElecRad,0,9,1,_maxLT),INDEX(elecRad,stdCSL+1,5)*allOnes,tpSurvRad)</f>
        <v>0</v>
      </c>
      <c r="O177" s="39">
        <f ca="1">SUMPRODUCT(OFFSET(tConvElecRad,0,10,1,_maxLT),INDEX(elecRad,stdCSL+1,5)*allOnes,tpSurvRad)</f>
        <v>0</v>
      </c>
      <c r="P177" s="39">
        <f ca="1">SUMPRODUCT(OFFSET(tConvElecRad,0,11,1,_maxLT),INDEX(elecRad,stdCSL+1,5)*allOnes,tpSurvRad)</f>
        <v>0</v>
      </c>
      <c r="Q177" s="39">
        <f ca="1">SUMPRODUCT(OFFSET(tConvElecRad,0,12,1,_maxLT),INDEX(elecRad,stdCSL+1,5)*allOnes,tpSurvRad)</f>
        <v>0</v>
      </c>
      <c r="R177" s="39">
        <f ca="1">SUMPRODUCT(OFFSET(tConvElecRad,0,13,1,_maxLT),INDEX(elecRad,stdCSL+1,5)*allOnes,tpSurvRad)</f>
        <v>0</v>
      </c>
      <c r="S177" s="39">
        <f ca="1">SUMPRODUCT(OFFSET(tConvElecRad,0,14,1,_maxLT),INDEX(elecRad,stdCSL+1,5)*allOnes,tpSurvRad)</f>
        <v>0</v>
      </c>
      <c r="T177" s="39">
        <f ca="1">SUMPRODUCT(OFFSET(tConvElecRad,0,15,1,_maxLT),INDEX(elecRad,stdCSL+1,5)*allOnes,tpSurvRad)</f>
        <v>0</v>
      </c>
      <c r="U177" s="39">
        <f ca="1">SUMPRODUCT(OFFSET(tConvElecRad,0,16,1,_maxLT),INDEX(elecRad,stdCSL+1,5)*allOnes,tpSurvRad)</f>
        <v>0</v>
      </c>
      <c r="V177" s="39">
        <f ca="1">SUMPRODUCT(OFFSET(tConvElecRad,0,17,1,_maxLT),INDEX(elecRad,stdCSL+1,5)*allOnes,tpSurvRad)</f>
        <v>0</v>
      </c>
      <c r="W177" s="39">
        <f ca="1">SUMPRODUCT(OFFSET(tConvElecRad,0,18,1,_maxLT),INDEX(elecRad,stdCSL+1,5)*allOnes,tpSurvRad)</f>
        <v>0</v>
      </c>
      <c r="X177" s="39">
        <f ca="1">SUMPRODUCT(OFFSET(tConvElecRad,0,19,1,_maxLT),INDEX(elecRad,stdCSL+1,5)*allOnes,tpSurvRad)</f>
        <v>0</v>
      </c>
      <c r="Y177" s="39">
        <f ca="1">SUMPRODUCT(OFFSET(tConvElecRad,0,20,1,_maxLT),INDEX(elecRad,stdCSL+1,5)*allOnes,tpSurvRad)</f>
        <v>0</v>
      </c>
      <c r="Z177" s="39">
        <f ca="1">SUMPRODUCT(OFFSET(tConvElecRad,0,21,1,_maxLT),INDEX(elecRad,stdCSL+1,5)*allOnes,tpSurvRad)</f>
        <v>0</v>
      </c>
      <c r="AA177" s="39">
        <f ca="1">SUMPRODUCT(OFFSET(tConvElecRad,0,22,1,_maxLT),INDEX(elecRad,stdCSL+1,5)*allOnes,tpSurvRad)</f>
        <v>0</v>
      </c>
      <c r="AB177" s="39">
        <f ca="1">SUMPRODUCT(OFFSET(tConvElecRad,0,23,1,_maxLT),INDEX(elecRad,stdCSL+1,5)*allOnes,tpSurvRad)</f>
        <v>0</v>
      </c>
      <c r="AC177" s="39">
        <f ca="1">SUMPRODUCT(OFFSET(tConvElecRad,0,24,1,_maxLT),INDEX(elecRad,stdCSL+1,5)*allOnes,tpSurvRad)</f>
        <v>0</v>
      </c>
      <c r="AD177" s="39">
        <f ca="1">SUMPRODUCT(OFFSET(tConvElecRad,0,25,1,_maxLT),INDEX(elecRad,stdCSL+1,5)*allOnes,tpSurvRad)</f>
        <v>0</v>
      </c>
      <c r="AE177" s="39">
        <f ca="1">SUMPRODUCT(OFFSET(tConvElecRad,0,26,1,_maxLT),INDEX(elecRad,stdCSL+1,5)*allOnes,tpSurvRad)</f>
        <v>0</v>
      </c>
      <c r="AF177" s="39">
        <f ca="1">SUMPRODUCT(OFFSET(tConvElecRad,0,27,1,_maxLT),INDEX(elecRad,stdCSL+1,5)*allOnes,tpSurvRad)</f>
        <v>0</v>
      </c>
      <c r="AG177" s="39">
        <f ca="1">SUMPRODUCT(OFFSET(tConvElecRad,0,28,1,_maxLT),INDEX(elecRad,stdCSL+1,5)*allOnes,tpSurvRad)</f>
        <v>0</v>
      </c>
      <c r="AH177" s="39">
        <f ca="1">SUMPRODUCT(OFFSET(tConvElecRad,0,29,1,_maxLT),INDEX(elecRad,stdCSL+1,5)*allOnes,tpSurvRad)</f>
        <v>0</v>
      </c>
      <c r="AI177" s="39">
        <f ca="1">SUMPRODUCT(OFFSET(tConvElecRad,0,30,1,_maxLT),INDEX(elecRad,stdCSL+1,5)*allOnes,tpSurvRad)</f>
        <v>0</v>
      </c>
      <c r="AJ177" s="39">
        <f ca="1">SUMPRODUCT(OFFSET(tConvElecRad,0,31,1,_maxLT),INDEX(elecRad,stdCSL+1,5)*allOnes,tpSurvRad)</f>
        <v>0</v>
      </c>
      <c r="AK177" s="39">
        <f ca="1">SUMPRODUCT(OFFSET(tConvElecRad,0,32,1,_maxLT),INDEX(elecRad,stdCSL+1,5)*allOnes,tpSurvRad)</f>
        <v>0</v>
      </c>
      <c r="AL177" s="40">
        <f ca="1">SUMPRODUCT(OFFSET(tConvElecRad,0,33,1,_maxLT),INDEX(elecRad,stdCSL+1,5)*allOnes,tpSurvRad)</f>
        <v>0</v>
      </c>
      <c r="AM177" s="10"/>
    </row>
    <row r="178" spans="2:39">
      <c r="B178" s="10"/>
      <c r="C178" s="57" t="str">
        <f>"EL 5: " &amp; INDEX(_doName,6,6)</f>
        <v>EL 5: EL 5</v>
      </c>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3"/>
      <c r="AM178" s="10"/>
    </row>
    <row r="179" spans="2:39">
      <c r="B179" s="10"/>
      <c r="C179" s="16" t="s">
        <v>69</v>
      </c>
      <c r="D179" s="12" t="str">
        <f>_yearDol &amp; "$"</f>
        <v>2015$</v>
      </c>
      <c r="E179" s="13">
        <f t="array" aca="1" ref="E179:AL179" ca="1">INDEX(mspRad,stdCSL+1,6)*tPIdxAll + INDEX(instRad,stdCSL+1,6) + IF(bESav,SUMPRODUCT(dFactor,tpSurvRad,INDEX(mrRad,stdCSL+1,6)*allOnes),0)</f>
        <v>2787.7943680121398</v>
      </c>
      <c r="F179" s="13">
        <f ca="1"/>
        <v>2787.7943680121398</v>
      </c>
      <c r="G179" s="13">
        <f ca="1"/>
        <v>2787.7943680121398</v>
      </c>
      <c r="H179" s="13">
        <f ca="1"/>
        <v>2787.7943680121398</v>
      </c>
      <c r="I179" s="13">
        <f ca="1"/>
        <v>2787.7943680121398</v>
      </c>
      <c r="J179" s="13">
        <f ca="1"/>
        <v>2787.7943680121398</v>
      </c>
      <c r="K179" s="13">
        <f ca="1"/>
        <v>2787.7943680121398</v>
      </c>
      <c r="L179" s="13">
        <f ca="1"/>
        <v>2787.7943680121398</v>
      </c>
      <c r="M179" s="13">
        <f ca="1"/>
        <v>2787.7943680121398</v>
      </c>
      <c r="N179" s="13">
        <f ca="1"/>
        <v>2787.7943680121398</v>
      </c>
      <c r="O179" s="13">
        <f ca="1"/>
        <v>2787.7943680121398</v>
      </c>
      <c r="P179" s="13">
        <f ca="1"/>
        <v>2787.7943680121398</v>
      </c>
      <c r="Q179" s="13">
        <f ca="1"/>
        <v>2787.7943680121398</v>
      </c>
      <c r="R179" s="13">
        <f ca="1"/>
        <v>2787.7943680121398</v>
      </c>
      <c r="S179" s="13">
        <f ca="1"/>
        <v>2787.7943680121398</v>
      </c>
      <c r="T179" s="13">
        <f ca="1"/>
        <v>2787.7943680121398</v>
      </c>
      <c r="U179" s="13">
        <f ca="1"/>
        <v>2787.7943680121398</v>
      </c>
      <c r="V179" s="13">
        <f ca="1"/>
        <v>2787.7943680121398</v>
      </c>
      <c r="W179" s="13">
        <f ca="1"/>
        <v>2787.7943680121398</v>
      </c>
      <c r="X179" s="13">
        <f ca="1"/>
        <v>2787.7943680121398</v>
      </c>
      <c r="Y179" s="13">
        <f ca="1"/>
        <v>2787.7943680121398</v>
      </c>
      <c r="Z179" s="13">
        <f ca="1"/>
        <v>2787.7943680121398</v>
      </c>
      <c r="AA179" s="13">
        <f ca="1"/>
        <v>2787.7943680121398</v>
      </c>
      <c r="AB179" s="13">
        <f ca="1"/>
        <v>2787.7943680121398</v>
      </c>
      <c r="AC179" s="13">
        <f ca="1"/>
        <v>2787.7943680121398</v>
      </c>
      <c r="AD179" s="13">
        <f ca="1"/>
        <v>2787.7943680121398</v>
      </c>
      <c r="AE179" s="13">
        <f ca="1"/>
        <v>2787.7943680121398</v>
      </c>
      <c r="AF179" s="13">
        <f ca="1"/>
        <v>2787.7943680121398</v>
      </c>
      <c r="AG179" s="13">
        <f ca="1"/>
        <v>2787.7943680121398</v>
      </c>
      <c r="AH179" s="13">
        <f ca="1"/>
        <v>2787.7943680121398</v>
      </c>
      <c r="AI179" s="13">
        <f ca="1"/>
        <v>2787.7943680121398</v>
      </c>
      <c r="AJ179" s="13">
        <f ca="1"/>
        <v>2787.7943680121398</v>
      </c>
      <c r="AK179" s="13">
        <f ca="1"/>
        <v>2787.7943680121398</v>
      </c>
      <c r="AL179" s="56">
        <f ca="1"/>
        <v>2787.7943680121398</v>
      </c>
      <c r="AM179" s="10"/>
    </row>
    <row r="180" spans="2:39">
      <c r="B180" s="10"/>
      <c r="C180" s="16" t="str">
        <f>zEO&amp;" Costs"</f>
        <v>Operating Costs</v>
      </c>
      <c r="D180" s="12" t="str">
        <f>_yearDol &amp; "$"</f>
        <v>2015$</v>
      </c>
      <c r="E180" s="13">
        <f t="array" aca="1" ref="E180:AL180" ca="1">(tlccEFuElecpol5) + IF(bOSav,SUMPRODUCT(dFactor,tpSurvRad,INDEX(mrRad,stdCSL+1,6)*allOnes),0)</f>
        <v>75308.089187099511</v>
      </c>
      <c r="F180" s="13">
        <f ca="1"/>
        <v>75918.801041399769</v>
      </c>
      <c r="G180" s="13">
        <f ca="1"/>
        <v>76511.263731231884</v>
      </c>
      <c r="H180" s="13">
        <f ca="1"/>
        <v>77045.965223801133</v>
      </c>
      <c r="I180" s="13">
        <f ca="1"/>
        <v>77531.27563304604</v>
      </c>
      <c r="J180" s="13">
        <f ca="1"/>
        <v>78019.708175721884</v>
      </c>
      <c r="K180" s="13">
        <f ca="1"/>
        <v>78511.283412776713</v>
      </c>
      <c r="L180" s="13">
        <f ca="1"/>
        <v>79006.022043959412</v>
      </c>
      <c r="M180" s="13">
        <f ca="1"/>
        <v>79503.944908779493</v>
      </c>
      <c r="N180" s="13">
        <f ca="1"/>
        <v>80005.072987475694</v>
      </c>
      <c r="O180" s="13">
        <f ca="1"/>
        <v>80509.427401989451</v>
      </c>
      <c r="P180" s="13">
        <f ca="1"/>
        <v>81017.029416946592</v>
      </c>
      <c r="Q180" s="13">
        <f ca="1"/>
        <v>81527.900440645273</v>
      </c>
      <c r="R180" s="13">
        <f ca="1"/>
        <v>82042.062026051804</v>
      </c>
      <c r="S180" s="13">
        <f ca="1"/>
        <v>82559.535871802262</v>
      </c>
      <c r="T180" s="13">
        <f ca="1"/>
        <v>83080.343823212155</v>
      </c>
      <c r="U180" s="13">
        <f ca="1"/>
        <v>83604.507873293245</v>
      </c>
      <c r="V180" s="13">
        <f ca="1"/>
        <v>84132.050163776905</v>
      </c>
      <c r="W180" s="13">
        <f ca="1"/>
        <v>84662.992986145648</v>
      </c>
      <c r="X180" s="13">
        <f ca="1"/>
        <v>85197.358782670999</v>
      </c>
      <c r="Y180" s="13">
        <f ca="1"/>
        <v>85735.170147459547</v>
      </c>
      <c r="Z180" s="13">
        <f ca="1"/>
        <v>86276.449827506338</v>
      </c>
      <c r="AA180" s="13">
        <f ca="1"/>
        <v>86821.220723754945</v>
      </c>
      <c r="AB180" s="13">
        <f ca="1"/>
        <v>87369.505892166213</v>
      </c>
      <c r="AC180" s="13">
        <f ca="1"/>
        <v>87921.328544793869</v>
      </c>
      <c r="AD180" s="13">
        <f ca="1"/>
        <v>88476.712050867543</v>
      </c>
      <c r="AE180" s="13">
        <f ca="1"/>
        <v>89035.679937884866</v>
      </c>
      <c r="AF180" s="13">
        <f ca="1"/>
        <v>89598.255892709189</v>
      </c>
      <c r="AG180" s="13">
        <f ca="1"/>
        <v>90164.463762677391</v>
      </c>
      <c r="AH180" s="13">
        <f ca="1"/>
        <v>90734.327556713557</v>
      </c>
      <c r="AI180" s="13">
        <f ca="1"/>
        <v>91307.871446452002</v>
      </c>
      <c r="AJ180" s="13">
        <f ca="1"/>
        <v>91885.119767367622</v>
      </c>
      <c r="AK180" s="13">
        <f ca="1"/>
        <v>92466.097019914392</v>
      </c>
      <c r="AL180" s="56">
        <f ca="1"/>
        <v>93050.827870671957</v>
      </c>
      <c r="AM180" s="10"/>
    </row>
    <row r="181" spans="2:39">
      <c r="B181" s="10"/>
      <c r="C181" s="28" t="str">
        <f>INDEX(_fuel,1)</f>
        <v>Electricity</v>
      </c>
      <c r="D181" s="12" t="str">
        <f>_yearDol &amp; "$"</f>
        <v>2015$</v>
      </c>
      <c r="E181" s="13">
        <f ca="1">SUMPRODUCT(dFactor,tpSurvRad,INDEX(elecRad,stdCSL+1,6)*allOnes,OFFSET(tPrcElec,0,0,1,_maxLT))</f>
        <v>75308.089187099511</v>
      </c>
      <c r="F181" s="13">
        <f ca="1">SUMPRODUCT(dFactor,tpSurvRad,INDEX(elecRad,stdCSL+1,6)*allOnes,OFFSET(tPrcElec,0,1,1,_maxLT))</f>
        <v>75918.801041399769</v>
      </c>
      <c r="G181" s="13">
        <f ca="1">SUMPRODUCT(dFactor,tpSurvRad,INDEX(elecRad,stdCSL+1,6)*allOnes,OFFSET(tPrcElec,0,2,1,_maxLT))</f>
        <v>76511.263731231884</v>
      </c>
      <c r="H181" s="13">
        <f ca="1">SUMPRODUCT(dFactor,tpSurvRad,INDEX(elecRad,stdCSL+1,6)*allOnes,OFFSET(tPrcElec,0,3,1,_maxLT))</f>
        <v>77045.965223801133</v>
      </c>
      <c r="I181" s="13">
        <f ca="1">SUMPRODUCT(dFactor,tpSurvRad,INDEX(elecRad,stdCSL+1,6)*allOnes,OFFSET(tPrcElec,0,4,1,_maxLT))</f>
        <v>77531.27563304604</v>
      </c>
      <c r="J181" s="13">
        <f ca="1">SUMPRODUCT(dFactor,tpSurvRad,INDEX(elecRad,stdCSL+1,6)*allOnes,OFFSET(tPrcElec,0,5,1,_maxLT))</f>
        <v>78019.708175721884</v>
      </c>
      <c r="K181" s="13">
        <f ca="1">SUMPRODUCT(dFactor,tpSurvRad,INDEX(elecRad,stdCSL+1,6)*allOnes,OFFSET(tPrcElec,0,6,1,_maxLT))</f>
        <v>78511.283412776713</v>
      </c>
      <c r="L181" s="13">
        <f ca="1">SUMPRODUCT(dFactor,tpSurvRad,INDEX(elecRad,stdCSL+1,6)*allOnes,OFFSET(tPrcElec,0,7,1,_maxLT))</f>
        <v>79006.022043959412</v>
      </c>
      <c r="M181" s="13">
        <f ca="1">SUMPRODUCT(dFactor,tpSurvRad,INDEX(elecRad,stdCSL+1,6)*allOnes,OFFSET(tPrcElec,0,8,1,_maxLT))</f>
        <v>79503.944908779493</v>
      </c>
      <c r="N181" s="13">
        <f ca="1">SUMPRODUCT(dFactor,tpSurvRad,INDEX(elecRad,stdCSL+1,6)*allOnes,OFFSET(tPrcElec,0,9,1,_maxLT))</f>
        <v>80005.072987475694</v>
      </c>
      <c r="O181" s="13">
        <f ca="1">SUMPRODUCT(dFactor,tpSurvRad,INDEX(elecRad,stdCSL+1,6)*allOnes,OFFSET(tPrcElec,0,10,1,_maxLT))</f>
        <v>80509.427401989451</v>
      </c>
      <c r="P181" s="13">
        <f ca="1">SUMPRODUCT(dFactor,tpSurvRad,INDEX(elecRad,stdCSL+1,6)*allOnes,OFFSET(tPrcElec,0,11,1,_maxLT))</f>
        <v>81017.029416946592</v>
      </c>
      <c r="Q181" s="13">
        <f ca="1">SUMPRODUCT(dFactor,tpSurvRad,INDEX(elecRad,stdCSL+1,6)*allOnes,OFFSET(tPrcElec,0,12,1,_maxLT))</f>
        <v>81527.900440645273</v>
      </c>
      <c r="R181" s="13">
        <f ca="1">SUMPRODUCT(dFactor,tpSurvRad,INDEX(elecRad,stdCSL+1,6)*allOnes,OFFSET(tPrcElec,0,13,1,_maxLT))</f>
        <v>82042.062026051804</v>
      </c>
      <c r="S181" s="13">
        <f ca="1">SUMPRODUCT(dFactor,tpSurvRad,INDEX(elecRad,stdCSL+1,6)*allOnes,OFFSET(tPrcElec,0,14,1,_maxLT))</f>
        <v>82559.535871802262</v>
      </c>
      <c r="T181" s="13">
        <f ca="1">SUMPRODUCT(dFactor,tpSurvRad,INDEX(elecRad,stdCSL+1,6)*allOnes,OFFSET(tPrcElec,0,15,1,_maxLT))</f>
        <v>83080.343823212155</v>
      </c>
      <c r="U181" s="13">
        <f ca="1">SUMPRODUCT(dFactor,tpSurvRad,INDEX(elecRad,stdCSL+1,6)*allOnes,OFFSET(tPrcElec,0,16,1,_maxLT))</f>
        <v>83604.507873293245</v>
      </c>
      <c r="V181" s="13">
        <f ca="1">SUMPRODUCT(dFactor,tpSurvRad,INDEX(elecRad,stdCSL+1,6)*allOnes,OFFSET(tPrcElec,0,17,1,_maxLT))</f>
        <v>84132.050163776905</v>
      </c>
      <c r="W181" s="13">
        <f ca="1">SUMPRODUCT(dFactor,tpSurvRad,INDEX(elecRad,stdCSL+1,6)*allOnes,OFFSET(tPrcElec,0,18,1,_maxLT))</f>
        <v>84662.992986145648</v>
      </c>
      <c r="X181" s="13">
        <f ca="1">SUMPRODUCT(dFactor,tpSurvRad,INDEX(elecRad,stdCSL+1,6)*allOnes,OFFSET(tPrcElec,0,19,1,_maxLT))</f>
        <v>85197.358782670999</v>
      </c>
      <c r="Y181" s="13">
        <f ca="1">SUMPRODUCT(dFactor,tpSurvRad,INDEX(elecRad,stdCSL+1,6)*allOnes,OFFSET(tPrcElec,0,20,1,_maxLT))</f>
        <v>85735.170147459547</v>
      </c>
      <c r="Z181" s="13">
        <f ca="1">SUMPRODUCT(dFactor,tpSurvRad,INDEX(elecRad,stdCSL+1,6)*allOnes,OFFSET(tPrcElec,0,21,1,_maxLT))</f>
        <v>86276.449827506338</v>
      </c>
      <c r="AA181" s="13">
        <f ca="1">SUMPRODUCT(dFactor,tpSurvRad,INDEX(elecRad,stdCSL+1,6)*allOnes,OFFSET(tPrcElec,0,22,1,_maxLT))</f>
        <v>86821.220723754945</v>
      </c>
      <c r="AB181" s="13">
        <f ca="1">SUMPRODUCT(dFactor,tpSurvRad,INDEX(elecRad,stdCSL+1,6)*allOnes,OFFSET(tPrcElec,0,23,1,_maxLT))</f>
        <v>87369.505892166213</v>
      </c>
      <c r="AC181" s="13">
        <f ca="1">SUMPRODUCT(dFactor,tpSurvRad,INDEX(elecRad,stdCSL+1,6)*allOnes,OFFSET(tPrcElec,0,24,1,_maxLT))</f>
        <v>87921.328544793869</v>
      </c>
      <c r="AD181" s="13">
        <f ca="1">SUMPRODUCT(dFactor,tpSurvRad,INDEX(elecRad,stdCSL+1,6)*allOnes,OFFSET(tPrcElec,0,25,1,_maxLT))</f>
        <v>88476.712050867543</v>
      </c>
      <c r="AE181" s="13">
        <f ca="1">SUMPRODUCT(dFactor,tpSurvRad,INDEX(elecRad,stdCSL+1,6)*allOnes,OFFSET(tPrcElec,0,26,1,_maxLT))</f>
        <v>89035.679937884866</v>
      </c>
      <c r="AF181" s="13">
        <f ca="1">SUMPRODUCT(dFactor,tpSurvRad,INDEX(elecRad,stdCSL+1,6)*allOnes,OFFSET(tPrcElec,0,27,1,_maxLT))</f>
        <v>89598.255892709189</v>
      </c>
      <c r="AG181" s="13">
        <f ca="1">SUMPRODUCT(dFactor,tpSurvRad,INDEX(elecRad,stdCSL+1,6)*allOnes,OFFSET(tPrcElec,0,28,1,_maxLT))</f>
        <v>90164.463762677391</v>
      </c>
      <c r="AH181" s="13">
        <f ca="1">SUMPRODUCT(dFactor,tpSurvRad,INDEX(elecRad,stdCSL+1,6)*allOnes,OFFSET(tPrcElec,0,29,1,_maxLT))</f>
        <v>90734.327556713557</v>
      </c>
      <c r="AI181" s="13">
        <f ca="1">SUMPRODUCT(dFactor,tpSurvRad,INDEX(elecRad,stdCSL+1,6)*allOnes,OFFSET(tPrcElec,0,30,1,_maxLT))</f>
        <v>91307.871446452002</v>
      </c>
      <c r="AJ181" s="13">
        <f ca="1">SUMPRODUCT(dFactor,tpSurvRad,INDEX(elecRad,stdCSL+1,6)*allOnes,OFFSET(tPrcElec,0,31,1,_maxLT))</f>
        <v>91885.119767367622</v>
      </c>
      <c r="AK181" s="13">
        <f ca="1">SUMPRODUCT(dFactor,tpSurvRad,INDEX(elecRad,stdCSL+1,6)*allOnes,OFFSET(tPrcElec,0,32,1,_maxLT))</f>
        <v>92466.097019914392</v>
      </c>
      <c r="AL181" s="56">
        <f ca="1">SUMPRODUCT(dFactor,tpSurvRad,INDEX(elecRad,stdCSL+1,6)*allOnes,OFFSET(tPrcElec,0,33,1,_maxLT))</f>
        <v>93050.827870671957</v>
      </c>
      <c r="AM181" s="10"/>
    </row>
    <row r="182" spans="2:39">
      <c r="B182" s="10"/>
      <c r="C182" s="16" t="s">
        <v>79</v>
      </c>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5"/>
      <c r="AM182" s="10"/>
    </row>
    <row r="183" spans="2:39">
      <c r="B183" s="10"/>
      <c r="C183" s="28" t="str">
        <f>INDEX(_fuel,1)</f>
        <v>Electricity</v>
      </c>
      <c r="D183" s="12" t="s">
        <v>83</v>
      </c>
      <c r="E183" s="39">
        <f ca="1">SUMPRODUCT(OFFSET(tConvElecRad,0,0,1,_maxLT),INDEX(elecRad,stdCSL+1,6)*allOnes,tpSurvRad)</f>
        <v>15888.833674899664</v>
      </c>
      <c r="F183" s="39">
        <f ca="1">SUMPRODUCT(OFFSET(tConvElecRad,0,1,1,_maxLT),INDEX(elecRad,stdCSL+1,6)*allOnes,tpSurvRad)</f>
        <v>15782.963790521093</v>
      </c>
      <c r="G183" s="39">
        <f ca="1">SUMPRODUCT(OFFSET(tConvElecRad,0,2,1,_maxLT),INDEX(elecRad,stdCSL+1,6)*allOnes,tpSurvRad)</f>
        <v>15689.284969141214</v>
      </c>
      <c r="H183" s="39">
        <f ca="1">SUMPRODUCT(OFFSET(tConvElecRad,0,3,1,_maxLT),INDEX(elecRad,stdCSL+1,6)*allOnes,tpSurvRad)</f>
        <v>15599.906981189773</v>
      </c>
      <c r="I183" s="39">
        <f ca="1">SUMPRODUCT(OFFSET(tConvElecRad,0,4,1,_maxLT),INDEX(elecRad,stdCSL+1,6)*allOnes,tpSurvRad)</f>
        <v>15521.399662448393</v>
      </c>
      <c r="J183" s="39">
        <f ca="1">SUMPRODUCT(OFFSET(tConvElecRad,0,5,1,_maxLT),INDEX(elecRad,stdCSL+1,6)*allOnes,tpSurvRad)</f>
        <v>15460.217986358553</v>
      </c>
      <c r="K183" s="39">
        <f ca="1">SUMPRODUCT(OFFSET(tConvElecRad,0,6,1,_maxLT),INDEX(elecRad,stdCSL+1,6)*allOnes,tpSurvRad)</f>
        <v>15409.539828769341</v>
      </c>
      <c r="L183" s="39">
        <f ca="1">SUMPRODUCT(OFFSET(tConvElecRad,0,7,1,_maxLT),INDEX(elecRad,stdCSL+1,6)*allOnes,tpSurvRad)</f>
        <v>15358.36622314343</v>
      </c>
      <c r="M183" s="39">
        <f ca="1">SUMPRODUCT(OFFSET(tConvElecRad,0,8,1,_maxLT),INDEX(elecRad,stdCSL+1,6)*allOnes,tpSurvRad)</f>
        <v>15317.099284814032</v>
      </c>
      <c r="N183" s="39">
        <f ca="1">SUMPRODUCT(OFFSET(tConvElecRad,0,9,1,_maxLT),INDEX(elecRad,stdCSL+1,6)*allOnes,tpSurvRad)</f>
        <v>15288.327131845754</v>
      </c>
      <c r="O183" s="39">
        <f ca="1">SUMPRODUCT(OFFSET(tConvElecRad,0,10,1,_maxLT),INDEX(elecRad,stdCSL+1,6)*allOnes,tpSurvRad)</f>
        <v>15266.948183824619</v>
      </c>
      <c r="P183" s="39">
        <f ca="1">SUMPRODUCT(OFFSET(tConvElecRad,0,11,1,_maxLT),INDEX(elecRad,stdCSL+1,6)*allOnes,tpSurvRad)</f>
        <v>15248.790700978936</v>
      </c>
      <c r="Q183" s="39">
        <f ca="1">SUMPRODUCT(OFFSET(tConvElecRad,0,12,1,_maxLT),INDEX(elecRad,stdCSL+1,6)*allOnes,tpSurvRad)</f>
        <v>15235.24362048603</v>
      </c>
      <c r="R183" s="39">
        <f ca="1">SUMPRODUCT(OFFSET(tConvElecRad,0,13,1,_maxLT),INDEX(elecRad,stdCSL+1,6)*allOnes,tpSurvRad)</f>
        <v>15224.818477809289</v>
      </c>
      <c r="S183" s="39">
        <f ca="1">SUMPRODUCT(OFFSET(tConvElecRad,0,14,1,_maxLT),INDEX(elecRad,stdCSL+1,6)*allOnes,tpSurvRad)</f>
        <v>15222.930726098124</v>
      </c>
      <c r="T183" s="39">
        <f ca="1">SUMPRODUCT(OFFSET(tConvElecRad,0,15,1,_maxLT),INDEX(elecRad,stdCSL+1,6)*allOnes,tpSurvRad)</f>
        <v>15224.66865808709</v>
      </c>
      <c r="U183" s="39">
        <f ca="1">SUMPRODUCT(OFFSET(tConvElecRad,0,16,1,_maxLT),INDEX(elecRad,stdCSL+1,6)*allOnes,tpSurvRad)</f>
        <v>15227.539021838415</v>
      </c>
      <c r="V183" s="39">
        <f ca="1">SUMPRODUCT(OFFSET(tConvElecRad,0,17,1,_maxLT),INDEX(elecRad,stdCSL+1,6)*allOnes,tpSurvRad)</f>
        <v>15231.969862061387</v>
      </c>
      <c r="W183" s="39">
        <f ca="1">SUMPRODUCT(OFFSET(tConvElecRad,0,18,1,_maxLT),INDEX(elecRad,stdCSL+1,6)*allOnes,tpSurvRad)</f>
        <v>15236.290807385545</v>
      </c>
      <c r="X183" s="39">
        <f ca="1">SUMPRODUCT(OFFSET(tConvElecRad,0,19,1,_maxLT),INDEX(elecRad,stdCSL+1,6)*allOnes,tpSurvRad)</f>
        <v>15239.897293175751</v>
      </c>
      <c r="Y183" s="39">
        <f ca="1">SUMPRODUCT(OFFSET(tConvElecRad,0,20,1,_maxLT),INDEX(elecRad,stdCSL+1,6)*allOnes,tpSurvRad)</f>
        <v>15242.296913043332</v>
      </c>
      <c r="Z183" s="39">
        <f ca="1">SUMPRODUCT(OFFSET(tConvElecRad,0,21,1,_maxLT),INDEX(elecRad,stdCSL+1,6)*allOnes,tpSurvRad)</f>
        <v>15243.935770653306</v>
      </c>
      <c r="AA183" s="39">
        <f ca="1">SUMPRODUCT(OFFSET(tConvElecRad,0,22,1,_maxLT),INDEX(elecRad,stdCSL+1,6)*allOnes,tpSurvRad)</f>
        <v>15243.935770653306</v>
      </c>
      <c r="AB183" s="39">
        <f ca="1">SUMPRODUCT(OFFSET(tConvElecRad,0,23,1,_maxLT),INDEX(elecRad,stdCSL+1,6)*allOnes,tpSurvRad)</f>
        <v>15243.935770653306</v>
      </c>
      <c r="AC183" s="39">
        <f ca="1">SUMPRODUCT(OFFSET(tConvElecRad,0,24,1,_maxLT),INDEX(elecRad,stdCSL+1,6)*allOnes,tpSurvRad)</f>
        <v>15243.935770653306</v>
      </c>
      <c r="AD183" s="39">
        <f ca="1">SUMPRODUCT(OFFSET(tConvElecRad,0,25,1,_maxLT),INDEX(elecRad,stdCSL+1,6)*allOnes,tpSurvRad)</f>
        <v>15243.935770653306</v>
      </c>
      <c r="AE183" s="39">
        <f ca="1">SUMPRODUCT(OFFSET(tConvElecRad,0,26,1,_maxLT),INDEX(elecRad,stdCSL+1,6)*allOnes,tpSurvRad)</f>
        <v>15243.935770653306</v>
      </c>
      <c r="AF183" s="39">
        <f ca="1">SUMPRODUCT(OFFSET(tConvElecRad,0,27,1,_maxLT),INDEX(elecRad,stdCSL+1,6)*allOnes,tpSurvRad)</f>
        <v>15243.935770653306</v>
      </c>
      <c r="AG183" s="39">
        <f ca="1">SUMPRODUCT(OFFSET(tConvElecRad,0,28,1,_maxLT),INDEX(elecRad,stdCSL+1,6)*allOnes,tpSurvRad)</f>
        <v>15243.935770653306</v>
      </c>
      <c r="AH183" s="39">
        <f ca="1">SUMPRODUCT(OFFSET(tConvElecRad,0,29,1,_maxLT),INDEX(elecRad,stdCSL+1,6)*allOnes,tpSurvRad)</f>
        <v>15243.935770653306</v>
      </c>
      <c r="AI183" s="39">
        <f ca="1">SUMPRODUCT(OFFSET(tConvElecRad,0,30,1,_maxLT),INDEX(elecRad,stdCSL+1,6)*allOnes,tpSurvRad)</f>
        <v>15243.935770653306</v>
      </c>
      <c r="AJ183" s="39">
        <f ca="1">SUMPRODUCT(OFFSET(tConvElecRad,0,31,1,_maxLT),INDEX(elecRad,stdCSL+1,6)*allOnes,tpSurvRad)</f>
        <v>15243.935770653306</v>
      </c>
      <c r="AK183" s="39">
        <f ca="1">SUMPRODUCT(OFFSET(tConvElecRad,0,32,1,_maxLT),INDEX(elecRad,stdCSL+1,6)*allOnes,tpSurvRad)</f>
        <v>15243.935770653306</v>
      </c>
      <c r="AL183" s="40">
        <f ca="1">SUMPRODUCT(OFFSET(tConvElecRad,0,33,1,_maxLT),INDEX(elecRad,stdCSL+1,6)*allOnes,tpSurvRad)</f>
        <v>15243.935770653306</v>
      </c>
      <c r="AM183" s="10"/>
    </row>
    <row r="184" spans="2:39">
      <c r="B184" s="10"/>
      <c r="C184" s="57" t="str">
        <f>"EL 6: " &amp; INDEX(_doName,6,7)</f>
        <v>EL 6: EL 6</v>
      </c>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3"/>
      <c r="AM184" s="10"/>
    </row>
    <row r="185" spans="2:39">
      <c r="B185" s="10"/>
      <c r="C185" s="16" t="s">
        <v>69</v>
      </c>
      <c r="D185" s="12" t="str">
        <f>_yearDol &amp; "$"</f>
        <v>2015$</v>
      </c>
      <c r="E185" s="13">
        <f t="array" aca="1" ref="E185:AL185" ca="1">INDEX(mspRad,stdCSL+1,7)*tPIdxAll + INDEX(instRad,stdCSL+1,7) + IF(bESav,SUMPRODUCT(dFactor,tpSurvRad,INDEX(mrRad,stdCSL+1,7)*allOnes),0)</f>
        <v>1891.6428018076101</v>
      </c>
      <c r="F185" s="13">
        <f ca="1"/>
        <v>1891.6428018076101</v>
      </c>
      <c r="G185" s="13">
        <f ca="1"/>
        <v>1891.6428018076101</v>
      </c>
      <c r="H185" s="13">
        <f ca="1"/>
        <v>1891.6428018076101</v>
      </c>
      <c r="I185" s="13">
        <f ca="1"/>
        <v>1891.6428018076101</v>
      </c>
      <c r="J185" s="13">
        <f ca="1"/>
        <v>1891.6428018076101</v>
      </c>
      <c r="K185" s="13">
        <f ca="1"/>
        <v>1891.6428018076101</v>
      </c>
      <c r="L185" s="13">
        <f ca="1"/>
        <v>1891.6428018076101</v>
      </c>
      <c r="M185" s="13">
        <f ca="1"/>
        <v>1891.6428018076101</v>
      </c>
      <c r="N185" s="13">
        <f ca="1"/>
        <v>1891.6428018076101</v>
      </c>
      <c r="O185" s="13">
        <f ca="1"/>
        <v>1891.6428018076101</v>
      </c>
      <c r="P185" s="13">
        <f ca="1"/>
        <v>1891.6428018076101</v>
      </c>
      <c r="Q185" s="13">
        <f ca="1"/>
        <v>1891.6428018076101</v>
      </c>
      <c r="R185" s="13">
        <f ca="1"/>
        <v>1891.6428018076101</v>
      </c>
      <c r="S185" s="13">
        <f ca="1"/>
        <v>1891.6428018076101</v>
      </c>
      <c r="T185" s="13">
        <f ca="1"/>
        <v>1891.6428018076101</v>
      </c>
      <c r="U185" s="13">
        <f ca="1"/>
        <v>1891.6428018076101</v>
      </c>
      <c r="V185" s="13">
        <f ca="1"/>
        <v>1891.6428018076101</v>
      </c>
      <c r="W185" s="13">
        <f ca="1"/>
        <v>1891.6428018076101</v>
      </c>
      <c r="X185" s="13">
        <f ca="1"/>
        <v>1891.6428018076101</v>
      </c>
      <c r="Y185" s="13">
        <f ca="1"/>
        <v>1891.6428018076101</v>
      </c>
      <c r="Z185" s="13">
        <f ca="1"/>
        <v>1891.6428018076101</v>
      </c>
      <c r="AA185" s="13">
        <f ca="1"/>
        <v>1891.6428018076101</v>
      </c>
      <c r="AB185" s="13">
        <f ca="1"/>
        <v>1891.6428018076101</v>
      </c>
      <c r="AC185" s="13">
        <f ca="1"/>
        <v>1891.6428018076101</v>
      </c>
      <c r="AD185" s="13">
        <f ca="1"/>
        <v>1891.6428018076101</v>
      </c>
      <c r="AE185" s="13">
        <f ca="1"/>
        <v>1891.6428018076101</v>
      </c>
      <c r="AF185" s="13">
        <f ca="1"/>
        <v>1891.6428018076101</v>
      </c>
      <c r="AG185" s="13">
        <f ca="1"/>
        <v>1891.6428018076101</v>
      </c>
      <c r="AH185" s="13">
        <f ca="1"/>
        <v>1891.6428018076101</v>
      </c>
      <c r="AI185" s="13">
        <f ca="1"/>
        <v>1891.6428018076101</v>
      </c>
      <c r="AJ185" s="13">
        <f ca="1"/>
        <v>1891.6428018076101</v>
      </c>
      <c r="AK185" s="13">
        <f ca="1"/>
        <v>1891.6428018076101</v>
      </c>
      <c r="AL185" s="56">
        <f ca="1"/>
        <v>1891.6428018076101</v>
      </c>
      <c r="AM185" s="10"/>
    </row>
    <row r="186" spans="2:39">
      <c r="B186" s="10"/>
      <c r="C186" s="16" t="str">
        <f>zEO&amp;" Costs"</f>
        <v>Operating Costs</v>
      </c>
      <c r="D186" s="12" t="str">
        <f>_yearDol &amp; "$"</f>
        <v>2015$</v>
      </c>
      <c r="E186" s="13">
        <f t="array" aca="1" ref="E186:AL186" ca="1">(tlccEFuElecpol6) + IF(bOSav,SUMPRODUCT(dFactor,tpSurvRad,INDEX(mrRad,stdCSL+1,7)*allOnes),0)</f>
        <v>47661.235288373544</v>
      </c>
      <c r="F186" s="13">
        <f ca="1"/>
        <v>48047.744648727748</v>
      </c>
      <c r="G186" s="13">
        <f ca="1"/>
        <v>48422.70441685462</v>
      </c>
      <c r="H186" s="13">
        <f ca="1"/>
        <v>48761.108085324704</v>
      </c>
      <c r="I186" s="13">
        <f ca="1"/>
        <v>49068.25295983415</v>
      </c>
      <c r="J186" s="13">
        <f ca="1"/>
        <v>49377.373780588641</v>
      </c>
      <c r="K186" s="13">
        <f ca="1"/>
        <v>49688.483560269822</v>
      </c>
      <c r="L186" s="13">
        <f ca="1"/>
        <v>50001.595399403879</v>
      </c>
      <c r="M186" s="13">
        <f ca="1"/>
        <v>50316.722486969404</v>
      </c>
      <c r="N186" s="13">
        <f ca="1"/>
        <v>50633.878101009876</v>
      </c>
      <c r="O186" s="13">
        <f ca="1"/>
        <v>50953.075609250329</v>
      </c>
      <c r="P186" s="13">
        <f ca="1"/>
        <v>51274.328469718152</v>
      </c>
      <c r="Q186" s="13">
        <f ca="1"/>
        <v>51597.650231368818</v>
      </c>
      <c r="R186" s="13">
        <f ca="1"/>
        <v>51923.054534715571</v>
      </c>
      <c r="S186" s="13">
        <f ca="1"/>
        <v>52250.555112463815</v>
      </c>
      <c r="T186" s="13">
        <f ca="1"/>
        <v>52580.165790149913</v>
      </c>
      <c r="U186" s="13">
        <f ca="1"/>
        <v>52911.900486784602</v>
      </c>
      <c r="V186" s="13">
        <f ca="1"/>
        <v>53245.773215500929</v>
      </c>
      <c r="W186" s="13">
        <f ca="1"/>
        <v>53581.798084206814</v>
      </c>
      <c r="X186" s="13">
        <f ca="1"/>
        <v>53919.989296242216</v>
      </c>
      <c r="Y186" s="13">
        <f ca="1"/>
        <v>54260.361151040808</v>
      </c>
      <c r="Z186" s="13">
        <f ca="1"/>
        <v>54602.92804479679</v>
      </c>
      <c r="AA186" s="13">
        <f ca="1"/>
        <v>54947.704471136014</v>
      </c>
      <c r="AB186" s="13">
        <f ca="1"/>
        <v>55294.70502179204</v>
      </c>
      <c r="AC186" s="13">
        <f ca="1"/>
        <v>55643.944387286967</v>
      </c>
      <c r="AD186" s="13">
        <f ca="1"/>
        <v>55995.437357617113</v>
      </c>
      <c r="AE186" s="13">
        <f ca="1"/>
        <v>56349.198822943668</v>
      </c>
      <c r="AF186" s="13">
        <f ca="1"/>
        <v>56705.243774288203</v>
      </c>
      <c r="AG186" s="13">
        <f ca="1"/>
        <v>57063.587304232737</v>
      </c>
      <c r="AH186" s="13">
        <f ca="1"/>
        <v>57424.2446076255</v>
      </c>
      <c r="AI186" s="13">
        <f ca="1"/>
        <v>57787.230982291308</v>
      </c>
      <c r="AJ186" s="13">
        <f ca="1"/>
        <v>58152.561829746832</v>
      </c>
      <c r="AK186" s="13">
        <f ca="1"/>
        <v>58520.252655921242</v>
      </c>
      <c r="AL186" s="56">
        <f ca="1"/>
        <v>58890.319071882033</v>
      </c>
      <c r="AM186" s="10"/>
    </row>
    <row r="187" spans="2:39">
      <c r="B187" s="10"/>
      <c r="C187" s="28" t="str">
        <f>INDEX(_fuel,1)</f>
        <v>Electricity</v>
      </c>
      <c r="D187" s="12" t="str">
        <f>_yearDol &amp; "$"</f>
        <v>2015$</v>
      </c>
      <c r="E187" s="13">
        <f ca="1">SUMPRODUCT(dFactor,tpSurvRad,INDEX(elecRad,stdCSL+1,7)*allOnes,OFFSET(tPrcElec,0,0,1,_maxLT))</f>
        <v>47661.235288373544</v>
      </c>
      <c r="F187" s="13">
        <f ca="1">SUMPRODUCT(dFactor,tpSurvRad,INDEX(elecRad,stdCSL+1,7)*allOnes,OFFSET(tPrcElec,0,1,1,_maxLT))</f>
        <v>48047.744648727748</v>
      </c>
      <c r="G187" s="13">
        <f ca="1">SUMPRODUCT(dFactor,tpSurvRad,INDEX(elecRad,stdCSL+1,7)*allOnes,OFFSET(tPrcElec,0,2,1,_maxLT))</f>
        <v>48422.70441685462</v>
      </c>
      <c r="H187" s="13">
        <f ca="1">SUMPRODUCT(dFactor,tpSurvRad,INDEX(elecRad,stdCSL+1,7)*allOnes,OFFSET(tPrcElec,0,3,1,_maxLT))</f>
        <v>48761.108085324704</v>
      </c>
      <c r="I187" s="13">
        <f ca="1">SUMPRODUCT(dFactor,tpSurvRad,INDEX(elecRad,stdCSL+1,7)*allOnes,OFFSET(tPrcElec,0,4,1,_maxLT))</f>
        <v>49068.25295983415</v>
      </c>
      <c r="J187" s="13">
        <f ca="1">SUMPRODUCT(dFactor,tpSurvRad,INDEX(elecRad,stdCSL+1,7)*allOnes,OFFSET(tPrcElec,0,5,1,_maxLT))</f>
        <v>49377.373780588641</v>
      </c>
      <c r="K187" s="13">
        <f ca="1">SUMPRODUCT(dFactor,tpSurvRad,INDEX(elecRad,stdCSL+1,7)*allOnes,OFFSET(tPrcElec,0,6,1,_maxLT))</f>
        <v>49688.483560269822</v>
      </c>
      <c r="L187" s="13">
        <f ca="1">SUMPRODUCT(dFactor,tpSurvRad,INDEX(elecRad,stdCSL+1,7)*allOnes,OFFSET(tPrcElec,0,7,1,_maxLT))</f>
        <v>50001.595399403879</v>
      </c>
      <c r="M187" s="13">
        <f ca="1">SUMPRODUCT(dFactor,tpSurvRad,INDEX(elecRad,stdCSL+1,7)*allOnes,OFFSET(tPrcElec,0,8,1,_maxLT))</f>
        <v>50316.722486969404</v>
      </c>
      <c r="N187" s="13">
        <f ca="1">SUMPRODUCT(dFactor,tpSurvRad,INDEX(elecRad,stdCSL+1,7)*allOnes,OFFSET(tPrcElec,0,9,1,_maxLT))</f>
        <v>50633.878101009876</v>
      </c>
      <c r="O187" s="13">
        <f ca="1">SUMPRODUCT(dFactor,tpSurvRad,INDEX(elecRad,stdCSL+1,7)*allOnes,OFFSET(tPrcElec,0,10,1,_maxLT))</f>
        <v>50953.075609250329</v>
      </c>
      <c r="P187" s="13">
        <f ca="1">SUMPRODUCT(dFactor,tpSurvRad,INDEX(elecRad,stdCSL+1,7)*allOnes,OFFSET(tPrcElec,0,11,1,_maxLT))</f>
        <v>51274.328469718152</v>
      </c>
      <c r="Q187" s="13">
        <f ca="1">SUMPRODUCT(dFactor,tpSurvRad,INDEX(elecRad,stdCSL+1,7)*allOnes,OFFSET(tPrcElec,0,12,1,_maxLT))</f>
        <v>51597.650231368818</v>
      </c>
      <c r="R187" s="13">
        <f ca="1">SUMPRODUCT(dFactor,tpSurvRad,INDEX(elecRad,stdCSL+1,7)*allOnes,OFFSET(tPrcElec,0,13,1,_maxLT))</f>
        <v>51923.054534715571</v>
      </c>
      <c r="S187" s="13">
        <f ca="1">SUMPRODUCT(dFactor,tpSurvRad,INDEX(elecRad,stdCSL+1,7)*allOnes,OFFSET(tPrcElec,0,14,1,_maxLT))</f>
        <v>52250.555112463815</v>
      </c>
      <c r="T187" s="13">
        <f ca="1">SUMPRODUCT(dFactor,tpSurvRad,INDEX(elecRad,stdCSL+1,7)*allOnes,OFFSET(tPrcElec,0,15,1,_maxLT))</f>
        <v>52580.165790149913</v>
      </c>
      <c r="U187" s="13">
        <f ca="1">SUMPRODUCT(dFactor,tpSurvRad,INDEX(elecRad,stdCSL+1,7)*allOnes,OFFSET(tPrcElec,0,16,1,_maxLT))</f>
        <v>52911.900486784602</v>
      </c>
      <c r="V187" s="13">
        <f ca="1">SUMPRODUCT(dFactor,tpSurvRad,INDEX(elecRad,stdCSL+1,7)*allOnes,OFFSET(tPrcElec,0,17,1,_maxLT))</f>
        <v>53245.773215500929</v>
      </c>
      <c r="W187" s="13">
        <f ca="1">SUMPRODUCT(dFactor,tpSurvRad,INDEX(elecRad,stdCSL+1,7)*allOnes,OFFSET(tPrcElec,0,18,1,_maxLT))</f>
        <v>53581.798084206814</v>
      </c>
      <c r="X187" s="13">
        <f ca="1">SUMPRODUCT(dFactor,tpSurvRad,INDEX(elecRad,stdCSL+1,7)*allOnes,OFFSET(tPrcElec,0,19,1,_maxLT))</f>
        <v>53919.989296242216</v>
      </c>
      <c r="Y187" s="13">
        <f ca="1">SUMPRODUCT(dFactor,tpSurvRad,INDEX(elecRad,stdCSL+1,7)*allOnes,OFFSET(tPrcElec,0,20,1,_maxLT))</f>
        <v>54260.361151040808</v>
      </c>
      <c r="Z187" s="13">
        <f ca="1">SUMPRODUCT(dFactor,tpSurvRad,INDEX(elecRad,stdCSL+1,7)*allOnes,OFFSET(tPrcElec,0,21,1,_maxLT))</f>
        <v>54602.92804479679</v>
      </c>
      <c r="AA187" s="13">
        <f ca="1">SUMPRODUCT(dFactor,tpSurvRad,INDEX(elecRad,stdCSL+1,7)*allOnes,OFFSET(tPrcElec,0,22,1,_maxLT))</f>
        <v>54947.704471136014</v>
      </c>
      <c r="AB187" s="13">
        <f ca="1">SUMPRODUCT(dFactor,tpSurvRad,INDEX(elecRad,stdCSL+1,7)*allOnes,OFFSET(tPrcElec,0,23,1,_maxLT))</f>
        <v>55294.70502179204</v>
      </c>
      <c r="AC187" s="13">
        <f ca="1">SUMPRODUCT(dFactor,tpSurvRad,INDEX(elecRad,stdCSL+1,7)*allOnes,OFFSET(tPrcElec,0,24,1,_maxLT))</f>
        <v>55643.944387286967</v>
      </c>
      <c r="AD187" s="13">
        <f ca="1">SUMPRODUCT(dFactor,tpSurvRad,INDEX(elecRad,stdCSL+1,7)*allOnes,OFFSET(tPrcElec,0,25,1,_maxLT))</f>
        <v>55995.437357617113</v>
      </c>
      <c r="AE187" s="13">
        <f ca="1">SUMPRODUCT(dFactor,tpSurvRad,INDEX(elecRad,stdCSL+1,7)*allOnes,OFFSET(tPrcElec,0,26,1,_maxLT))</f>
        <v>56349.198822943668</v>
      </c>
      <c r="AF187" s="13">
        <f ca="1">SUMPRODUCT(dFactor,tpSurvRad,INDEX(elecRad,stdCSL+1,7)*allOnes,OFFSET(tPrcElec,0,27,1,_maxLT))</f>
        <v>56705.243774288203</v>
      </c>
      <c r="AG187" s="13">
        <f ca="1">SUMPRODUCT(dFactor,tpSurvRad,INDEX(elecRad,stdCSL+1,7)*allOnes,OFFSET(tPrcElec,0,28,1,_maxLT))</f>
        <v>57063.587304232737</v>
      </c>
      <c r="AH187" s="13">
        <f ca="1">SUMPRODUCT(dFactor,tpSurvRad,INDEX(elecRad,stdCSL+1,7)*allOnes,OFFSET(tPrcElec,0,29,1,_maxLT))</f>
        <v>57424.2446076255</v>
      </c>
      <c r="AI187" s="13">
        <f ca="1">SUMPRODUCT(dFactor,tpSurvRad,INDEX(elecRad,stdCSL+1,7)*allOnes,OFFSET(tPrcElec,0,30,1,_maxLT))</f>
        <v>57787.230982291308</v>
      </c>
      <c r="AJ187" s="13">
        <f ca="1">SUMPRODUCT(dFactor,tpSurvRad,INDEX(elecRad,stdCSL+1,7)*allOnes,OFFSET(tPrcElec,0,31,1,_maxLT))</f>
        <v>58152.561829746832</v>
      </c>
      <c r="AK187" s="13">
        <f ca="1">SUMPRODUCT(dFactor,tpSurvRad,INDEX(elecRad,stdCSL+1,7)*allOnes,OFFSET(tPrcElec,0,32,1,_maxLT))</f>
        <v>58520.252655921242</v>
      </c>
      <c r="AL187" s="56">
        <f ca="1">SUMPRODUCT(dFactor,tpSurvRad,INDEX(elecRad,stdCSL+1,7)*allOnes,OFFSET(tPrcElec,0,33,1,_maxLT))</f>
        <v>58890.319071882033</v>
      </c>
      <c r="AM187" s="10"/>
    </row>
    <row r="188" spans="2:39">
      <c r="B188" s="10"/>
      <c r="C188" s="16" t="s">
        <v>79</v>
      </c>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5"/>
      <c r="AM188" s="10"/>
    </row>
    <row r="189" spans="2:39">
      <c r="B189" s="10"/>
      <c r="C189" s="45" t="str">
        <f>INDEX(_fuel,1)</f>
        <v>Electricity</v>
      </c>
      <c r="D189" s="18" t="s">
        <v>83</v>
      </c>
      <c r="E189" s="49">
        <f ca="1">SUMPRODUCT(OFFSET(tConvElecRad,0,0,1,_maxLT),INDEX(elecRad,stdCSL+1,7)*allOnes,tpSurvRad)</f>
        <v>10055.778182816377</v>
      </c>
      <c r="F189" s="49">
        <f ca="1">SUMPRODUCT(OFFSET(tConvElecRad,0,1,1,_maxLT),INDEX(elecRad,stdCSL+1,7)*allOnes,tpSurvRad)</f>
        <v>9988.7748963993799</v>
      </c>
      <c r="G189" s="49">
        <f ca="1">SUMPRODUCT(OFFSET(tConvElecRad,0,2,1,_maxLT),INDEX(elecRad,stdCSL+1,7)*allOnes,tpSurvRad)</f>
        <v>9929.4871306956047</v>
      </c>
      <c r="H189" s="49">
        <f ca="1">SUMPRODUCT(OFFSET(tConvElecRad,0,3,1,_maxLT),INDEX(elecRad,stdCSL+1,7)*allOnes,tpSurvRad)</f>
        <v>9872.9212908324862</v>
      </c>
      <c r="I189" s="49">
        <f ca="1">SUMPRODUCT(OFFSET(tConvElecRad,0,4,1,_maxLT),INDEX(elecRad,stdCSL+1,7)*allOnes,tpSurvRad)</f>
        <v>9823.2353164467077</v>
      </c>
      <c r="J189" s="49">
        <f ca="1">SUMPRODUCT(OFFSET(tConvElecRad,0,5,1,_maxLT),INDEX(elecRad,stdCSL+1,7)*allOnes,tpSurvRad)</f>
        <v>9784.5144527130615</v>
      </c>
      <c r="K189" s="49">
        <f ca="1">SUMPRODUCT(OFFSET(tConvElecRad,0,6,1,_maxLT),INDEX(elecRad,stdCSL+1,7)*allOnes,tpSurvRad)</f>
        <v>9752.4410908881455</v>
      </c>
      <c r="L189" s="49">
        <f ca="1">SUMPRODUCT(OFFSET(tConvElecRad,0,7,1,_maxLT),INDEX(elecRad,stdCSL+1,7)*allOnes,tpSurvRad)</f>
        <v>9720.0541682531639</v>
      </c>
      <c r="M189" s="49">
        <f ca="1">SUMPRODUCT(OFFSET(tConvElecRad,0,8,1,_maxLT),INDEX(elecRad,stdCSL+1,7)*allOnes,tpSurvRad)</f>
        <v>9693.9370103411929</v>
      </c>
      <c r="N189" s="49">
        <f ca="1">SUMPRODUCT(OFFSET(tConvElecRad,0,9,1,_maxLT),INDEX(elecRad,stdCSL+1,7)*allOnes,tpSurvRad)</f>
        <v>9675.7275939667161</v>
      </c>
      <c r="O189" s="49">
        <f ca="1">SUMPRODUCT(OFFSET(tConvElecRad,0,10,1,_maxLT),INDEX(elecRad,stdCSL+1,7)*allOnes,tpSurvRad)</f>
        <v>9662.1972138594538</v>
      </c>
      <c r="P189" s="49">
        <f ca="1">SUMPRODUCT(OFFSET(tConvElecRad,0,11,1,_maxLT),INDEX(elecRad,stdCSL+1,7)*allOnes,tpSurvRad)</f>
        <v>9650.7056454038684</v>
      </c>
      <c r="Q189" s="49">
        <f ca="1">SUMPRODUCT(OFFSET(tConvElecRad,0,12,1,_maxLT),INDEX(elecRad,stdCSL+1,7)*allOnes,tpSurvRad)</f>
        <v>9642.1319238048673</v>
      </c>
      <c r="R189" s="49">
        <f ca="1">SUMPRODUCT(OFFSET(tConvElecRad,0,13,1,_maxLT),INDEX(elecRad,stdCSL+1,7)*allOnes,tpSurvRad)</f>
        <v>9635.534024649618</v>
      </c>
      <c r="S189" s="49">
        <f ca="1">SUMPRODUCT(OFFSET(tConvElecRad,0,14,1,_maxLT),INDEX(elecRad,stdCSL+1,7)*allOnes,tpSurvRad)</f>
        <v>9634.3392980346798</v>
      </c>
      <c r="T189" s="49">
        <f ca="1">SUMPRODUCT(OFFSET(tConvElecRad,0,15,1,_maxLT),INDEX(elecRad,stdCSL+1,7)*allOnes,tpSurvRad)</f>
        <v>9635.4392062428888</v>
      </c>
      <c r="U189" s="49">
        <f ca="1">SUMPRODUCT(OFFSET(tConvElecRad,0,16,1,_maxLT),INDEX(elecRad,stdCSL+1,7)*allOnes,tpSurvRad)</f>
        <v>9637.2558116513101</v>
      </c>
      <c r="V189" s="49">
        <f ca="1">SUMPRODUCT(OFFSET(tConvElecRad,0,17,1,_maxLT),INDEX(elecRad,stdCSL+1,7)*allOnes,tpSurvRad)</f>
        <v>9640.0600166267886</v>
      </c>
      <c r="W189" s="49">
        <f ca="1">SUMPRODUCT(OFFSET(tConvElecRad,0,18,1,_maxLT),INDEX(elecRad,stdCSL+1,7)*allOnes,tpSurvRad)</f>
        <v>9642.7946709512544</v>
      </c>
      <c r="X189" s="49">
        <f ca="1">SUMPRODUCT(OFFSET(tConvElecRad,0,19,1,_maxLT),INDEX(elecRad,stdCSL+1,7)*allOnes,tpSurvRad)</f>
        <v>9645.0771557369753</v>
      </c>
      <c r="Y189" s="49">
        <f ca="1">SUMPRODUCT(OFFSET(tConvElecRad,0,20,1,_maxLT),INDEX(elecRad,stdCSL+1,7)*allOnes,tpSurvRad)</f>
        <v>9646.5958351822501</v>
      </c>
      <c r="Z189" s="49">
        <f ca="1">SUMPRODUCT(OFFSET(tConvElecRad,0,21,1,_maxLT),INDEX(elecRad,stdCSL+1,7)*allOnes,tpSurvRad)</f>
        <v>9647.6330408662125</v>
      </c>
      <c r="AA189" s="49">
        <f ca="1">SUMPRODUCT(OFFSET(tConvElecRad,0,22,1,_maxLT),INDEX(elecRad,stdCSL+1,7)*allOnes,tpSurvRad)</f>
        <v>9647.6330408662125</v>
      </c>
      <c r="AB189" s="49">
        <f ca="1">SUMPRODUCT(OFFSET(tConvElecRad,0,23,1,_maxLT),INDEX(elecRad,stdCSL+1,7)*allOnes,tpSurvRad)</f>
        <v>9647.6330408662125</v>
      </c>
      <c r="AC189" s="49">
        <f ca="1">SUMPRODUCT(OFFSET(tConvElecRad,0,24,1,_maxLT),INDEX(elecRad,stdCSL+1,7)*allOnes,tpSurvRad)</f>
        <v>9647.6330408662125</v>
      </c>
      <c r="AD189" s="49">
        <f ca="1">SUMPRODUCT(OFFSET(tConvElecRad,0,25,1,_maxLT),INDEX(elecRad,stdCSL+1,7)*allOnes,tpSurvRad)</f>
        <v>9647.6330408662125</v>
      </c>
      <c r="AE189" s="49">
        <f ca="1">SUMPRODUCT(OFFSET(tConvElecRad,0,26,1,_maxLT),INDEX(elecRad,stdCSL+1,7)*allOnes,tpSurvRad)</f>
        <v>9647.6330408662125</v>
      </c>
      <c r="AF189" s="49">
        <f ca="1">SUMPRODUCT(OFFSET(tConvElecRad,0,27,1,_maxLT),INDEX(elecRad,stdCSL+1,7)*allOnes,tpSurvRad)</f>
        <v>9647.6330408662125</v>
      </c>
      <c r="AG189" s="49">
        <f ca="1">SUMPRODUCT(OFFSET(tConvElecRad,0,28,1,_maxLT),INDEX(elecRad,stdCSL+1,7)*allOnes,tpSurvRad)</f>
        <v>9647.6330408662125</v>
      </c>
      <c r="AH189" s="49">
        <f ca="1">SUMPRODUCT(OFFSET(tConvElecRad,0,29,1,_maxLT),INDEX(elecRad,stdCSL+1,7)*allOnes,tpSurvRad)</f>
        <v>9647.6330408662125</v>
      </c>
      <c r="AI189" s="49">
        <f ca="1">SUMPRODUCT(OFFSET(tConvElecRad,0,30,1,_maxLT),INDEX(elecRad,stdCSL+1,7)*allOnes,tpSurvRad)</f>
        <v>9647.6330408662125</v>
      </c>
      <c r="AJ189" s="49">
        <f ca="1">SUMPRODUCT(OFFSET(tConvElecRad,0,31,1,_maxLT),INDEX(elecRad,stdCSL+1,7)*allOnes,tpSurvRad)</f>
        <v>9647.6330408662125</v>
      </c>
      <c r="AK189" s="49">
        <f ca="1">SUMPRODUCT(OFFSET(tConvElecRad,0,32,1,_maxLT),INDEX(elecRad,stdCSL+1,7)*allOnes,tpSurvRad)</f>
        <v>9647.6330408662125</v>
      </c>
      <c r="AL189" s="50">
        <f ca="1">SUMPRODUCT(OFFSET(tConvElecRad,0,33,1,_maxLT),INDEX(elecRad,stdCSL+1,7)*allOnes,tpSurvRad)</f>
        <v>9647.6330408662125</v>
      </c>
      <c r="AM189" s="10"/>
    </row>
    <row r="190" spans="2:39">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row>
  </sheetData>
  <conditionalFormatting sqref="E106:AL106">
    <cfRule type="containsBlanks" dxfId="1424" priority="1" stopIfTrue="1">
      <formula>LEN(TRIM(E106))=0</formula>
    </cfRule>
    <cfRule type="notContainsBlanks" dxfId="1423" priority="2" stopIfTrue="1">
      <formula>LEN(TRIM(E106))&gt;0</formula>
    </cfRule>
  </conditionalFormatting>
  <conditionalFormatting sqref="E107:AL107">
    <cfRule type="containsBlanks" dxfId="1422" priority="3" stopIfTrue="1">
      <formula>LEN(TRIM(E107))=0</formula>
    </cfRule>
    <cfRule type="notContainsBlanks" dxfId="1421" priority="4" stopIfTrue="1">
      <formula>LEN(TRIM(E107))&gt;0</formula>
    </cfRule>
  </conditionalFormatting>
  <conditionalFormatting sqref="E108:AL108">
    <cfRule type="containsBlanks" dxfId="1420" priority="5" stopIfTrue="1">
      <formula>LEN(TRIM(E108))=0</formula>
    </cfRule>
    <cfRule type="notContainsBlanks" dxfId="1419" priority="6" stopIfTrue="1">
      <formula>LEN(TRIM(E108))&gt;0</formula>
    </cfRule>
  </conditionalFormatting>
  <conditionalFormatting sqref="E110:AL110">
    <cfRule type="containsBlanks" dxfId="1418" priority="7" stopIfTrue="1">
      <formula>LEN(TRIM(E110))=0</formula>
    </cfRule>
    <cfRule type="notContainsBlanks" dxfId="1417" priority="8" stopIfTrue="1">
      <formula>LEN(TRIM(E110))&gt;0</formula>
    </cfRule>
  </conditionalFormatting>
  <conditionalFormatting sqref="E112:AL112">
    <cfRule type="containsBlanks" dxfId="1416" priority="9" stopIfTrue="1">
      <formula>LEN(TRIM(E112))=0</formula>
    </cfRule>
    <cfRule type="notContainsBlanks" dxfId="1415" priority="10" stopIfTrue="1">
      <formula>LEN(TRIM(E112))&gt;0</formula>
    </cfRule>
  </conditionalFormatting>
  <conditionalFormatting sqref="E113:AL113">
    <cfRule type="containsBlanks" dxfId="1414" priority="11" stopIfTrue="1">
      <formula>LEN(TRIM(E113))=0</formula>
    </cfRule>
    <cfRule type="notContainsBlanks" dxfId="1413" priority="12" stopIfTrue="1">
      <formula>LEN(TRIM(E113))&gt;0</formula>
    </cfRule>
  </conditionalFormatting>
  <conditionalFormatting sqref="E114:AL114">
    <cfRule type="containsBlanks" dxfId="1412" priority="13" stopIfTrue="1">
      <formula>LEN(TRIM(E114))=0</formula>
    </cfRule>
    <cfRule type="notContainsBlanks" dxfId="1411" priority="14" stopIfTrue="1">
      <formula>LEN(TRIM(E114))&gt;0</formula>
    </cfRule>
  </conditionalFormatting>
  <conditionalFormatting sqref="E116:AL116">
    <cfRule type="containsBlanks" dxfId="1410" priority="15" stopIfTrue="1">
      <formula>LEN(TRIM(E116))=0</formula>
    </cfRule>
    <cfRule type="notContainsBlanks" dxfId="1409" priority="16" stopIfTrue="1">
      <formula>LEN(TRIM(E116))&gt;0</formula>
    </cfRule>
  </conditionalFormatting>
  <conditionalFormatting sqref="E118:AL118">
    <cfRule type="containsBlanks" dxfId="1408" priority="17" stopIfTrue="1">
      <formula>LEN(TRIM(E118))=0</formula>
    </cfRule>
    <cfRule type="notContainsBlanks" dxfId="1407" priority="18" stopIfTrue="1">
      <formula>LEN(TRIM(E118))&gt;0</formula>
    </cfRule>
  </conditionalFormatting>
  <conditionalFormatting sqref="E119:AL119">
    <cfRule type="containsBlanks" dxfId="1406" priority="19" stopIfTrue="1">
      <formula>LEN(TRIM(E119))=0</formula>
    </cfRule>
    <cfRule type="notContainsBlanks" dxfId="1405" priority="20" stopIfTrue="1">
      <formula>LEN(TRIM(E119))&gt;0</formula>
    </cfRule>
  </conditionalFormatting>
  <conditionalFormatting sqref="E120:AL120">
    <cfRule type="containsBlanks" dxfId="1404" priority="21" stopIfTrue="1">
      <formula>LEN(TRIM(E120))=0</formula>
    </cfRule>
    <cfRule type="notContainsBlanks" dxfId="1403" priority="22" stopIfTrue="1">
      <formula>LEN(TRIM(E120))&gt;0</formula>
    </cfRule>
  </conditionalFormatting>
  <conditionalFormatting sqref="E122:AL122">
    <cfRule type="containsBlanks" dxfId="1402" priority="23" stopIfTrue="1">
      <formula>LEN(TRIM(E122))=0</formula>
    </cfRule>
    <cfRule type="notContainsBlanks" dxfId="1401" priority="24" stopIfTrue="1">
      <formula>LEN(TRIM(E122))&gt;0</formula>
    </cfRule>
  </conditionalFormatting>
  <conditionalFormatting sqref="E124:AL124">
    <cfRule type="containsBlanks" dxfId="1400" priority="25" stopIfTrue="1">
      <formula>LEN(TRIM(E124))=0</formula>
    </cfRule>
    <cfRule type="notContainsBlanks" dxfId="1399" priority="26" stopIfTrue="1">
      <formula>LEN(TRIM(E124))&gt;0</formula>
    </cfRule>
  </conditionalFormatting>
  <conditionalFormatting sqref="E125:AL125">
    <cfRule type="containsBlanks" dxfId="1398" priority="27" stopIfTrue="1">
      <formula>LEN(TRIM(E125))=0</formula>
    </cfRule>
    <cfRule type="notContainsBlanks" dxfId="1397" priority="28" stopIfTrue="1">
      <formula>LEN(TRIM(E125))&gt;0</formula>
    </cfRule>
  </conditionalFormatting>
  <conditionalFormatting sqref="E126:AL126">
    <cfRule type="containsBlanks" dxfId="1396" priority="29" stopIfTrue="1">
      <formula>LEN(TRIM(E126))=0</formula>
    </cfRule>
    <cfRule type="notContainsBlanks" dxfId="1395" priority="30" stopIfTrue="1">
      <formula>LEN(TRIM(E126))&gt;0</formula>
    </cfRule>
  </conditionalFormatting>
  <conditionalFormatting sqref="E128:AL128">
    <cfRule type="containsBlanks" dxfId="1394" priority="31" stopIfTrue="1">
      <formula>LEN(TRIM(E128))=0</formula>
    </cfRule>
    <cfRule type="notContainsBlanks" dxfId="1393" priority="32" stopIfTrue="1">
      <formula>LEN(TRIM(E128))&gt;0</formula>
    </cfRule>
  </conditionalFormatting>
  <conditionalFormatting sqref="E130:AL130">
    <cfRule type="containsBlanks" dxfId="1392" priority="33" stopIfTrue="1">
      <formula>LEN(TRIM(E130))=0</formula>
    </cfRule>
    <cfRule type="notContainsBlanks" dxfId="1391" priority="34" stopIfTrue="1">
      <formula>LEN(TRIM(E130))&gt;0</formula>
    </cfRule>
  </conditionalFormatting>
  <conditionalFormatting sqref="E131:AL131">
    <cfRule type="containsBlanks" dxfId="1390" priority="35" stopIfTrue="1">
      <formula>LEN(TRIM(E131))=0</formula>
    </cfRule>
    <cfRule type="notContainsBlanks" dxfId="1389" priority="36" stopIfTrue="1">
      <formula>LEN(TRIM(E131))&gt;0</formula>
    </cfRule>
  </conditionalFormatting>
  <conditionalFormatting sqref="E132:AL132">
    <cfRule type="containsBlanks" dxfId="1388" priority="37" stopIfTrue="1">
      <formula>LEN(TRIM(E132))=0</formula>
    </cfRule>
    <cfRule type="notContainsBlanks" dxfId="1387" priority="38" stopIfTrue="1">
      <formula>LEN(TRIM(E132))&gt;0</formula>
    </cfRule>
  </conditionalFormatting>
  <conditionalFormatting sqref="E134:AL134">
    <cfRule type="containsBlanks" dxfId="1386" priority="39" stopIfTrue="1">
      <formula>LEN(TRIM(E134))=0</formula>
    </cfRule>
    <cfRule type="notContainsBlanks" dxfId="1385" priority="40" stopIfTrue="1">
      <formula>LEN(TRIM(E134))&gt;0</formula>
    </cfRule>
  </conditionalFormatting>
  <conditionalFormatting sqref="E136:AL136">
    <cfRule type="containsBlanks" dxfId="1384" priority="41" stopIfTrue="1">
      <formula>LEN(TRIM(E136))=0</formula>
    </cfRule>
  </conditionalFormatting>
  <conditionalFormatting sqref="E136:AL136">
    <cfRule type="notContainsBlanks" dxfId="1383" priority="42" stopIfTrue="1">
      <formula>LEN(TRIM(E136))&gt;0</formula>
    </cfRule>
  </conditionalFormatting>
  <conditionalFormatting sqref="E137:AL137">
    <cfRule type="containsBlanks" dxfId="1382" priority="43" stopIfTrue="1">
      <formula>LEN(TRIM(E137))=0</formula>
    </cfRule>
  </conditionalFormatting>
  <conditionalFormatting sqref="E137:AL137">
    <cfRule type="notContainsBlanks" dxfId="1381" priority="44" stopIfTrue="1">
      <formula>LEN(TRIM(E137))&gt;0</formula>
    </cfRule>
  </conditionalFormatting>
  <conditionalFormatting sqref="E138:AL138">
    <cfRule type="containsBlanks" dxfId="1380" priority="45" stopIfTrue="1">
      <formula>LEN(TRIM(E138))=0</formula>
    </cfRule>
  </conditionalFormatting>
  <conditionalFormatting sqref="E138:AL138">
    <cfRule type="notContainsBlanks" dxfId="1379" priority="46" stopIfTrue="1">
      <formula>LEN(TRIM(E138))&gt;0</formula>
    </cfRule>
  </conditionalFormatting>
  <conditionalFormatting sqref="E140:AL140">
    <cfRule type="containsBlanks" dxfId="1378" priority="47" stopIfTrue="1">
      <formula>LEN(TRIM(E140))=0</formula>
    </cfRule>
  </conditionalFormatting>
  <conditionalFormatting sqref="E140:AL140">
    <cfRule type="notContainsBlanks" dxfId="1377" priority="48" stopIfTrue="1">
      <formula>LEN(TRIM(E140))&gt;0</formula>
    </cfRule>
  </conditionalFormatting>
  <conditionalFormatting sqref="E142:AL142">
    <cfRule type="containsBlanks" dxfId="1376" priority="49" stopIfTrue="1">
      <formula>LEN(TRIM(E142))=0</formula>
    </cfRule>
  </conditionalFormatting>
  <conditionalFormatting sqref="E142:AL142">
    <cfRule type="notContainsBlanks" dxfId="1375" priority="50" stopIfTrue="1">
      <formula>LEN(TRIM(E142))&gt;0</formula>
    </cfRule>
  </conditionalFormatting>
  <conditionalFormatting sqref="E143:AL143">
    <cfRule type="containsBlanks" dxfId="1374" priority="51" stopIfTrue="1">
      <formula>LEN(TRIM(E143))=0</formula>
    </cfRule>
  </conditionalFormatting>
  <conditionalFormatting sqref="E143:AL143">
    <cfRule type="notContainsBlanks" dxfId="1373" priority="52" stopIfTrue="1">
      <formula>LEN(TRIM(E143))&gt;0</formula>
    </cfRule>
  </conditionalFormatting>
  <conditionalFormatting sqref="E144:AL144">
    <cfRule type="containsBlanks" dxfId="1372" priority="53" stopIfTrue="1">
      <formula>LEN(TRIM(E144))=0</formula>
    </cfRule>
  </conditionalFormatting>
  <conditionalFormatting sqref="E144:AL144">
    <cfRule type="notContainsBlanks" dxfId="1371" priority="54" stopIfTrue="1">
      <formula>LEN(TRIM(E144))&gt;0</formula>
    </cfRule>
  </conditionalFormatting>
  <conditionalFormatting sqref="E146:AL146">
    <cfRule type="containsBlanks" dxfId="1370" priority="55" stopIfTrue="1">
      <formula>LEN(TRIM(E146))=0</formula>
    </cfRule>
  </conditionalFormatting>
  <conditionalFormatting sqref="E146:AL146">
    <cfRule type="notContainsBlanks" dxfId="1369" priority="56" stopIfTrue="1">
      <formula>LEN(TRIM(E146))&gt;0</formula>
    </cfRule>
  </conditionalFormatting>
  <conditionalFormatting sqref="E149:AL149">
    <cfRule type="containsBlanks" dxfId="1368" priority="57" stopIfTrue="1">
      <formula>LEN(TRIM(E149))=0</formula>
    </cfRule>
  </conditionalFormatting>
  <conditionalFormatting sqref="E149:AL149">
    <cfRule type="notContainsBlanks" dxfId="1367" priority="58" stopIfTrue="1">
      <formula>LEN(TRIM(E149))&gt;0</formula>
    </cfRule>
  </conditionalFormatting>
  <conditionalFormatting sqref="E150:AL150">
    <cfRule type="containsBlanks" dxfId="1366" priority="59" stopIfTrue="1">
      <formula>LEN(TRIM(E150))=0</formula>
    </cfRule>
  </conditionalFormatting>
  <conditionalFormatting sqref="E150:AL150">
    <cfRule type="notContainsBlanks" dxfId="1365" priority="60" stopIfTrue="1">
      <formula>LEN(TRIM(E150))&gt;0</formula>
    </cfRule>
  </conditionalFormatting>
  <conditionalFormatting sqref="E151:AL151">
    <cfRule type="containsBlanks" dxfId="1364" priority="61" stopIfTrue="1">
      <formula>LEN(TRIM(E151))=0</formula>
    </cfRule>
  </conditionalFormatting>
  <conditionalFormatting sqref="E151:AL151">
    <cfRule type="notContainsBlanks" dxfId="1363" priority="62" stopIfTrue="1">
      <formula>LEN(TRIM(E151))&gt;0</formula>
    </cfRule>
  </conditionalFormatting>
  <conditionalFormatting sqref="E153:AL153">
    <cfRule type="containsBlanks" dxfId="1362" priority="63" stopIfTrue="1">
      <formula>LEN(TRIM(E153))=0</formula>
    </cfRule>
  </conditionalFormatting>
  <conditionalFormatting sqref="E153:AL153">
    <cfRule type="notContainsBlanks" dxfId="1361" priority="64" stopIfTrue="1">
      <formula>LEN(TRIM(E153))&gt;0</formula>
    </cfRule>
  </conditionalFormatting>
  <conditionalFormatting sqref="E155:AL155">
    <cfRule type="containsBlanks" dxfId="1360" priority="65" stopIfTrue="1">
      <formula>LEN(TRIM(E155))=0</formula>
    </cfRule>
  </conditionalFormatting>
  <conditionalFormatting sqref="E155:AL155">
    <cfRule type="notContainsBlanks" dxfId="1359" priority="66" stopIfTrue="1">
      <formula>LEN(TRIM(E155))&gt;0</formula>
    </cfRule>
  </conditionalFormatting>
  <conditionalFormatting sqref="E156:AL156">
    <cfRule type="containsBlanks" dxfId="1358" priority="67" stopIfTrue="1">
      <formula>LEN(TRIM(E156))=0</formula>
    </cfRule>
  </conditionalFormatting>
  <conditionalFormatting sqref="E156:AL156">
    <cfRule type="notContainsBlanks" dxfId="1357" priority="68" stopIfTrue="1">
      <formula>LEN(TRIM(E156))&gt;0</formula>
    </cfRule>
  </conditionalFormatting>
  <conditionalFormatting sqref="E157:AL157">
    <cfRule type="containsBlanks" dxfId="1356" priority="69" stopIfTrue="1">
      <formula>LEN(TRIM(E157))=0</formula>
    </cfRule>
  </conditionalFormatting>
  <conditionalFormatting sqref="E157:AL157">
    <cfRule type="notContainsBlanks" dxfId="1355" priority="70" stopIfTrue="1">
      <formula>LEN(TRIM(E157))&gt;0</formula>
    </cfRule>
  </conditionalFormatting>
  <conditionalFormatting sqref="E159:AL159">
    <cfRule type="containsBlanks" dxfId="1354" priority="71" stopIfTrue="1">
      <formula>LEN(TRIM(E159))=0</formula>
    </cfRule>
  </conditionalFormatting>
  <conditionalFormatting sqref="E159:AL159">
    <cfRule type="notContainsBlanks" dxfId="1353" priority="72" stopIfTrue="1">
      <formula>LEN(TRIM(E159))&gt;0</formula>
    </cfRule>
  </conditionalFormatting>
  <conditionalFormatting sqref="E161:AL161">
    <cfRule type="containsBlanks" dxfId="1352" priority="73" stopIfTrue="1">
      <formula>LEN(TRIM(E161))=0</formula>
    </cfRule>
  </conditionalFormatting>
  <conditionalFormatting sqref="E161:AL161">
    <cfRule type="notContainsBlanks" dxfId="1351" priority="74" stopIfTrue="1">
      <formula>LEN(TRIM(E161))&gt;0</formula>
    </cfRule>
  </conditionalFormatting>
  <conditionalFormatting sqref="E162:AL162">
    <cfRule type="containsBlanks" dxfId="1350" priority="75" stopIfTrue="1">
      <formula>LEN(TRIM(E162))=0</formula>
    </cfRule>
  </conditionalFormatting>
  <conditionalFormatting sqref="E162:AL162">
    <cfRule type="notContainsBlanks" dxfId="1349" priority="76" stopIfTrue="1">
      <formula>LEN(TRIM(E162))&gt;0</formula>
    </cfRule>
  </conditionalFormatting>
  <conditionalFormatting sqref="E163:AL163">
    <cfRule type="containsBlanks" dxfId="1348" priority="77" stopIfTrue="1">
      <formula>LEN(TRIM(E163))=0</formula>
    </cfRule>
  </conditionalFormatting>
  <conditionalFormatting sqref="E163:AL163">
    <cfRule type="notContainsBlanks" dxfId="1347" priority="78" stopIfTrue="1">
      <formula>LEN(TRIM(E163))&gt;0</formula>
    </cfRule>
  </conditionalFormatting>
  <conditionalFormatting sqref="E165:AL165">
    <cfRule type="containsBlanks" dxfId="1346" priority="79" stopIfTrue="1">
      <formula>LEN(TRIM(E165))=0</formula>
    </cfRule>
  </conditionalFormatting>
  <conditionalFormatting sqref="E165:AL165">
    <cfRule type="notContainsBlanks" dxfId="1345" priority="80" stopIfTrue="1">
      <formula>LEN(TRIM(E165))&gt;0</formula>
    </cfRule>
  </conditionalFormatting>
  <conditionalFormatting sqref="E167:AL167">
    <cfRule type="containsBlanks" dxfId="1344" priority="81" stopIfTrue="1">
      <formula>LEN(TRIM(E167))=0</formula>
    </cfRule>
  </conditionalFormatting>
  <conditionalFormatting sqref="E167:AL167">
    <cfRule type="notContainsBlanks" dxfId="1343" priority="82" stopIfTrue="1">
      <formula>LEN(TRIM(E167))&gt;0</formula>
    </cfRule>
  </conditionalFormatting>
  <conditionalFormatting sqref="E168:AL168">
    <cfRule type="containsBlanks" dxfId="1342" priority="83" stopIfTrue="1">
      <formula>LEN(TRIM(E168))=0</formula>
    </cfRule>
  </conditionalFormatting>
  <conditionalFormatting sqref="E168:AL168">
    <cfRule type="notContainsBlanks" dxfId="1341" priority="84" stopIfTrue="1">
      <formula>LEN(TRIM(E168))&gt;0</formula>
    </cfRule>
  </conditionalFormatting>
  <conditionalFormatting sqref="E169:AL169">
    <cfRule type="containsBlanks" dxfId="1340" priority="85" stopIfTrue="1">
      <formula>LEN(TRIM(E169))=0</formula>
    </cfRule>
  </conditionalFormatting>
  <conditionalFormatting sqref="E169:AL169">
    <cfRule type="notContainsBlanks" dxfId="1339" priority="86" stopIfTrue="1">
      <formula>LEN(TRIM(E169))&gt;0</formula>
    </cfRule>
  </conditionalFormatting>
  <conditionalFormatting sqref="E171:AL171">
    <cfRule type="containsBlanks" dxfId="1338" priority="87" stopIfTrue="1">
      <formula>LEN(TRIM(E171))=0</formula>
    </cfRule>
  </conditionalFormatting>
  <conditionalFormatting sqref="E171:AL171">
    <cfRule type="notContainsBlanks" dxfId="1337" priority="88" stopIfTrue="1">
      <formula>LEN(TRIM(E171))&gt;0</formula>
    </cfRule>
  </conditionalFormatting>
  <conditionalFormatting sqref="E173:AL173">
    <cfRule type="containsBlanks" dxfId="1336" priority="89" stopIfTrue="1">
      <formula>LEN(TRIM(E173))=0</formula>
    </cfRule>
  </conditionalFormatting>
  <conditionalFormatting sqref="E173:AL173">
    <cfRule type="notContainsBlanks" dxfId="1335" priority="90" stopIfTrue="1">
      <formula>LEN(TRIM(E173))&gt;0</formula>
    </cfRule>
  </conditionalFormatting>
  <conditionalFormatting sqref="E174:AL174">
    <cfRule type="containsBlanks" dxfId="1334" priority="91" stopIfTrue="1">
      <formula>LEN(TRIM(E174))=0</formula>
    </cfRule>
  </conditionalFormatting>
  <conditionalFormatting sqref="E174:AL174">
    <cfRule type="notContainsBlanks" dxfId="1333" priority="92" stopIfTrue="1">
      <formula>LEN(TRIM(E174))&gt;0</formula>
    </cfRule>
  </conditionalFormatting>
  <conditionalFormatting sqref="E175:AL175">
    <cfRule type="containsBlanks" dxfId="1332" priority="93" stopIfTrue="1">
      <formula>LEN(TRIM(E175))=0</formula>
    </cfRule>
  </conditionalFormatting>
  <conditionalFormatting sqref="E175:AL175">
    <cfRule type="notContainsBlanks" dxfId="1331" priority="94" stopIfTrue="1">
      <formula>LEN(TRIM(E175))&gt;0</formula>
    </cfRule>
  </conditionalFormatting>
  <conditionalFormatting sqref="E177:AL177">
    <cfRule type="containsBlanks" dxfId="1330" priority="95" stopIfTrue="1">
      <formula>LEN(TRIM(E177))=0</formula>
    </cfRule>
  </conditionalFormatting>
  <conditionalFormatting sqref="E177:AL177">
    <cfRule type="notContainsBlanks" dxfId="1329" priority="96" stopIfTrue="1">
      <formula>LEN(TRIM(E177))&gt;0</formula>
    </cfRule>
  </conditionalFormatting>
  <conditionalFormatting sqref="E179:AL179">
    <cfRule type="containsBlanks" dxfId="1328" priority="97" stopIfTrue="1">
      <formula>LEN(TRIM(E179))=0</formula>
    </cfRule>
  </conditionalFormatting>
  <conditionalFormatting sqref="E179:AL179">
    <cfRule type="notContainsBlanks" dxfId="1327" priority="98" stopIfTrue="1">
      <formula>LEN(TRIM(E179))&gt;0</formula>
    </cfRule>
  </conditionalFormatting>
  <conditionalFormatting sqref="E180:AL180">
    <cfRule type="containsBlanks" dxfId="1326" priority="99" stopIfTrue="1">
      <formula>LEN(TRIM(E180))=0</formula>
    </cfRule>
  </conditionalFormatting>
  <conditionalFormatting sqref="E180:AL180">
    <cfRule type="notContainsBlanks" dxfId="1325" priority="100" stopIfTrue="1">
      <formula>LEN(TRIM(E180))&gt;0</formula>
    </cfRule>
  </conditionalFormatting>
  <conditionalFormatting sqref="E181:AL181">
    <cfRule type="containsBlanks" dxfId="1324" priority="101" stopIfTrue="1">
      <formula>LEN(TRIM(E181))=0</formula>
    </cfRule>
  </conditionalFormatting>
  <conditionalFormatting sqref="E181:AL181">
    <cfRule type="notContainsBlanks" dxfId="1323" priority="102" stopIfTrue="1">
      <formula>LEN(TRIM(E181))&gt;0</formula>
    </cfRule>
  </conditionalFormatting>
  <conditionalFormatting sqref="E183:AL183">
    <cfRule type="containsBlanks" dxfId="1322" priority="103" stopIfTrue="1">
      <formula>LEN(TRIM(E183))=0</formula>
    </cfRule>
  </conditionalFormatting>
  <conditionalFormatting sqref="E183:AL183">
    <cfRule type="notContainsBlanks" dxfId="1321" priority="104" stopIfTrue="1">
      <formula>LEN(TRIM(E183))&gt;0</formula>
    </cfRule>
  </conditionalFormatting>
  <conditionalFormatting sqref="E185:AL185">
    <cfRule type="containsBlanks" dxfId="1320" priority="105" stopIfTrue="1">
      <formula>LEN(TRIM(E185))=0</formula>
    </cfRule>
  </conditionalFormatting>
  <conditionalFormatting sqref="E185:AL185">
    <cfRule type="notContainsBlanks" dxfId="1319" priority="106" stopIfTrue="1">
      <formula>LEN(TRIM(E185))&gt;0</formula>
    </cfRule>
  </conditionalFormatting>
  <conditionalFormatting sqref="E186:AL186">
    <cfRule type="containsBlanks" dxfId="1318" priority="107" stopIfTrue="1">
      <formula>LEN(TRIM(E186))=0</formula>
    </cfRule>
  </conditionalFormatting>
  <conditionalFormatting sqref="E186:AL186">
    <cfRule type="notContainsBlanks" dxfId="1317" priority="108" stopIfTrue="1">
      <formula>LEN(TRIM(E186))&gt;0</formula>
    </cfRule>
  </conditionalFormatting>
  <conditionalFormatting sqref="E187:AL187">
    <cfRule type="containsBlanks" dxfId="1316" priority="109" stopIfTrue="1">
      <formula>LEN(TRIM(E187))=0</formula>
    </cfRule>
  </conditionalFormatting>
  <conditionalFormatting sqref="E187:AL187">
    <cfRule type="notContainsBlanks" dxfId="1315" priority="110" stopIfTrue="1">
      <formula>LEN(TRIM(E187))&gt;0</formula>
    </cfRule>
  </conditionalFormatting>
  <conditionalFormatting sqref="E189:AL189">
    <cfRule type="containsBlanks" dxfId="1314" priority="111" stopIfTrue="1">
      <formula>LEN(TRIM(E189))=0</formula>
    </cfRule>
  </conditionalFormatting>
  <conditionalFormatting sqref="E189:AL189">
    <cfRule type="notContainsBlanks" dxfId="1313" priority="112" stopIfTrue="1">
      <formula>LEN(TRIM(E189))&gt;0</formula>
    </cfRule>
  </conditionalFormatting>
  <conditionalFormatting sqref="E95:AL95">
    <cfRule type="containsBlanks" dxfId="1312" priority="113" stopIfTrue="1">
      <formula>LEN(TRIM(E95))=0</formula>
    </cfRule>
    <cfRule type="notContainsBlanks" dxfId="1311" priority="114" stopIfTrue="1">
      <formula>LEN(TRIM(E95))&gt;0</formula>
    </cfRule>
  </conditionalFormatting>
  <conditionalFormatting sqref="E96:AL96">
    <cfRule type="containsBlanks" dxfId="1310" priority="115" stopIfTrue="1">
      <formula>LEN(TRIM(E96))=0</formula>
    </cfRule>
    <cfRule type="notContainsBlanks" dxfId="1309" priority="116" stopIfTrue="1">
      <formula>LEN(TRIM(E96))&gt;0</formula>
    </cfRule>
  </conditionalFormatting>
  <conditionalFormatting sqref="E97:AL97">
    <cfRule type="containsBlanks" dxfId="1308" priority="117" stopIfTrue="1">
      <formula>LEN(TRIM(E97))=0</formula>
    </cfRule>
    <cfRule type="notContainsBlanks" dxfId="1307" priority="118" stopIfTrue="1">
      <formula>LEN(TRIM(E97))&gt;0</formula>
    </cfRule>
  </conditionalFormatting>
  <conditionalFormatting sqref="E98:AL98">
    <cfRule type="containsBlanks" dxfId="1306" priority="119" stopIfTrue="1">
      <formula>LEN(TRIM(E98))=0</formula>
    </cfRule>
    <cfRule type="notContainsBlanks" dxfId="1305" priority="120" stopIfTrue="1">
      <formula>LEN(TRIM(E98))&gt;0</formula>
    </cfRule>
  </conditionalFormatting>
  <conditionalFormatting sqref="E99:AL99">
    <cfRule type="containsBlanks" dxfId="1304" priority="121" stopIfTrue="1">
      <formula>LEN(TRIM(E99))=0</formula>
    </cfRule>
    <cfRule type="notContainsBlanks" dxfId="1303" priority="122" stopIfTrue="1">
      <formula>LEN(TRIM(E99))&gt;0</formula>
    </cfRule>
  </conditionalFormatting>
  <conditionalFormatting sqref="E100:AL100">
    <cfRule type="containsBlanks" dxfId="1302" priority="123" stopIfTrue="1">
      <formula>LEN(TRIM(E100))=0</formula>
    </cfRule>
    <cfRule type="notContainsBlanks" dxfId="1301" priority="124" stopIfTrue="1">
      <formula>LEN(TRIM(E100))&gt;0</formula>
    </cfRule>
  </conditionalFormatting>
  <conditionalFormatting sqref="E101:AL101">
    <cfRule type="containsBlanks" dxfId="1300" priority="125" stopIfTrue="1">
      <formula>LEN(TRIM(E101))=0</formula>
    </cfRule>
    <cfRule type="notContainsBlanks" dxfId="1299" priority="126" stopIfTrue="1">
      <formula>LEN(TRIM(E101))&gt;0</formula>
    </cfRule>
  </conditionalFormatting>
  <conditionalFormatting sqref="E86:AL86">
    <cfRule type="containsBlanks" dxfId="1298" priority="127" stopIfTrue="1">
      <formula>LEN(TRIM(E86))=0</formula>
    </cfRule>
    <cfRule type="notContainsBlanks" dxfId="1297" priority="128" stopIfTrue="1">
      <formula>LEN(TRIM(E86))&gt;0</formula>
    </cfRule>
  </conditionalFormatting>
  <conditionalFormatting sqref="E87:AL87">
    <cfRule type="containsBlanks" dxfId="1296" priority="129" stopIfTrue="1">
      <formula>LEN(TRIM(E87))=0</formula>
    </cfRule>
    <cfRule type="notContainsBlanks" dxfId="1295" priority="130" stopIfTrue="1">
      <formula>LEN(TRIM(E87))&gt;0</formula>
    </cfRule>
  </conditionalFormatting>
  <conditionalFormatting sqref="E88:AL88">
    <cfRule type="containsBlanks" dxfId="1294" priority="131" stopIfTrue="1">
      <formula>LEN(TRIM(E88))=0</formula>
    </cfRule>
    <cfRule type="notContainsBlanks" dxfId="1293" priority="132" stopIfTrue="1">
      <formula>LEN(TRIM(E88))&gt;0</formula>
    </cfRule>
  </conditionalFormatting>
  <conditionalFormatting sqref="E89:AL89">
    <cfRule type="containsBlanks" dxfId="1292" priority="133" stopIfTrue="1">
      <formula>LEN(TRIM(E89))=0</formula>
    </cfRule>
    <cfRule type="notContainsBlanks" dxfId="1291" priority="134" stopIfTrue="1">
      <formula>LEN(TRIM(E89))&gt;0</formula>
    </cfRule>
  </conditionalFormatting>
  <conditionalFormatting sqref="E90:AL90">
    <cfRule type="containsBlanks" dxfId="1290" priority="135" stopIfTrue="1">
      <formula>LEN(TRIM(E90))=0</formula>
    </cfRule>
    <cfRule type="notContainsBlanks" dxfId="1289" priority="136" stopIfTrue="1">
      <formula>LEN(TRIM(E90))&gt;0</formula>
    </cfRule>
  </conditionalFormatting>
  <conditionalFormatting sqref="E91:AL91">
    <cfRule type="containsBlanks" dxfId="1288" priority="137" stopIfTrue="1">
      <formula>LEN(TRIM(E91))=0</formula>
    </cfRule>
    <cfRule type="notContainsBlanks" dxfId="1287" priority="138" stopIfTrue="1">
      <formula>LEN(TRIM(E91))&gt;0</formula>
    </cfRule>
  </conditionalFormatting>
  <conditionalFormatting sqref="E92:AL92">
    <cfRule type="containsBlanks" dxfId="1286" priority="139" stopIfTrue="1">
      <formula>LEN(TRIM(E92))=0</formula>
    </cfRule>
    <cfRule type="notContainsBlanks" dxfId="1285" priority="140" stopIfTrue="1">
      <formula>LEN(TRIM(E92))&gt;0</formula>
    </cfRule>
  </conditionalFormatting>
  <conditionalFormatting sqref="E77:AL77">
    <cfRule type="containsBlanks" dxfId="1284" priority="141" stopIfTrue="1">
      <formula>LEN(TRIM(E77))=0</formula>
    </cfRule>
    <cfRule type="notContainsBlanks" dxfId="1283" priority="142" stopIfTrue="1">
      <formula>LEN(TRIM(E77))&gt;0</formula>
    </cfRule>
  </conditionalFormatting>
  <conditionalFormatting sqref="E78:AL78">
    <cfRule type="containsBlanks" dxfId="1282" priority="143" stopIfTrue="1">
      <formula>LEN(TRIM(E78))=0</formula>
    </cfRule>
    <cfRule type="notContainsBlanks" dxfId="1281" priority="144" stopIfTrue="1">
      <formula>LEN(TRIM(E78))&gt;0</formula>
    </cfRule>
  </conditionalFormatting>
  <conditionalFormatting sqref="E79:AL79">
    <cfRule type="containsBlanks" dxfId="1280" priority="145" stopIfTrue="1">
      <formula>LEN(TRIM(E79))=0</formula>
    </cfRule>
    <cfRule type="notContainsBlanks" dxfId="1279" priority="146" stopIfTrue="1">
      <formula>LEN(TRIM(E79))&gt;0</formula>
    </cfRule>
  </conditionalFormatting>
  <conditionalFormatting sqref="E80:AL80">
    <cfRule type="containsBlanks" dxfId="1278" priority="147" stopIfTrue="1">
      <formula>LEN(TRIM(E80))=0</formula>
    </cfRule>
    <cfRule type="notContainsBlanks" dxfId="1277" priority="148" stopIfTrue="1">
      <formula>LEN(TRIM(E80))&gt;0</formula>
    </cfRule>
  </conditionalFormatting>
  <conditionalFormatting sqref="E81:AL81">
    <cfRule type="containsBlanks" dxfId="1276" priority="149" stopIfTrue="1">
      <formula>LEN(TRIM(E81))=0</formula>
    </cfRule>
    <cfRule type="notContainsBlanks" dxfId="1275" priority="150" stopIfTrue="1">
      <formula>LEN(TRIM(E81))&gt;0</formula>
    </cfRule>
  </conditionalFormatting>
  <conditionalFormatting sqref="E82:AL82">
    <cfRule type="containsBlanks" dxfId="1274" priority="151" stopIfTrue="1">
      <formula>LEN(TRIM(E82))=0</formula>
    </cfRule>
    <cfRule type="notContainsBlanks" dxfId="1273" priority="152" stopIfTrue="1">
      <formula>LEN(TRIM(E82))&gt;0</formula>
    </cfRule>
  </conditionalFormatting>
  <conditionalFormatting sqref="E83:AL83">
    <cfRule type="containsBlanks" dxfId="1272" priority="153" stopIfTrue="1">
      <formula>LEN(TRIM(E83))=0</formula>
    </cfRule>
    <cfRule type="notContainsBlanks" dxfId="1271" priority="154" stopIfTrue="1">
      <formula>LEN(TRIM(E83))&gt;0</formula>
    </cfRule>
  </conditionalFormatting>
  <conditionalFormatting sqref="E68:AL68">
    <cfRule type="containsBlanks" dxfId="1270" priority="155" stopIfTrue="1">
      <formula>LEN(TRIM(E68))=0</formula>
    </cfRule>
    <cfRule type="notContainsBlanks" dxfId="1269" priority="156" stopIfTrue="1">
      <formula>LEN(TRIM(E68))&gt;0</formula>
    </cfRule>
  </conditionalFormatting>
  <conditionalFormatting sqref="E69:AL69">
    <cfRule type="containsBlanks" dxfId="1268" priority="157" stopIfTrue="1">
      <formula>LEN(TRIM(E69))=0</formula>
    </cfRule>
    <cfRule type="notContainsBlanks" dxfId="1267" priority="158" stopIfTrue="1">
      <formula>LEN(TRIM(E69))&gt;0</formula>
    </cfRule>
  </conditionalFormatting>
  <conditionalFormatting sqref="E70:AL70">
    <cfRule type="containsBlanks" dxfId="1266" priority="159" stopIfTrue="1">
      <formula>LEN(TRIM(E70))=0</formula>
    </cfRule>
    <cfRule type="notContainsBlanks" dxfId="1265" priority="160" stopIfTrue="1">
      <formula>LEN(TRIM(E70))&gt;0</formula>
    </cfRule>
  </conditionalFormatting>
  <conditionalFormatting sqref="E71:AL71">
    <cfRule type="containsBlanks" dxfId="1264" priority="161" stopIfTrue="1">
      <formula>LEN(TRIM(E71))=0</formula>
    </cfRule>
    <cfRule type="notContainsBlanks" dxfId="1263" priority="162" stopIfTrue="1">
      <formula>LEN(TRIM(E71))&gt;0</formula>
    </cfRule>
  </conditionalFormatting>
  <conditionalFormatting sqref="E72:AL72">
    <cfRule type="containsBlanks" dxfId="1262" priority="163" stopIfTrue="1">
      <formula>LEN(TRIM(E72))=0</formula>
    </cfRule>
    <cfRule type="notContainsBlanks" dxfId="1261" priority="164" stopIfTrue="1">
      <formula>LEN(TRIM(E72))&gt;0</formula>
    </cfRule>
  </conditionalFormatting>
  <conditionalFormatting sqref="E73:AL73">
    <cfRule type="containsBlanks" dxfId="1260" priority="165" stopIfTrue="1">
      <formula>LEN(TRIM(E73))=0</formula>
    </cfRule>
    <cfRule type="notContainsBlanks" dxfId="1259" priority="166" stopIfTrue="1">
      <formula>LEN(TRIM(E73))&gt;0</formula>
    </cfRule>
  </conditionalFormatting>
  <conditionalFormatting sqref="E74:AL74">
    <cfRule type="containsBlanks" dxfId="1258" priority="167" stopIfTrue="1">
      <formula>LEN(TRIM(E74))=0</formula>
    </cfRule>
    <cfRule type="notContainsBlanks" dxfId="1257" priority="168" stopIfTrue="1">
      <formula>LEN(TRIM(E74))&gt;0</formula>
    </cfRule>
  </conditionalFormatting>
  <conditionalFormatting sqref="E59:AL59">
    <cfRule type="containsBlanks" dxfId="1256" priority="169" stopIfTrue="1">
      <formula>LEN(TRIM(E59))=0</formula>
    </cfRule>
    <cfRule type="notContainsBlanks" dxfId="1255" priority="170" stopIfTrue="1">
      <formula>LEN(TRIM(E59))&gt;0</formula>
    </cfRule>
  </conditionalFormatting>
  <conditionalFormatting sqref="E60:AL60">
    <cfRule type="containsBlanks" dxfId="1254" priority="171" stopIfTrue="1">
      <formula>LEN(TRIM(E60))=0</formula>
    </cfRule>
    <cfRule type="notContainsBlanks" dxfId="1253" priority="172" stopIfTrue="1">
      <formula>LEN(TRIM(E60))&gt;0</formula>
    </cfRule>
  </conditionalFormatting>
  <conditionalFormatting sqref="E61:AL61">
    <cfRule type="containsBlanks" dxfId="1252" priority="173" stopIfTrue="1">
      <formula>LEN(TRIM(E61))=0</formula>
    </cfRule>
    <cfRule type="notContainsBlanks" dxfId="1251" priority="174" stopIfTrue="1">
      <formula>LEN(TRIM(E61))&gt;0</formula>
    </cfRule>
  </conditionalFormatting>
  <conditionalFormatting sqref="E62:AL62">
    <cfRule type="containsBlanks" dxfId="1250" priority="175" stopIfTrue="1">
      <formula>LEN(TRIM(E62))=0</formula>
    </cfRule>
    <cfRule type="notContainsBlanks" dxfId="1249" priority="176" stopIfTrue="1">
      <formula>LEN(TRIM(E62))&gt;0</formula>
    </cfRule>
  </conditionalFormatting>
  <conditionalFormatting sqref="E63:AL63">
    <cfRule type="containsBlanks" dxfId="1248" priority="177" stopIfTrue="1">
      <formula>LEN(TRIM(E63))=0</formula>
    </cfRule>
    <cfRule type="notContainsBlanks" dxfId="1247" priority="178" stopIfTrue="1">
      <formula>LEN(TRIM(E63))&gt;0</formula>
    </cfRule>
  </conditionalFormatting>
  <conditionalFormatting sqref="E64:AL64">
    <cfRule type="containsBlanks" dxfId="1246" priority="179" stopIfTrue="1">
      <formula>LEN(TRIM(E64))=0</formula>
    </cfRule>
    <cfRule type="notContainsBlanks" dxfId="1245" priority="180" stopIfTrue="1">
      <formula>LEN(TRIM(E64))&gt;0</formula>
    </cfRule>
  </conditionalFormatting>
  <conditionalFormatting sqref="E65:AL65">
    <cfRule type="containsBlanks" dxfId="1244" priority="181" stopIfTrue="1">
      <formula>LEN(TRIM(E65))=0</formula>
    </cfRule>
    <cfRule type="notContainsBlanks" dxfId="1243" priority="182" stopIfTrue="1">
      <formula>LEN(TRIM(E65))&gt;0</formula>
    </cfRule>
  </conditionalFormatting>
  <conditionalFormatting sqref="E50:AL50">
    <cfRule type="containsBlanks" dxfId="1242" priority="183" stopIfTrue="1">
      <formula>LEN(TRIM(E50))=0</formula>
    </cfRule>
    <cfRule type="notContainsBlanks" dxfId="1241" priority="184" stopIfTrue="1">
      <formula>LEN(TRIM(E50))&gt;0</formula>
    </cfRule>
  </conditionalFormatting>
  <conditionalFormatting sqref="E51:AL51">
    <cfRule type="containsBlanks" dxfId="1240" priority="185" stopIfTrue="1">
      <formula>LEN(TRIM(E51))=0</formula>
    </cfRule>
    <cfRule type="notContainsBlanks" dxfId="1239" priority="186" stopIfTrue="1">
      <formula>LEN(TRIM(E51))&gt;0</formula>
    </cfRule>
  </conditionalFormatting>
  <conditionalFormatting sqref="E52:AL52">
    <cfRule type="containsBlanks" dxfId="1238" priority="187" stopIfTrue="1">
      <formula>LEN(TRIM(E52))=0</formula>
    </cfRule>
    <cfRule type="notContainsBlanks" dxfId="1237" priority="188" stopIfTrue="1">
      <formula>LEN(TRIM(E52))&gt;0</formula>
    </cfRule>
  </conditionalFormatting>
  <conditionalFormatting sqref="E53:AL53">
    <cfRule type="containsBlanks" dxfId="1236" priority="189" stopIfTrue="1">
      <formula>LEN(TRIM(E53))=0</formula>
    </cfRule>
    <cfRule type="notContainsBlanks" dxfId="1235" priority="190" stopIfTrue="1">
      <formula>LEN(TRIM(E53))&gt;0</formula>
    </cfRule>
  </conditionalFormatting>
  <conditionalFormatting sqref="E54:AL54">
    <cfRule type="containsBlanks" dxfId="1234" priority="191" stopIfTrue="1">
      <formula>LEN(TRIM(E54))=0</formula>
    </cfRule>
    <cfRule type="notContainsBlanks" dxfId="1233" priority="192" stopIfTrue="1">
      <formula>LEN(TRIM(E54))&gt;0</formula>
    </cfRule>
  </conditionalFormatting>
  <conditionalFormatting sqref="E55:AL55">
    <cfRule type="containsBlanks" dxfId="1232" priority="193" stopIfTrue="1">
      <formula>LEN(TRIM(E55))=0</formula>
    </cfRule>
    <cfRule type="notContainsBlanks" dxfId="1231" priority="194" stopIfTrue="1">
      <formula>LEN(TRIM(E55))&gt;0</formula>
    </cfRule>
  </conditionalFormatting>
  <conditionalFormatting sqref="E56:AL56">
    <cfRule type="containsBlanks" dxfId="1230" priority="195" stopIfTrue="1">
      <formula>LEN(TRIM(E56))=0</formula>
    </cfRule>
    <cfRule type="notContainsBlanks" dxfId="1229" priority="196" stopIfTrue="1">
      <formula>LEN(TRIM(E56))&gt;0</formula>
    </cfRule>
  </conditionalFormatting>
  <conditionalFormatting sqref="E41:E47">
    <cfRule type="containsBlanks" dxfId="1228" priority="211" stopIfTrue="1">
      <formula>LEN(TRIM(E41))=0</formula>
    </cfRule>
    <cfRule type="expression" dxfId="1227" priority="212" stopIfTrue="1">
      <formula>SUM($E$41:$E$47)&lt;&gt;1</formula>
    </cfRule>
    <cfRule type="notContainsBlanks" dxfId="1226" priority="213" stopIfTrue="1">
      <formula>LEN(TRIM(E41))&gt;0</formula>
    </cfRule>
  </conditionalFormatting>
  <conditionalFormatting sqref="F41:F47">
    <cfRule type="containsBlanks" dxfId="1225" priority="214" stopIfTrue="1">
      <formula>LEN(TRIM(F41))=0</formula>
    </cfRule>
    <cfRule type="expression" dxfId="1224" priority="215" stopIfTrue="1">
      <formula>SUM($F$41:$F$47)&lt;&gt;1</formula>
    </cfRule>
    <cfRule type="notContainsBlanks" dxfId="1223" priority="216" stopIfTrue="1">
      <formula>LEN(TRIM(F41))&gt;0</formula>
    </cfRule>
  </conditionalFormatting>
  <conditionalFormatting sqref="G41:G47">
    <cfRule type="containsBlanks" dxfId="1222" priority="217" stopIfTrue="1">
      <formula>LEN(TRIM(G41))=0</formula>
    </cfRule>
    <cfRule type="expression" dxfId="1221" priority="218" stopIfTrue="1">
      <formula>SUM($G$41:$G$47)&lt;&gt;1</formula>
    </cfRule>
    <cfRule type="notContainsBlanks" dxfId="1220" priority="219" stopIfTrue="1">
      <formula>LEN(TRIM(G41))&gt;0</formula>
    </cfRule>
  </conditionalFormatting>
  <conditionalFormatting sqref="H41:H47">
    <cfRule type="containsBlanks" dxfId="1219" priority="220" stopIfTrue="1">
      <formula>LEN(TRIM(H41))=0</formula>
    </cfRule>
    <cfRule type="expression" dxfId="1218" priority="221" stopIfTrue="1">
      <formula>SUM($H$41:$H$47)&lt;&gt;1</formula>
    </cfRule>
    <cfRule type="notContainsBlanks" dxfId="1217" priority="222" stopIfTrue="1">
      <formula>LEN(TRIM(H41))&gt;0</formula>
    </cfRule>
  </conditionalFormatting>
  <conditionalFormatting sqref="I41:I47">
    <cfRule type="containsBlanks" dxfId="1216" priority="223" stopIfTrue="1">
      <formula>LEN(TRIM(I41))=0</formula>
    </cfRule>
    <cfRule type="expression" dxfId="1215" priority="224" stopIfTrue="1">
      <formula>SUM($I$41:$I$47)&lt;&gt;1</formula>
    </cfRule>
    <cfRule type="notContainsBlanks" dxfId="1214" priority="225" stopIfTrue="1">
      <formula>LEN(TRIM(I41))&gt;0</formula>
    </cfRule>
  </conditionalFormatting>
  <conditionalFormatting sqref="J41:J47">
    <cfRule type="containsBlanks" dxfId="1213" priority="226" stopIfTrue="1">
      <formula>LEN(TRIM(J41))=0</formula>
    </cfRule>
    <cfRule type="expression" dxfId="1212" priority="227" stopIfTrue="1">
      <formula>SUM($J$41:$J$47)&lt;&gt;1</formula>
    </cfRule>
    <cfRule type="notContainsBlanks" dxfId="1211" priority="228" stopIfTrue="1">
      <formula>LEN(TRIM(J41))&gt;0</formula>
    </cfRule>
  </conditionalFormatting>
  <conditionalFormatting sqref="K41:K47">
    <cfRule type="containsBlanks" dxfId="1210" priority="229" stopIfTrue="1">
      <formula>LEN(TRIM(K41))=0</formula>
    </cfRule>
    <cfRule type="expression" dxfId="1209" priority="230" stopIfTrue="1">
      <formula>SUM($K$41:$K$47)&lt;&gt;1</formula>
    </cfRule>
    <cfRule type="notContainsBlanks" dxfId="1208" priority="231" stopIfTrue="1">
      <formula>LEN(TRIM(K41))&gt;0</formula>
    </cfRule>
  </conditionalFormatting>
  <conditionalFormatting sqref="L41:L47">
    <cfRule type="containsBlanks" dxfId="1207" priority="232" stopIfTrue="1">
      <formula>LEN(TRIM(L41))=0</formula>
    </cfRule>
    <cfRule type="expression" dxfId="1206" priority="233" stopIfTrue="1">
      <formula>SUM($L$41:$L$47)&lt;&gt;1</formula>
    </cfRule>
    <cfRule type="notContainsBlanks" dxfId="1205" priority="234" stopIfTrue="1">
      <formula>LEN(TRIM(L41))&gt;0</formula>
    </cfRule>
  </conditionalFormatting>
  <conditionalFormatting sqref="M41:M47">
    <cfRule type="containsBlanks" dxfId="1204" priority="235" stopIfTrue="1">
      <formula>LEN(TRIM(M41))=0</formula>
    </cfRule>
    <cfRule type="expression" dxfId="1203" priority="236" stopIfTrue="1">
      <formula>SUM($M$41:$M$47)&lt;&gt;1</formula>
    </cfRule>
    <cfRule type="notContainsBlanks" dxfId="1202" priority="237" stopIfTrue="1">
      <formula>LEN(TRIM(M41))&gt;0</formula>
    </cfRule>
  </conditionalFormatting>
  <conditionalFormatting sqref="N41:N47">
    <cfRule type="containsBlanks" dxfId="1201" priority="238" stopIfTrue="1">
      <formula>LEN(TRIM(N41))=0</formula>
    </cfRule>
    <cfRule type="expression" dxfId="1200" priority="239" stopIfTrue="1">
      <formula>SUM($N$41:$N$47)&lt;&gt;1</formula>
    </cfRule>
    <cfRule type="notContainsBlanks" dxfId="1199" priority="240" stopIfTrue="1">
      <formula>LEN(TRIM(N41))&gt;0</formula>
    </cfRule>
  </conditionalFormatting>
  <conditionalFormatting sqref="O41:O47">
    <cfRule type="containsBlanks" dxfId="1198" priority="241" stopIfTrue="1">
      <formula>LEN(TRIM(O41))=0</formula>
    </cfRule>
    <cfRule type="expression" dxfId="1197" priority="242" stopIfTrue="1">
      <formula>SUM($O$41:$O$47)&lt;&gt;1</formula>
    </cfRule>
    <cfRule type="notContainsBlanks" dxfId="1196" priority="243" stopIfTrue="1">
      <formula>LEN(TRIM(O41))&gt;0</formula>
    </cfRule>
  </conditionalFormatting>
  <conditionalFormatting sqref="P41:P47">
    <cfRule type="containsBlanks" dxfId="1195" priority="244" stopIfTrue="1">
      <formula>LEN(TRIM(P41))=0</formula>
    </cfRule>
    <cfRule type="expression" dxfId="1194" priority="245" stopIfTrue="1">
      <formula>SUM($P$41:$P$47)&lt;&gt;1</formula>
    </cfRule>
    <cfRule type="notContainsBlanks" dxfId="1193" priority="246" stopIfTrue="1">
      <formula>LEN(TRIM(P41))&gt;0</formula>
    </cfRule>
  </conditionalFormatting>
  <conditionalFormatting sqref="Q41:Q47">
    <cfRule type="containsBlanks" dxfId="1192" priority="247" stopIfTrue="1">
      <formula>LEN(TRIM(Q41))=0</formula>
    </cfRule>
    <cfRule type="expression" dxfId="1191" priority="248" stopIfTrue="1">
      <formula>SUM($Q$41:$Q$47)&lt;&gt;1</formula>
    </cfRule>
    <cfRule type="notContainsBlanks" dxfId="1190" priority="249" stopIfTrue="1">
      <formula>LEN(TRIM(Q41))&gt;0</formula>
    </cfRule>
  </conditionalFormatting>
  <conditionalFormatting sqref="R41:R47">
    <cfRule type="containsBlanks" dxfId="1189" priority="250" stopIfTrue="1">
      <formula>LEN(TRIM(R41))=0</formula>
    </cfRule>
  </conditionalFormatting>
  <conditionalFormatting sqref="R41:R47">
    <cfRule type="expression" dxfId="1188" priority="251" stopIfTrue="1">
      <formula>SUM($R$41:$R$47)&lt;&gt;1</formula>
    </cfRule>
  </conditionalFormatting>
  <conditionalFormatting sqref="R41:R47">
    <cfRule type="notContainsBlanks" dxfId="1187" priority="252" stopIfTrue="1">
      <formula>LEN(TRIM(R41))&gt;0</formula>
    </cfRule>
  </conditionalFormatting>
  <conditionalFormatting sqref="S41:S47">
    <cfRule type="containsBlanks" dxfId="1186" priority="253" stopIfTrue="1">
      <formula>LEN(TRIM(S41))=0</formula>
    </cfRule>
  </conditionalFormatting>
  <conditionalFormatting sqref="S41:S47">
    <cfRule type="expression" dxfId="1185" priority="254" stopIfTrue="1">
      <formula>SUM($S$41:$S$47)&lt;&gt;1</formula>
    </cfRule>
  </conditionalFormatting>
  <conditionalFormatting sqref="S41:S47">
    <cfRule type="notContainsBlanks" dxfId="1184" priority="255" stopIfTrue="1">
      <formula>LEN(TRIM(S41))&gt;0</formula>
    </cfRule>
  </conditionalFormatting>
  <conditionalFormatting sqref="T41:T47">
    <cfRule type="containsBlanks" dxfId="1183" priority="256" stopIfTrue="1">
      <formula>LEN(TRIM(T41))=0</formula>
    </cfRule>
  </conditionalFormatting>
  <conditionalFormatting sqref="T41:T47">
    <cfRule type="expression" dxfId="1182" priority="257" stopIfTrue="1">
      <formula>SUM($T$41:$T$47)&lt;&gt;1</formula>
    </cfRule>
  </conditionalFormatting>
  <conditionalFormatting sqref="T41:T47">
    <cfRule type="notContainsBlanks" dxfId="1181" priority="258" stopIfTrue="1">
      <formula>LEN(TRIM(T41))&gt;0</formula>
    </cfRule>
  </conditionalFormatting>
  <conditionalFormatting sqref="U41:U47">
    <cfRule type="containsBlanks" dxfId="1180" priority="259" stopIfTrue="1">
      <formula>LEN(TRIM(U41))=0</formula>
    </cfRule>
  </conditionalFormatting>
  <conditionalFormatting sqref="U41:U47">
    <cfRule type="expression" dxfId="1179" priority="260" stopIfTrue="1">
      <formula>SUM($U$41:$U$47)&lt;&gt;1</formula>
    </cfRule>
  </conditionalFormatting>
  <conditionalFormatting sqref="U41:U47">
    <cfRule type="notContainsBlanks" dxfId="1178" priority="261" stopIfTrue="1">
      <formula>LEN(TRIM(U41))&gt;0</formula>
    </cfRule>
  </conditionalFormatting>
  <conditionalFormatting sqref="V41:V47">
    <cfRule type="containsBlanks" dxfId="1177" priority="262" stopIfTrue="1">
      <formula>LEN(TRIM(V41))=0</formula>
    </cfRule>
  </conditionalFormatting>
  <conditionalFormatting sqref="V41:V47">
    <cfRule type="expression" dxfId="1176" priority="263" stopIfTrue="1">
      <formula>SUM($V$41:$V$47)&lt;&gt;1</formula>
    </cfRule>
  </conditionalFormatting>
  <conditionalFormatting sqref="V41:V47">
    <cfRule type="notContainsBlanks" dxfId="1175" priority="264" stopIfTrue="1">
      <formula>LEN(TRIM(V41))&gt;0</formula>
    </cfRule>
  </conditionalFormatting>
  <conditionalFormatting sqref="W41:W47">
    <cfRule type="containsBlanks" dxfId="1174" priority="265" stopIfTrue="1">
      <formula>LEN(TRIM(W41))=0</formula>
    </cfRule>
  </conditionalFormatting>
  <conditionalFormatting sqref="W41:W47">
    <cfRule type="expression" dxfId="1173" priority="266" stopIfTrue="1">
      <formula>SUM($W$41:$W$47)&lt;&gt;1</formula>
    </cfRule>
  </conditionalFormatting>
  <conditionalFormatting sqref="W41:W47">
    <cfRule type="notContainsBlanks" dxfId="1172" priority="267" stopIfTrue="1">
      <formula>LEN(TRIM(W41))&gt;0</formula>
    </cfRule>
  </conditionalFormatting>
  <conditionalFormatting sqref="X41:X47">
    <cfRule type="containsBlanks" dxfId="1171" priority="268" stopIfTrue="1">
      <formula>LEN(TRIM(X41))=0</formula>
    </cfRule>
  </conditionalFormatting>
  <conditionalFormatting sqref="X41:X47">
    <cfRule type="expression" dxfId="1170" priority="269" stopIfTrue="1">
      <formula>SUM($X$41:$X$47)&lt;&gt;1</formula>
    </cfRule>
  </conditionalFormatting>
  <conditionalFormatting sqref="X41:X47">
    <cfRule type="notContainsBlanks" dxfId="1169" priority="270" stopIfTrue="1">
      <formula>LEN(TRIM(X41))&gt;0</formula>
    </cfRule>
  </conditionalFormatting>
  <conditionalFormatting sqref="Y41:Y47">
    <cfRule type="containsBlanks" dxfId="1168" priority="271" stopIfTrue="1">
      <formula>LEN(TRIM(Y41))=0</formula>
    </cfRule>
  </conditionalFormatting>
  <conditionalFormatting sqref="Y41:Y47">
    <cfRule type="expression" dxfId="1167" priority="272" stopIfTrue="1">
      <formula>SUM($Y$41:$Y$47)&lt;&gt;1</formula>
    </cfRule>
  </conditionalFormatting>
  <conditionalFormatting sqref="Y41:Y47">
    <cfRule type="notContainsBlanks" dxfId="1166" priority="273" stopIfTrue="1">
      <formula>LEN(TRIM(Y41))&gt;0</formula>
    </cfRule>
  </conditionalFormatting>
  <conditionalFormatting sqref="Z41:Z47">
    <cfRule type="containsBlanks" dxfId="1165" priority="274" stopIfTrue="1">
      <formula>LEN(TRIM(Z41))=0</formula>
    </cfRule>
  </conditionalFormatting>
  <conditionalFormatting sqref="Z41:Z47">
    <cfRule type="expression" dxfId="1164" priority="275" stopIfTrue="1">
      <formula>SUM($Z$41:$Z$47)&lt;&gt;1</formula>
    </cfRule>
  </conditionalFormatting>
  <conditionalFormatting sqref="Z41:Z47">
    <cfRule type="notContainsBlanks" dxfId="1163" priority="276" stopIfTrue="1">
      <formula>LEN(TRIM(Z41))&gt;0</formula>
    </cfRule>
  </conditionalFormatting>
  <conditionalFormatting sqref="AA41:AA47">
    <cfRule type="containsBlanks" dxfId="1162" priority="277" stopIfTrue="1">
      <formula>LEN(TRIM(AA41))=0</formula>
    </cfRule>
  </conditionalFormatting>
  <conditionalFormatting sqref="AA41:AA47">
    <cfRule type="expression" dxfId="1161" priority="278" stopIfTrue="1">
      <formula>SUM($AA$41:$AA$47)&lt;&gt;1</formula>
    </cfRule>
  </conditionalFormatting>
  <conditionalFormatting sqref="AA41:AA47">
    <cfRule type="notContainsBlanks" dxfId="1160" priority="279" stopIfTrue="1">
      <formula>LEN(TRIM(AA41))&gt;0</formula>
    </cfRule>
  </conditionalFormatting>
  <conditionalFormatting sqref="AB41:AB47">
    <cfRule type="containsBlanks" dxfId="1159" priority="280" stopIfTrue="1">
      <formula>LEN(TRIM(AB41))=0</formula>
    </cfRule>
  </conditionalFormatting>
  <conditionalFormatting sqref="AB41:AB47">
    <cfRule type="expression" dxfId="1158" priority="281" stopIfTrue="1">
      <formula>SUM($AB$41:$AB$47)&lt;&gt;1</formula>
    </cfRule>
  </conditionalFormatting>
  <conditionalFormatting sqref="AB41:AB47">
    <cfRule type="notContainsBlanks" dxfId="1157" priority="282" stopIfTrue="1">
      <formula>LEN(TRIM(AB41))&gt;0</formula>
    </cfRule>
  </conditionalFormatting>
  <conditionalFormatting sqref="AC41:AC47">
    <cfRule type="containsBlanks" dxfId="1156" priority="283" stopIfTrue="1">
      <formula>LEN(TRIM(AC41))=0</formula>
    </cfRule>
  </conditionalFormatting>
  <conditionalFormatting sqref="AC41:AC47">
    <cfRule type="expression" dxfId="1155" priority="284" stopIfTrue="1">
      <formula>SUM($AC$41:$AC$47)&lt;&gt;1</formula>
    </cfRule>
  </conditionalFormatting>
  <conditionalFormatting sqref="AC41:AC47">
    <cfRule type="notContainsBlanks" dxfId="1154" priority="285" stopIfTrue="1">
      <formula>LEN(TRIM(AC41))&gt;0</formula>
    </cfRule>
  </conditionalFormatting>
  <conditionalFormatting sqref="AD41:AD47">
    <cfRule type="containsBlanks" dxfId="1153" priority="286" stopIfTrue="1">
      <formula>LEN(TRIM(AD41))=0</formula>
    </cfRule>
  </conditionalFormatting>
  <conditionalFormatting sqref="AD41:AD47">
    <cfRule type="expression" dxfId="1152" priority="287" stopIfTrue="1">
      <formula>SUM($AD$41:$AD$47)&lt;&gt;1</formula>
    </cfRule>
  </conditionalFormatting>
  <conditionalFormatting sqref="AD41:AD47">
    <cfRule type="notContainsBlanks" dxfId="1151" priority="288" stopIfTrue="1">
      <formula>LEN(TRIM(AD41))&gt;0</formula>
    </cfRule>
  </conditionalFormatting>
  <conditionalFormatting sqref="AE41:AE47">
    <cfRule type="containsBlanks" dxfId="1150" priority="289" stopIfTrue="1">
      <formula>LEN(TRIM(AE41))=0</formula>
    </cfRule>
  </conditionalFormatting>
  <conditionalFormatting sqref="AE41:AE47">
    <cfRule type="expression" dxfId="1149" priority="290" stopIfTrue="1">
      <formula>SUM($AE$41:$AE$47)&lt;&gt;1</formula>
    </cfRule>
  </conditionalFormatting>
  <conditionalFormatting sqref="AE41:AE47">
    <cfRule type="notContainsBlanks" dxfId="1148" priority="291" stopIfTrue="1">
      <formula>LEN(TRIM(AE41))&gt;0</formula>
    </cfRule>
  </conditionalFormatting>
  <conditionalFormatting sqref="AF41:AF47">
    <cfRule type="containsBlanks" dxfId="1147" priority="292" stopIfTrue="1">
      <formula>LEN(TRIM(AF41))=0</formula>
    </cfRule>
  </conditionalFormatting>
  <conditionalFormatting sqref="AF41:AF47">
    <cfRule type="expression" dxfId="1146" priority="293" stopIfTrue="1">
      <formula>SUM($AF$41:$AF$47)&lt;&gt;1</formula>
    </cfRule>
  </conditionalFormatting>
  <conditionalFormatting sqref="AF41:AF47">
    <cfRule type="notContainsBlanks" dxfId="1145" priority="294" stopIfTrue="1">
      <formula>LEN(TRIM(AF41))&gt;0</formula>
    </cfRule>
  </conditionalFormatting>
  <conditionalFormatting sqref="AG41:AG47">
    <cfRule type="containsBlanks" dxfId="1144" priority="295" stopIfTrue="1">
      <formula>LEN(TRIM(AG41))=0</formula>
    </cfRule>
  </conditionalFormatting>
  <conditionalFormatting sqref="AG41:AG47">
    <cfRule type="expression" dxfId="1143" priority="296" stopIfTrue="1">
      <formula>SUM($AG$41:$AG$47)&lt;&gt;1</formula>
    </cfRule>
  </conditionalFormatting>
  <conditionalFormatting sqref="AG41:AG47">
    <cfRule type="notContainsBlanks" dxfId="1142" priority="297" stopIfTrue="1">
      <formula>LEN(TRIM(AG41))&gt;0</formula>
    </cfRule>
  </conditionalFormatting>
  <conditionalFormatting sqref="AH41:AH47">
    <cfRule type="containsBlanks" dxfId="1141" priority="298" stopIfTrue="1">
      <formula>LEN(TRIM(AH41))=0</formula>
    </cfRule>
  </conditionalFormatting>
  <conditionalFormatting sqref="AH41:AH47">
    <cfRule type="expression" dxfId="1140" priority="299" stopIfTrue="1">
      <formula>SUM($AH$41:$AH$47)&lt;&gt;1</formula>
    </cfRule>
  </conditionalFormatting>
  <conditionalFormatting sqref="AH41:AH47">
    <cfRule type="notContainsBlanks" dxfId="1139" priority="300" stopIfTrue="1">
      <formula>LEN(TRIM(AH41))&gt;0</formula>
    </cfRule>
  </conditionalFormatting>
  <conditionalFormatting sqref="AI41:AI47">
    <cfRule type="containsBlanks" dxfId="1138" priority="301" stopIfTrue="1">
      <formula>LEN(TRIM(AI41))=0</formula>
    </cfRule>
  </conditionalFormatting>
  <conditionalFormatting sqref="AI41:AI47">
    <cfRule type="expression" dxfId="1137" priority="302" stopIfTrue="1">
      <formula>SUM($AI$41:$AI$47)&lt;&gt;1</formula>
    </cfRule>
  </conditionalFormatting>
  <conditionalFormatting sqref="AI41:AI47">
    <cfRule type="notContainsBlanks" dxfId="1136" priority="303" stopIfTrue="1">
      <formula>LEN(TRIM(AI41))&gt;0</formula>
    </cfRule>
  </conditionalFormatting>
  <conditionalFormatting sqref="AJ41:AJ47">
    <cfRule type="containsBlanks" dxfId="1135" priority="304" stopIfTrue="1">
      <formula>LEN(TRIM(AJ41))=0</formula>
    </cfRule>
  </conditionalFormatting>
  <conditionalFormatting sqref="AJ41:AJ47">
    <cfRule type="expression" dxfId="1134" priority="305" stopIfTrue="1">
      <formula>SUM($AJ$41:$AJ$47)&lt;&gt;1</formula>
    </cfRule>
  </conditionalFormatting>
  <conditionalFormatting sqref="AJ41:AJ47">
    <cfRule type="notContainsBlanks" dxfId="1133" priority="306" stopIfTrue="1">
      <formula>LEN(TRIM(AJ41))&gt;0</formula>
    </cfRule>
  </conditionalFormatting>
  <conditionalFormatting sqref="AK41:AK47">
    <cfRule type="containsBlanks" dxfId="1132" priority="307" stopIfTrue="1">
      <formula>LEN(TRIM(AK41))=0</formula>
    </cfRule>
  </conditionalFormatting>
  <conditionalFormatting sqref="AK41:AK47">
    <cfRule type="expression" dxfId="1131" priority="308" stopIfTrue="1">
      <formula>SUM($AK$41:$AK$47)&lt;&gt;1</formula>
    </cfRule>
  </conditionalFormatting>
  <conditionalFormatting sqref="AK41:AK47">
    <cfRule type="notContainsBlanks" dxfId="1130" priority="309" stopIfTrue="1">
      <formula>LEN(TRIM(AK41))&gt;0</formula>
    </cfRule>
  </conditionalFormatting>
  <conditionalFormatting sqref="AL41:AL47">
    <cfRule type="containsBlanks" dxfId="1129" priority="310" stopIfTrue="1">
      <formula>LEN(TRIM(AL41))=0</formula>
    </cfRule>
  </conditionalFormatting>
  <conditionalFormatting sqref="AL41:AL47">
    <cfRule type="expression" dxfId="1128" priority="311" stopIfTrue="1">
      <formula>SUM($AL$41:$AL$47)&lt;&gt;1</formula>
    </cfRule>
  </conditionalFormatting>
  <conditionalFormatting sqref="AL41:AL47">
    <cfRule type="notContainsBlanks" dxfId="1127" priority="312" stopIfTrue="1">
      <formula>LEN(TRIM(AL41))&gt;0</formula>
    </cfRule>
  </conditionalFormatting>
  <conditionalFormatting sqref="E32:E38">
    <cfRule type="containsBlanks" dxfId="1126" priority="327" stopIfTrue="1">
      <formula>LEN(TRIM(E32))=0</formula>
    </cfRule>
    <cfRule type="expression" dxfId="1125" priority="328" stopIfTrue="1">
      <formula>SUM($E$32:$E$38)&lt;&gt;1</formula>
    </cfRule>
    <cfRule type="notContainsBlanks" dxfId="1124" priority="329" stopIfTrue="1">
      <formula>LEN(TRIM(E32))&gt;0</formula>
    </cfRule>
  </conditionalFormatting>
  <conditionalFormatting sqref="F32:F38">
    <cfRule type="containsBlanks" dxfId="1123" priority="330" stopIfTrue="1">
      <formula>LEN(TRIM(F32))=0</formula>
    </cfRule>
    <cfRule type="expression" dxfId="1122" priority="331" stopIfTrue="1">
      <formula>SUM($F$32:$F$38)&lt;&gt;1</formula>
    </cfRule>
    <cfRule type="notContainsBlanks" dxfId="1121" priority="332" stopIfTrue="1">
      <formula>LEN(TRIM(F32))&gt;0</formula>
    </cfRule>
  </conditionalFormatting>
  <conditionalFormatting sqref="G32:G38">
    <cfRule type="containsBlanks" dxfId="1120" priority="333" stopIfTrue="1">
      <formula>LEN(TRIM(G32))=0</formula>
    </cfRule>
    <cfRule type="expression" dxfId="1119" priority="334" stopIfTrue="1">
      <formula>SUM($G$32:$G$38)&lt;&gt;1</formula>
    </cfRule>
    <cfRule type="notContainsBlanks" dxfId="1118" priority="335" stopIfTrue="1">
      <formula>LEN(TRIM(G32))&gt;0</formula>
    </cfRule>
  </conditionalFormatting>
  <conditionalFormatting sqref="H32:H38">
    <cfRule type="containsBlanks" dxfId="1117" priority="336" stopIfTrue="1">
      <formula>LEN(TRIM(H32))=0</formula>
    </cfRule>
    <cfRule type="expression" dxfId="1116" priority="337" stopIfTrue="1">
      <formula>SUM($H$32:$H$38)&lt;&gt;1</formula>
    </cfRule>
    <cfRule type="notContainsBlanks" dxfId="1115" priority="338" stopIfTrue="1">
      <formula>LEN(TRIM(H32))&gt;0</formula>
    </cfRule>
  </conditionalFormatting>
  <conditionalFormatting sqref="I32:I38">
    <cfRule type="containsBlanks" dxfId="1114" priority="339" stopIfTrue="1">
      <formula>LEN(TRIM(I32))=0</formula>
    </cfRule>
    <cfRule type="expression" dxfId="1113" priority="340" stopIfTrue="1">
      <formula>SUM($I$32:$I$38)&lt;&gt;1</formula>
    </cfRule>
    <cfRule type="notContainsBlanks" dxfId="1112" priority="341" stopIfTrue="1">
      <formula>LEN(TRIM(I32))&gt;0</formula>
    </cfRule>
  </conditionalFormatting>
  <conditionalFormatting sqref="J32:J38">
    <cfRule type="containsBlanks" dxfId="1111" priority="342" stopIfTrue="1">
      <formula>LEN(TRIM(J32))=0</formula>
    </cfRule>
    <cfRule type="expression" dxfId="1110" priority="343" stopIfTrue="1">
      <formula>SUM($J$32:$J$38)&lt;&gt;1</formula>
    </cfRule>
    <cfRule type="notContainsBlanks" dxfId="1109" priority="344" stopIfTrue="1">
      <formula>LEN(TRIM(J32))&gt;0</formula>
    </cfRule>
  </conditionalFormatting>
  <conditionalFormatting sqref="K32:K38">
    <cfRule type="containsBlanks" dxfId="1108" priority="345" stopIfTrue="1">
      <formula>LEN(TRIM(K32))=0</formula>
    </cfRule>
  </conditionalFormatting>
  <conditionalFormatting sqref="K32:K38">
    <cfRule type="expression" dxfId="1107" priority="346" stopIfTrue="1">
      <formula>SUM($K$32:$K$38)&lt;&gt;1</formula>
    </cfRule>
  </conditionalFormatting>
  <conditionalFormatting sqref="K32:K38">
    <cfRule type="notContainsBlanks" dxfId="1106" priority="347" stopIfTrue="1">
      <formula>LEN(TRIM(K32))&gt;0</formula>
    </cfRule>
  </conditionalFormatting>
  <conditionalFormatting sqref="L32:L38">
    <cfRule type="containsBlanks" dxfId="1105" priority="348" stopIfTrue="1">
      <formula>LEN(TRIM(L32))=0</formula>
    </cfRule>
  </conditionalFormatting>
  <conditionalFormatting sqref="L32:L38">
    <cfRule type="expression" dxfId="1104" priority="349" stopIfTrue="1">
      <formula>SUM($L$32:$L$38)&lt;&gt;1</formula>
    </cfRule>
  </conditionalFormatting>
  <conditionalFormatting sqref="L32:L38">
    <cfRule type="notContainsBlanks" dxfId="1103" priority="350" stopIfTrue="1">
      <formula>LEN(TRIM(L32))&gt;0</formula>
    </cfRule>
  </conditionalFormatting>
  <conditionalFormatting sqref="M32:M38">
    <cfRule type="containsBlanks" dxfId="1102" priority="351" stopIfTrue="1">
      <formula>LEN(TRIM(M32))=0</formula>
    </cfRule>
  </conditionalFormatting>
  <conditionalFormatting sqref="M32:M38">
    <cfRule type="expression" dxfId="1101" priority="352" stopIfTrue="1">
      <formula>SUM($M$32:$M$38)&lt;&gt;1</formula>
    </cfRule>
  </conditionalFormatting>
  <conditionalFormatting sqref="M32:M38">
    <cfRule type="notContainsBlanks" dxfId="1100" priority="353" stopIfTrue="1">
      <formula>LEN(TRIM(M32))&gt;0</formula>
    </cfRule>
  </conditionalFormatting>
  <conditionalFormatting sqref="N32:N38">
    <cfRule type="containsBlanks" dxfId="1099" priority="354" stopIfTrue="1">
      <formula>LEN(TRIM(N32))=0</formula>
    </cfRule>
  </conditionalFormatting>
  <conditionalFormatting sqref="N32:N38">
    <cfRule type="expression" dxfId="1098" priority="355" stopIfTrue="1">
      <formula>SUM($N$32:$N$38)&lt;&gt;1</formula>
    </cfRule>
  </conditionalFormatting>
  <conditionalFormatting sqref="N32:N38">
    <cfRule type="notContainsBlanks" dxfId="1097" priority="356" stopIfTrue="1">
      <formula>LEN(TRIM(N32))&gt;0</formula>
    </cfRule>
  </conditionalFormatting>
  <conditionalFormatting sqref="O32:O38">
    <cfRule type="containsBlanks" dxfId="1096" priority="357" stopIfTrue="1">
      <formula>LEN(TRIM(O32))=0</formula>
    </cfRule>
  </conditionalFormatting>
  <conditionalFormatting sqref="O32:O38">
    <cfRule type="expression" dxfId="1095" priority="358" stopIfTrue="1">
      <formula>SUM($O$32:$O$38)&lt;&gt;1</formula>
    </cfRule>
  </conditionalFormatting>
  <conditionalFormatting sqref="O32:O38">
    <cfRule type="notContainsBlanks" dxfId="1094" priority="359" stopIfTrue="1">
      <formula>LEN(TRIM(O32))&gt;0</formula>
    </cfRule>
  </conditionalFormatting>
  <conditionalFormatting sqref="P32:P38">
    <cfRule type="containsBlanks" dxfId="1093" priority="360" stopIfTrue="1">
      <formula>LEN(TRIM(P32))=0</formula>
    </cfRule>
  </conditionalFormatting>
  <conditionalFormatting sqref="P32:P38">
    <cfRule type="expression" dxfId="1092" priority="361" stopIfTrue="1">
      <formula>SUM($P$32:$P$38)&lt;&gt;1</formula>
    </cfRule>
  </conditionalFormatting>
  <conditionalFormatting sqref="P32:P38">
    <cfRule type="notContainsBlanks" dxfId="1091" priority="362" stopIfTrue="1">
      <formula>LEN(TRIM(P32))&gt;0</formula>
    </cfRule>
  </conditionalFormatting>
  <conditionalFormatting sqref="Q32:Q38">
    <cfRule type="containsBlanks" dxfId="1090" priority="363" stopIfTrue="1">
      <formula>LEN(TRIM(Q32))=0</formula>
    </cfRule>
  </conditionalFormatting>
  <conditionalFormatting sqref="Q32:Q38">
    <cfRule type="expression" dxfId="1089" priority="364" stopIfTrue="1">
      <formula>SUM($Q$32:$Q$38)&lt;&gt;1</formula>
    </cfRule>
  </conditionalFormatting>
  <conditionalFormatting sqref="Q32:Q38">
    <cfRule type="notContainsBlanks" dxfId="1088" priority="365" stopIfTrue="1">
      <formula>LEN(TRIM(Q32))&gt;0</formula>
    </cfRule>
  </conditionalFormatting>
  <conditionalFormatting sqref="R32:R38">
    <cfRule type="containsBlanks" dxfId="1087" priority="366" stopIfTrue="1">
      <formula>LEN(TRIM(R32))=0</formula>
    </cfRule>
  </conditionalFormatting>
  <conditionalFormatting sqref="R32:R38">
    <cfRule type="expression" dxfId="1086" priority="367" stopIfTrue="1">
      <formula>SUM($R$32:$R$38)&lt;&gt;1</formula>
    </cfRule>
  </conditionalFormatting>
  <conditionalFormatting sqref="R32:R38">
    <cfRule type="notContainsBlanks" dxfId="1085" priority="368" stopIfTrue="1">
      <formula>LEN(TRIM(R32))&gt;0</formula>
    </cfRule>
  </conditionalFormatting>
  <conditionalFormatting sqref="S32:S38">
    <cfRule type="containsBlanks" dxfId="1084" priority="369" stopIfTrue="1">
      <formula>LEN(TRIM(S32))=0</formula>
    </cfRule>
  </conditionalFormatting>
  <conditionalFormatting sqref="S32:S38">
    <cfRule type="expression" dxfId="1083" priority="370" stopIfTrue="1">
      <formula>SUM($S$32:$S$38)&lt;&gt;1</formula>
    </cfRule>
  </conditionalFormatting>
  <conditionalFormatting sqref="S32:S38">
    <cfRule type="notContainsBlanks" dxfId="1082" priority="371" stopIfTrue="1">
      <formula>LEN(TRIM(S32))&gt;0</formula>
    </cfRule>
  </conditionalFormatting>
  <conditionalFormatting sqref="T32:T38">
    <cfRule type="containsBlanks" dxfId="1081" priority="372" stopIfTrue="1">
      <formula>LEN(TRIM(T32))=0</formula>
    </cfRule>
  </conditionalFormatting>
  <conditionalFormatting sqref="T32:T38">
    <cfRule type="expression" dxfId="1080" priority="373" stopIfTrue="1">
      <formula>SUM($T$32:$T$38)&lt;&gt;1</formula>
    </cfRule>
  </conditionalFormatting>
  <conditionalFormatting sqref="T32:T38">
    <cfRule type="notContainsBlanks" dxfId="1079" priority="374" stopIfTrue="1">
      <formula>LEN(TRIM(T32))&gt;0</formula>
    </cfRule>
  </conditionalFormatting>
  <conditionalFormatting sqref="U32:U38">
    <cfRule type="containsBlanks" dxfId="1078" priority="375" stopIfTrue="1">
      <formula>LEN(TRIM(U32))=0</formula>
    </cfRule>
  </conditionalFormatting>
  <conditionalFormatting sqref="U32:U38">
    <cfRule type="expression" dxfId="1077" priority="376" stopIfTrue="1">
      <formula>SUM($U$32:$U$38)&lt;&gt;1</formula>
    </cfRule>
  </conditionalFormatting>
  <conditionalFormatting sqref="U32:U38">
    <cfRule type="notContainsBlanks" dxfId="1076" priority="377" stopIfTrue="1">
      <formula>LEN(TRIM(U32))&gt;0</formula>
    </cfRule>
  </conditionalFormatting>
  <conditionalFormatting sqref="V32:V38">
    <cfRule type="containsBlanks" dxfId="1075" priority="378" stopIfTrue="1">
      <formula>LEN(TRIM(V32))=0</formula>
    </cfRule>
  </conditionalFormatting>
  <conditionalFormatting sqref="V32:V38">
    <cfRule type="expression" dxfId="1074" priority="379" stopIfTrue="1">
      <formula>SUM($V$32:$V$38)&lt;&gt;1</formula>
    </cfRule>
  </conditionalFormatting>
  <conditionalFormatting sqref="V32:V38">
    <cfRule type="notContainsBlanks" dxfId="1073" priority="380" stopIfTrue="1">
      <formula>LEN(TRIM(V32))&gt;0</formula>
    </cfRule>
  </conditionalFormatting>
  <conditionalFormatting sqref="W32:W38">
    <cfRule type="containsBlanks" dxfId="1072" priority="381" stopIfTrue="1">
      <formula>LEN(TRIM(W32))=0</formula>
    </cfRule>
  </conditionalFormatting>
  <conditionalFormatting sqref="W32:W38">
    <cfRule type="expression" dxfId="1071" priority="382" stopIfTrue="1">
      <formula>SUM($W$32:$W$38)&lt;&gt;1</formula>
    </cfRule>
  </conditionalFormatting>
  <conditionalFormatting sqref="W32:W38">
    <cfRule type="notContainsBlanks" dxfId="1070" priority="383" stopIfTrue="1">
      <formula>LEN(TRIM(W32))&gt;0</formula>
    </cfRule>
  </conditionalFormatting>
  <conditionalFormatting sqref="X32:X38">
    <cfRule type="containsBlanks" dxfId="1069" priority="384" stopIfTrue="1">
      <formula>LEN(TRIM(X32))=0</formula>
    </cfRule>
  </conditionalFormatting>
  <conditionalFormatting sqref="X32:X38">
    <cfRule type="expression" dxfId="1068" priority="385" stopIfTrue="1">
      <formula>SUM($X$32:$X$38)&lt;&gt;1</formula>
    </cfRule>
  </conditionalFormatting>
  <conditionalFormatting sqref="X32:X38">
    <cfRule type="notContainsBlanks" dxfId="1067" priority="386" stopIfTrue="1">
      <formula>LEN(TRIM(X32))&gt;0</formula>
    </cfRule>
  </conditionalFormatting>
  <conditionalFormatting sqref="Y32:Y38">
    <cfRule type="containsBlanks" dxfId="1066" priority="387" stopIfTrue="1">
      <formula>LEN(TRIM(Y32))=0</formula>
    </cfRule>
  </conditionalFormatting>
  <conditionalFormatting sqref="Y32:Y38">
    <cfRule type="expression" dxfId="1065" priority="388" stopIfTrue="1">
      <formula>SUM($Y$32:$Y$38)&lt;&gt;1</formula>
    </cfRule>
  </conditionalFormatting>
  <conditionalFormatting sqref="Y32:Y38">
    <cfRule type="notContainsBlanks" dxfId="1064" priority="389" stopIfTrue="1">
      <formula>LEN(TRIM(Y32))&gt;0</formula>
    </cfRule>
  </conditionalFormatting>
  <conditionalFormatting sqref="Z32:Z38">
    <cfRule type="containsBlanks" dxfId="1063" priority="390" stopIfTrue="1">
      <formula>LEN(TRIM(Z32))=0</formula>
    </cfRule>
  </conditionalFormatting>
  <conditionalFormatting sqref="Z32:Z38">
    <cfRule type="expression" dxfId="1062" priority="391" stopIfTrue="1">
      <formula>SUM($Z$32:$Z$38)&lt;&gt;1</formula>
    </cfRule>
  </conditionalFormatting>
  <conditionalFormatting sqref="Z32:Z38">
    <cfRule type="notContainsBlanks" dxfId="1061" priority="392" stopIfTrue="1">
      <formula>LEN(TRIM(Z32))&gt;0</formula>
    </cfRule>
  </conditionalFormatting>
  <conditionalFormatting sqref="AA32:AA38">
    <cfRule type="containsBlanks" dxfId="1060" priority="393" stopIfTrue="1">
      <formula>LEN(TRIM(AA32))=0</formula>
    </cfRule>
  </conditionalFormatting>
  <conditionalFormatting sqref="AA32:AA38">
    <cfRule type="expression" dxfId="1059" priority="394" stopIfTrue="1">
      <formula>SUM($AA$32:$AA$38)&lt;&gt;1</formula>
    </cfRule>
  </conditionalFormatting>
  <conditionalFormatting sqref="AA32:AA38">
    <cfRule type="notContainsBlanks" dxfId="1058" priority="395" stopIfTrue="1">
      <formula>LEN(TRIM(AA32))&gt;0</formula>
    </cfRule>
  </conditionalFormatting>
  <conditionalFormatting sqref="AB32:AB38">
    <cfRule type="containsBlanks" dxfId="1057" priority="396" stopIfTrue="1">
      <formula>LEN(TRIM(AB32))=0</formula>
    </cfRule>
  </conditionalFormatting>
  <conditionalFormatting sqref="AB32:AB38">
    <cfRule type="expression" dxfId="1056" priority="397" stopIfTrue="1">
      <formula>SUM($AB$32:$AB$38)&lt;&gt;1</formula>
    </cfRule>
  </conditionalFormatting>
  <conditionalFormatting sqref="AB32:AB38">
    <cfRule type="notContainsBlanks" dxfId="1055" priority="398" stopIfTrue="1">
      <formula>LEN(TRIM(AB32))&gt;0</formula>
    </cfRule>
  </conditionalFormatting>
  <conditionalFormatting sqref="AC32:AC38">
    <cfRule type="containsBlanks" dxfId="1054" priority="399" stopIfTrue="1">
      <formula>LEN(TRIM(AC32))=0</formula>
    </cfRule>
  </conditionalFormatting>
  <conditionalFormatting sqref="AC32:AC38">
    <cfRule type="expression" dxfId="1053" priority="400" stopIfTrue="1">
      <formula>SUM($AC$32:$AC$38)&lt;&gt;1</formula>
    </cfRule>
  </conditionalFormatting>
  <conditionalFormatting sqref="AC32:AC38">
    <cfRule type="notContainsBlanks" dxfId="1052" priority="401" stopIfTrue="1">
      <formula>LEN(TRIM(AC32))&gt;0</formula>
    </cfRule>
  </conditionalFormatting>
  <conditionalFormatting sqref="AD32:AD38">
    <cfRule type="containsBlanks" dxfId="1051" priority="402" stopIfTrue="1">
      <formula>LEN(TRIM(AD32))=0</formula>
    </cfRule>
  </conditionalFormatting>
  <conditionalFormatting sqref="AD32:AD38">
    <cfRule type="expression" dxfId="1050" priority="403" stopIfTrue="1">
      <formula>SUM($AD$32:$AD$38)&lt;&gt;1</formula>
    </cfRule>
  </conditionalFormatting>
  <conditionalFormatting sqref="AD32:AD38">
    <cfRule type="notContainsBlanks" dxfId="1049" priority="404" stopIfTrue="1">
      <formula>LEN(TRIM(AD32))&gt;0</formula>
    </cfRule>
  </conditionalFormatting>
  <conditionalFormatting sqref="AE32:AE38">
    <cfRule type="containsBlanks" dxfId="1048" priority="405" stopIfTrue="1">
      <formula>LEN(TRIM(AE32))=0</formula>
    </cfRule>
  </conditionalFormatting>
  <conditionalFormatting sqref="AE32:AE38">
    <cfRule type="expression" dxfId="1047" priority="406" stopIfTrue="1">
      <formula>SUM($AE$32:$AE$38)&lt;&gt;1</formula>
    </cfRule>
  </conditionalFormatting>
  <conditionalFormatting sqref="AE32:AE38">
    <cfRule type="notContainsBlanks" dxfId="1046" priority="407" stopIfTrue="1">
      <formula>LEN(TRIM(AE32))&gt;0</formula>
    </cfRule>
  </conditionalFormatting>
  <conditionalFormatting sqref="AF32:AF38">
    <cfRule type="containsBlanks" dxfId="1045" priority="408" stopIfTrue="1">
      <formula>LEN(TRIM(AF32))=0</formula>
    </cfRule>
  </conditionalFormatting>
  <conditionalFormatting sqref="AF32:AF38">
    <cfRule type="expression" dxfId="1044" priority="409" stopIfTrue="1">
      <formula>SUM($AF$32:$AF$38)&lt;&gt;1</formula>
    </cfRule>
  </conditionalFormatting>
  <conditionalFormatting sqref="AF32:AF38">
    <cfRule type="notContainsBlanks" dxfId="1043" priority="410" stopIfTrue="1">
      <formula>LEN(TRIM(AF32))&gt;0</formula>
    </cfRule>
  </conditionalFormatting>
  <conditionalFormatting sqref="AG32:AG38">
    <cfRule type="containsBlanks" dxfId="1042" priority="411" stopIfTrue="1">
      <formula>LEN(TRIM(AG32))=0</formula>
    </cfRule>
  </conditionalFormatting>
  <conditionalFormatting sqref="AG32:AG38">
    <cfRule type="expression" dxfId="1041" priority="412" stopIfTrue="1">
      <formula>SUM($AG$32:$AG$38)&lt;&gt;1</formula>
    </cfRule>
  </conditionalFormatting>
  <conditionalFormatting sqref="AG32:AG38">
    <cfRule type="notContainsBlanks" dxfId="1040" priority="413" stopIfTrue="1">
      <formula>LEN(TRIM(AG32))&gt;0</formula>
    </cfRule>
  </conditionalFormatting>
  <conditionalFormatting sqref="AH32:AH38">
    <cfRule type="containsBlanks" dxfId="1039" priority="414" stopIfTrue="1">
      <formula>LEN(TRIM(AH32))=0</formula>
    </cfRule>
  </conditionalFormatting>
  <conditionalFormatting sqref="AH32:AH38">
    <cfRule type="expression" dxfId="1038" priority="415" stopIfTrue="1">
      <formula>SUM($AH$32:$AH$38)&lt;&gt;1</formula>
    </cfRule>
  </conditionalFormatting>
  <conditionalFormatting sqref="AH32:AH38">
    <cfRule type="notContainsBlanks" dxfId="1037" priority="416" stopIfTrue="1">
      <formula>LEN(TRIM(AH32))&gt;0</formula>
    </cfRule>
  </conditionalFormatting>
  <conditionalFormatting sqref="AI32:AI38">
    <cfRule type="containsBlanks" dxfId="1036" priority="417" stopIfTrue="1">
      <formula>LEN(TRIM(AI32))=0</formula>
    </cfRule>
  </conditionalFormatting>
  <conditionalFormatting sqref="AI32:AI38">
    <cfRule type="expression" dxfId="1035" priority="418" stopIfTrue="1">
      <formula>SUM($AI$32:$AI$38)&lt;&gt;1</formula>
    </cfRule>
  </conditionalFormatting>
  <conditionalFormatting sqref="AI32:AI38">
    <cfRule type="notContainsBlanks" dxfId="1034" priority="419" stopIfTrue="1">
      <formula>LEN(TRIM(AI32))&gt;0</formula>
    </cfRule>
  </conditionalFormatting>
  <conditionalFormatting sqref="AJ32:AJ38">
    <cfRule type="containsBlanks" dxfId="1033" priority="420" stopIfTrue="1">
      <formula>LEN(TRIM(AJ32))=0</formula>
    </cfRule>
  </conditionalFormatting>
  <conditionalFormatting sqref="AJ32:AJ38">
    <cfRule type="expression" dxfId="1032" priority="421" stopIfTrue="1">
      <formula>SUM($AJ$32:$AJ$38)&lt;&gt;1</formula>
    </cfRule>
  </conditionalFormatting>
  <conditionalFormatting sqref="AJ32:AJ38">
    <cfRule type="notContainsBlanks" dxfId="1031" priority="422" stopIfTrue="1">
      <formula>LEN(TRIM(AJ32))&gt;0</formula>
    </cfRule>
  </conditionalFormatting>
  <conditionalFormatting sqref="AK32:AK38">
    <cfRule type="containsBlanks" dxfId="1030" priority="423" stopIfTrue="1">
      <formula>LEN(TRIM(AK32))=0</formula>
    </cfRule>
  </conditionalFormatting>
  <conditionalFormatting sqref="AK32:AK38">
    <cfRule type="expression" dxfId="1029" priority="424" stopIfTrue="1">
      <formula>SUM($AK$32:$AK$38)&lt;&gt;1</formula>
    </cfRule>
  </conditionalFormatting>
  <conditionalFormatting sqref="AK32:AK38">
    <cfRule type="notContainsBlanks" dxfId="1028" priority="425" stopIfTrue="1">
      <formula>LEN(TRIM(AK32))&gt;0</formula>
    </cfRule>
  </conditionalFormatting>
  <conditionalFormatting sqref="AL32:AL38">
    <cfRule type="containsBlanks" dxfId="1027" priority="426" stopIfTrue="1">
      <formula>LEN(TRIM(AL32))=0</formula>
    </cfRule>
  </conditionalFormatting>
  <conditionalFormatting sqref="AL32:AL38">
    <cfRule type="expression" dxfId="1026" priority="427" stopIfTrue="1">
      <formula>SUM($AL$32:$AL$38)&lt;&gt;1</formula>
    </cfRule>
  </conditionalFormatting>
  <conditionalFormatting sqref="AL32:AL38">
    <cfRule type="notContainsBlanks" dxfId="1025" priority="428" stopIfTrue="1">
      <formula>LEN(TRIM(AL32))&gt;0</formula>
    </cfRule>
  </conditionalFormatting>
  <conditionalFormatting sqref="E21:AL21">
    <cfRule type="containsBlanks" dxfId="1024" priority="429" stopIfTrue="1">
      <formula>LEN(TRIM(E21))=0</formula>
    </cfRule>
  </conditionalFormatting>
  <conditionalFormatting sqref="E21:AL21">
    <cfRule type="notContainsBlanks" dxfId="1023" priority="430" stopIfTrue="1">
      <formula>LEN(TRIM(E21))&gt;0</formula>
    </cfRule>
  </conditionalFormatting>
  <conditionalFormatting sqref="E22:AL22">
    <cfRule type="containsBlanks" dxfId="1022" priority="431" stopIfTrue="1">
      <formula>LEN(TRIM(E22))=0</formula>
    </cfRule>
  </conditionalFormatting>
  <conditionalFormatting sqref="E22:AL22">
    <cfRule type="notContainsBlanks" dxfId="1021" priority="432" stopIfTrue="1">
      <formula>LEN(TRIM(E22))&gt;0</formula>
    </cfRule>
  </conditionalFormatting>
  <conditionalFormatting sqref="E24:AL24">
    <cfRule type="containsBlanks" dxfId="1020" priority="433" stopIfTrue="1">
      <formula>LEN(TRIM(E24))=0</formula>
    </cfRule>
  </conditionalFormatting>
  <conditionalFormatting sqref="E24:AL24">
    <cfRule type="notContainsBlanks" dxfId="1019" priority="434" stopIfTrue="1">
      <formula>LEN(TRIM(E24))&gt;0</formula>
    </cfRule>
  </conditionalFormatting>
  <conditionalFormatting sqref="E26:AL26">
    <cfRule type="containsBlanks" dxfId="1018" priority="435" stopIfTrue="1">
      <formula>LEN(TRIM(E26))=0</formula>
    </cfRule>
  </conditionalFormatting>
  <conditionalFormatting sqref="E26:AL26">
    <cfRule type="notContainsBlanks" dxfId="1017" priority="436" stopIfTrue="1">
      <formula>LEN(TRIM(E26))&gt;0</formula>
    </cfRule>
  </conditionalFormatting>
  <conditionalFormatting sqref="E27:AL27">
    <cfRule type="containsBlanks" dxfId="1016" priority="437" stopIfTrue="1">
      <formula>LEN(TRIM(E27))=0</formula>
    </cfRule>
  </conditionalFormatting>
  <conditionalFormatting sqref="E27:AL27">
    <cfRule type="notContainsBlanks" dxfId="1015" priority="438" stopIfTrue="1">
      <formula>LEN(TRIM(E27))&gt;0</formula>
    </cfRule>
  </conditionalFormatting>
  <conditionalFormatting sqref="E29:AL29">
    <cfRule type="containsBlanks" dxfId="1014" priority="439" stopIfTrue="1">
      <formula>LEN(TRIM(E29))=0</formula>
    </cfRule>
  </conditionalFormatting>
  <conditionalFormatting sqref="E29:AL29">
    <cfRule type="notContainsBlanks" dxfId="1013" priority="440" stopIfTrue="1">
      <formula>LEN(TRIM(E29))&gt;0</formula>
    </cfRule>
  </conditionalFormatting>
  <conditionalFormatting sqref="E13:AL13">
    <cfRule type="containsBlanks" dxfId="1012" priority="441" stopIfTrue="1">
      <formula>LEN(TRIM(E13))=0</formula>
    </cfRule>
  </conditionalFormatting>
  <conditionalFormatting sqref="E13:AL13">
    <cfRule type="notContainsBlanks" dxfId="1011" priority="442" stopIfTrue="1">
      <formula>LEN(TRIM(E13))&gt;0</formula>
    </cfRule>
  </conditionalFormatting>
  <conditionalFormatting sqref="E14:AL14">
    <cfRule type="containsBlanks" dxfId="1010" priority="443" stopIfTrue="1">
      <formula>LEN(TRIM(E14))=0</formula>
    </cfRule>
  </conditionalFormatting>
  <conditionalFormatting sqref="E14:AL14">
    <cfRule type="notContainsBlanks" dxfId="1009" priority="444" stopIfTrue="1">
      <formula>LEN(TRIM(E14))&gt;0</formula>
    </cfRule>
  </conditionalFormatting>
  <conditionalFormatting sqref="E15:AL15">
    <cfRule type="containsBlanks" dxfId="1008" priority="445" stopIfTrue="1">
      <formula>LEN(TRIM(E15))=0</formula>
    </cfRule>
  </conditionalFormatting>
  <conditionalFormatting sqref="E15:AL15">
    <cfRule type="notContainsBlanks" dxfId="1007" priority="446" stopIfTrue="1">
      <formula>LEN(TRIM(E15))&gt;0</formula>
    </cfRule>
  </conditionalFormatting>
  <conditionalFormatting sqref="E17:AL17">
    <cfRule type="containsBlanks" dxfId="1006" priority="447" stopIfTrue="1">
      <formula>LEN(TRIM(E17))=0</formula>
    </cfRule>
  </conditionalFormatting>
  <conditionalFormatting sqref="E17:AL17">
    <cfRule type="notContainsBlanks" dxfId="1005" priority="448" stopIfTrue="1">
      <formula>LEN(TRIM(E17))&gt;0</formula>
    </cfRule>
  </conditionalFormatting>
  <conditionalFormatting sqref="E5:AL5">
    <cfRule type="containsBlanks" dxfId="1004" priority="449" stopIfTrue="1">
      <formula>LEN(TRIM(E5))=0</formula>
    </cfRule>
  </conditionalFormatting>
  <conditionalFormatting sqref="E5:AL5">
    <cfRule type="notContainsBlanks" dxfId="1003" priority="450" stopIfTrue="1">
      <formula>LEN(TRIM(E5))&gt;0</formula>
    </cfRule>
  </conditionalFormatting>
  <conditionalFormatting sqref="E6:AL6">
    <cfRule type="containsBlanks" dxfId="1002" priority="451" stopIfTrue="1">
      <formula>LEN(TRIM(E6))=0</formula>
    </cfRule>
  </conditionalFormatting>
  <conditionalFormatting sqref="E6:AL6">
    <cfRule type="notContainsBlanks" dxfId="1001" priority="452" stopIfTrue="1">
      <formula>LEN(TRIM(E6))&gt;0</formula>
    </cfRule>
  </conditionalFormatting>
  <conditionalFormatting sqref="E7:AL7">
    <cfRule type="containsBlanks" dxfId="1000" priority="453" stopIfTrue="1">
      <formula>LEN(TRIM(E7))=0</formula>
    </cfRule>
  </conditionalFormatting>
  <conditionalFormatting sqref="E7:AL7">
    <cfRule type="notContainsBlanks" dxfId="999" priority="454" stopIfTrue="1">
      <formula>LEN(TRIM(E7))&gt;0</formula>
    </cfRule>
  </conditionalFormatting>
  <conditionalFormatting sqref="E9:AL9">
    <cfRule type="containsBlanks" dxfId="998" priority="455" stopIfTrue="1">
      <formula>LEN(TRIM(E9))=0</formula>
    </cfRule>
  </conditionalFormatting>
  <conditionalFormatting sqref="E9:AL9">
    <cfRule type="notContainsBlanks" dxfId="997" priority="456" stopIfTrue="1">
      <formula>LEN(TRIM(E9))&gt;0</formula>
    </cfRule>
  </conditionalFormatting>
  <pageMargins left="0.7" right="0.7" top="0.75" bottom="0.75" header="0.3" footer="0.3"/>
  <customProperties>
    <customPr name="IsPC"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Air-Conditioning, Heating, &amp; Refrigeration Institute (AHRI)</Received_x0020_From>
    <Docket_x0020_Number xmlns="8eef3743-c7b3-4cbe-8837-b6e805be353c">17-AAER-06</Docket_x0020_Number>
    <TaxCatchAll xmlns="8eef3743-c7b3-4cbe-8837-b6e805be353c">
      <Value>7</Value>
      <Value>6</Value>
      <Value>3</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5fee9918-69d5-40f5-9767-4e66d03898ce</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Z5JXHV6S7NA6-3-112966</_dlc_DocId>
    <_dlc_DocIdUrl xmlns="8eef3743-c7b3-4cbe-8837-b6e805be353c">
      <Url>http://efilingspinternal/_layouts/DocIdRedir.aspx?ID=Z5JXHV6S7NA6-3-112966</Url>
      <Description>Z5JXHV6S7NA6-3-112966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2BCD1BA-4E43-49B8-87C5-F018A53F032D}"/>
</file>

<file path=customXml/itemProps2.xml><?xml version="1.0" encoding="utf-8"?>
<ds:datastoreItem xmlns:ds="http://schemas.openxmlformats.org/officeDocument/2006/customXml" ds:itemID="{04FAE0EF-B3DA-45AD-9285-09A8057240C9}"/>
</file>

<file path=customXml/itemProps3.xml><?xml version="1.0" encoding="utf-8"?>
<ds:datastoreItem xmlns:ds="http://schemas.openxmlformats.org/officeDocument/2006/customXml" ds:itemID="{C2E24CD5-36A7-419A-9EF6-CB0B5EC5743C}"/>
</file>

<file path=customXml/itemProps4.xml><?xml version="1.0" encoding="utf-8"?>
<ds:datastoreItem xmlns:ds="http://schemas.openxmlformats.org/officeDocument/2006/customXml" ds:itemID="{2F1ECCA1-1E7B-453B-8480-9A5044058D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941</vt:i4>
      </vt:variant>
    </vt:vector>
  </HeadingPairs>
  <TitlesOfParts>
    <vt:vector size="962" baseType="lpstr">
      <vt:lpstr>Introduction</vt:lpstr>
      <vt:lpstr>Summary</vt:lpstr>
      <vt:lpstr>All Scenarios</vt:lpstr>
      <vt:lpstr>Axial Cyl Housed</vt:lpstr>
      <vt:lpstr>Panel</vt:lpstr>
      <vt:lpstr>Centrif Housed</vt:lpstr>
      <vt:lpstr>Centrif Unhous</vt:lpstr>
      <vt:lpstr>Inline-Mixed</vt:lpstr>
      <vt:lpstr>Radial</vt:lpstr>
      <vt:lpstr>Power Roof Vent</vt:lpstr>
      <vt:lpstr>Shipments</vt:lpstr>
      <vt:lpstr>Shipments 2012</vt:lpstr>
      <vt:lpstr>Price Index</vt:lpstr>
      <vt:lpstr>Lifetime</vt:lpstr>
      <vt:lpstr>Energy Factors</vt:lpstr>
      <vt:lpstr>Energy Price</vt:lpstr>
      <vt:lpstr>LCC Inputs</vt:lpstr>
      <vt:lpstr>for NIAplus</vt:lpstr>
      <vt:lpstr>for EIA</vt:lpstr>
      <vt:lpstr>for MIA</vt:lpstr>
      <vt:lpstr>Tables</vt:lpstr>
      <vt:lpstr>_doName</vt:lpstr>
      <vt:lpstr>_doShort</vt:lpstr>
      <vt:lpstr>_EIdx</vt:lpstr>
      <vt:lpstr>_i</vt:lpstr>
      <vt:lpstr>_pcName</vt:lpstr>
      <vt:lpstr>_pcShort</vt:lpstr>
      <vt:lpstr>_PIdx</vt:lpstr>
      <vt:lpstr>_tslMap</vt:lpstr>
      <vt:lpstr>bAutoFit</vt:lpstr>
      <vt:lpstr>bcAxH</vt:lpstr>
      <vt:lpstr>bcAxU</vt:lpstr>
      <vt:lpstr>bcCnH</vt:lpstr>
      <vt:lpstr>bcCnU</vt:lpstr>
      <vt:lpstr>'Axial Cyl Housed'!bcEff</vt:lpstr>
      <vt:lpstr>'Centrif Housed'!bcEff</vt:lpstr>
      <vt:lpstr>'Centrif Unhous'!bcEff</vt:lpstr>
      <vt:lpstr>'Inline-Mixed'!bcEff</vt:lpstr>
      <vt:lpstr>Panel!bcEff</vt:lpstr>
      <vt:lpstr>'Power Roof Vent'!bcEff</vt:lpstr>
      <vt:lpstr>Radial!bcEff</vt:lpstr>
      <vt:lpstr>bcEffAxH</vt:lpstr>
      <vt:lpstr>bcEffCnH</vt:lpstr>
      <vt:lpstr>bcEffCnU</vt:lpstr>
      <vt:lpstr>bcEffInMx</vt:lpstr>
      <vt:lpstr>bcEffPan</vt:lpstr>
      <vt:lpstr>bcEffPRV</vt:lpstr>
      <vt:lpstr>bcEffRad</vt:lpstr>
      <vt:lpstr>bcInMx</vt:lpstr>
      <vt:lpstr>bcPan</vt:lpstr>
      <vt:lpstr>bcPRV</vt:lpstr>
      <vt:lpstr>bcRad</vt:lpstr>
      <vt:lpstr>bStdShipm</vt:lpstr>
      <vt:lpstr>dFactor</vt:lpstr>
      <vt:lpstr>dRate</vt:lpstr>
      <vt:lpstr>elecAxH</vt:lpstr>
      <vt:lpstr>elecAxU</vt:lpstr>
      <vt:lpstr>elecCnH</vt:lpstr>
      <vt:lpstr>elecCnU</vt:lpstr>
      <vt:lpstr>elecInMx</vt:lpstr>
      <vt:lpstr>elecPan</vt:lpstr>
      <vt:lpstr>elecPRV</vt:lpstr>
      <vt:lpstr>elecRad</vt:lpstr>
      <vt:lpstr>elecSecNIApAxH</vt:lpstr>
      <vt:lpstr>elecSecNIApCnH</vt:lpstr>
      <vt:lpstr>elecSecNIApCnU</vt:lpstr>
      <vt:lpstr>elecSecNIApInMx</vt:lpstr>
      <vt:lpstr>elecSecNIApPan</vt:lpstr>
      <vt:lpstr>elecSecNIApPRV</vt:lpstr>
      <vt:lpstr>elecSecNIApRad</vt:lpstr>
      <vt:lpstr>instAxH</vt:lpstr>
      <vt:lpstr>instAxU</vt:lpstr>
      <vt:lpstr>instCnH</vt:lpstr>
      <vt:lpstr>instCnU</vt:lpstr>
      <vt:lpstr>instInMx</vt:lpstr>
      <vt:lpstr>instPan</vt:lpstr>
      <vt:lpstr>instPRV</vt:lpstr>
      <vt:lpstr>instRad</vt:lpstr>
      <vt:lpstr>Shipments!kprcElastAll</vt:lpstr>
      <vt:lpstr>mrAxH</vt:lpstr>
      <vt:lpstr>mrAxU</vt:lpstr>
      <vt:lpstr>mrCnH</vt:lpstr>
      <vt:lpstr>mrCnU</vt:lpstr>
      <vt:lpstr>mrInMx</vt:lpstr>
      <vt:lpstr>mrPan</vt:lpstr>
      <vt:lpstr>mrPRV</vt:lpstr>
      <vt:lpstr>mrRad</vt:lpstr>
      <vt:lpstr>mspAxH</vt:lpstr>
      <vt:lpstr>mspAxU</vt:lpstr>
      <vt:lpstr>mspCnH</vt:lpstr>
      <vt:lpstr>mspCnU</vt:lpstr>
      <vt:lpstr>mspInMx</vt:lpstr>
      <vt:lpstr>mspPan</vt:lpstr>
      <vt:lpstr>mspPRV</vt:lpstr>
      <vt:lpstr>mspRad</vt:lpstr>
      <vt:lpstr>nPer</vt:lpstr>
      <vt:lpstr>outElastEIA</vt:lpstr>
      <vt:lpstr>outElastMIA</vt:lpstr>
      <vt:lpstr>outElastNIAplus</vt:lpstr>
      <vt:lpstr>'Axial Cyl Housed'!polEff</vt:lpstr>
      <vt:lpstr>'Centrif Housed'!polEff</vt:lpstr>
      <vt:lpstr>'Centrif Unhous'!polEff</vt:lpstr>
      <vt:lpstr>'Inline-Mixed'!polEff</vt:lpstr>
      <vt:lpstr>Panel!polEff</vt:lpstr>
      <vt:lpstr>'Power Roof Vent'!polEff</vt:lpstr>
      <vt:lpstr>Radial!polEff</vt:lpstr>
      <vt:lpstr>polEffAxH</vt:lpstr>
      <vt:lpstr>polEffCnH</vt:lpstr>
      <vt:lpstr>polEffCnU</vt:lpstr>
      <vt:lpstr>polEffInMx</vt:lpstr>
      <vt:lpstr>polEffPan</vt:lpstr>
      <vt:lpstr>polEffPRV</vt:lpstr>
      <vt:lpstr>polEffRad</vt:lpstr>
      <vt:lpstr>'Axial Cyl Housed'!refEff</vt:lpstr>
      <vt:lpstr>'Centrif Housed'!refEff</vt:lpstr>
      <vt:lpstr>'Centrif Unhous'!refEff</vt:lpstr>
      <vt:lpstr>'Inline-Mixed'!refEff</vt:lpstr>
      <vt:lpstr>Panel!refEff</vt:lpstr>
      <vt:lpstr>'Power Roof Vent'!refEff</vt:lpstr>
      <vt:lpstr>Radial!refEff</vt:lpstr>
      <vt:lpstr>sAEO</vt:lpstr>
      <vt:lpstr>sEIdx</vt:lpstr>
      <vt:lpstr>sElast</vt:lpstr>
      <vt:lpstr>sElastCost</vt:lpstr>
      <vt:lpstr>sEnergy</vt:lpstr>
      <vt:lpstr>sensShipm</vt:lpstr>
      <vt:lpstr>sPer</vt:lpstr>
      <vt:lpstr>sPIdx</vt:lpstr>
      <vt:lpstr>sPIdxHigh</vt:lpstr>
      <vt:lpstr>sPIdxLow</vt:lpstr>
      <vt:lpstr>sPIdxRef</vt:lpstr>
      <vt:lpstr>sTSL</vt:lpstr>
      <vt:lpstr>Summ</vt:lpstr>
      <vt:lpstr>t</vt:lpstr>
      <vt:lpstr>'Energy Price'!tBaseElec</vt:lpstr>
      <vt:lpstr>'Axial Cyl Housed'!tbcEff0</vt:lpstr>
      <vt:lpstr>'Centrif Housed'!tbcEff0</vt:lpstr>
      <vt:lpstr>'Centrif Unhous'!tbcEff0</vt:lpstr>
      <vt:lpstr>'Inline-Mixed'!tbcEff0</vt:lpstr>
      <vt:lpstr>Panel!tbcEff0</vt:lpstr>
      <vt:lpstr>'Power Roof Vent'!tbcEff0</vt:lpstr>
      <vt:lpstr>Radial!tbcEff0</vt:lpstr>
      <vt:lpstr>'Axial Cyl Housed'!tbcEff1</vt:lpstr>
      <vt:lpstr>'Centrif Housed'!tbcEff1</vt:lpstr>
      <vt:lpstr>'Centrif Unhous'!tbcEff1</vt:lpstr>
      <vt:lpstr>'Inline-Mixed'!tbcEff1</vt:lpstr>
      <vt:lpstr>Panel!tbcEff1</vt:lpstr>
      <vt:lpstr>'Power Roof Vent'!tbcEff1</vt:lpstr>
      <vt:lpstr>Radial!tbcEff1</vt:lpstr>
      <vt:lpstr>'Axial Cyl Housed'!tbcEff2</vt:lpstr>
      <vt:lpstr>'Centrif Housed'!tbcEff2</vt:lpstr>
      <vt:lpstr>'Centrif Unhous'!tbcEff2</vt:lpstr>
      <vt:lpstr>'Inline-Mixed'!tbcEff2</vt:lpstr>
      <vt:lpstr>Panel!tbcEff2</vt:lpstr>
      <vt:lpstr>'Power Roof Vent'!tbcEff2</vt:lpstr>
      <vt:lpstr>Radial!tbcEff2</vt:lpstr>
      <vt:lpstr>'Axial Cyl Housed'!tbcEff3</vt:lpstr>
      <vt:lpstr>'Centrif Housed'!tbcEff3</vt:lpstr>
      <vt:lpstr>'Centrif Unhous'!tbcEff3</vt:lpstr>
      <vt:lpstr>'Inline-Mixed'!tbcEff3</vt:lpstr>
      <vt:lpstr>Panel!tbcEff3</vt:lpstr>
      <vt:lpstr>'Power Roof Vent'!tbcEff3</vt:lpstr>
      <vt:lpstr>Radial!tbcEff3</vt:lpstr>
      <vt:lpstr>'Axial Cyl Housed'!tbcEff4</vt:lpstr>
      <vt:lpstr>'Centrif Housed'!tbcEff4</vt:lpstr>
      <vt:lpstr>'Centrif Unhous'!tbcEff4</vt:lpstr>
      <vt:lpstr>'Inline-Mixed'!tbcEff4</vt:lpstr>
      <vt:lpstr>Panel!tbcEff4</vt:lpstr>
      <vt:lpstr>'Power Roof Vent'!tbcEff4</vt:lpstr>
      <vt:lpstr>Radial!tbcEff4</vt:lpstr>
      <vt:lpstr>'Axial Cyl Housed'!tbcEff5</vt:lpstr>
      <vt:lpstr>'Centrif Housed'!tbcEff5</vt:lpstr>
      <vt:lpstr>'Centrif Unhous'!tbcEff5</vt:lpstr>
      <vt:lpstr>'Inline-Mixed'!tbcEff5</vt:lpstr>
      <vt:lpstr>Panel!tbcEff5</vt:lpstr>
      <vt:lpstr>'Power Roof Vent'!tbcEff5</vt:lpstr>
      <vt:lpstr>Radial!tbcEff5</vt:lpstr>
      <vt:lpstr>'Axial Cyl Housed'!tbcEff6</vt:lpstr>
      <vt:lpstr>'Centrif Housed'!tbcEff6</vt:lpstr>
      <vt:lpstr>'Centrif Unhous'!tbcEff6</vt:lpstr>
      <vt:lpstr>'Inline-Mixed'!tbcEff6</vt:lpstr>
      <vt:lpstr>Panel!tbcEff6</vt:lpstr>
      <vt:lpstr>'Power Roof Vent'!tbcEff6</vt:lpstr>
      <vt:lpstr>Radial!tbcEff6</vt:lpstr>
      <vt:lpstr>tConvElecAxH</vt:lpstr>
      <vt:lpstr>tConvElecCnH</vt:lpstr>
      <vt:lpstr>tConvElecCnU</vt:lpstr>
      <vt:lpstr>tConvElecInMx</vt:lpstr>
      <vt:lpstr>tConvElecPan</vt:lpstr>
      <vt:lpstr>tConvElecPRV</vt:lpstr>
      <vt:lpstr>tConvElecRad</vt:lpstr>
      <vt:lpstr>'Axial Cyl Housed'!tecs</vt:lpstr>
      <vt:lpstr>'Centrif Housed'!tecs</vt:lpstr>
      <vt:lpstr>'Centrif Unhous'!tecs</vt:lpstr>
      <vt:lpstr>'Inline-Mixed'!tecs</vt:lpstr>
      <vt:lpstr>Panel!tecs</vt:lpstr>
      <vt:lpstr>'Power Roof Vent'!tecs</vt:lpstr>
      <vt:lpstr>Radial!tecs</vt:lpstr>
      <vt:lpstr>'Axial Cyl Housed'!tecsU</vt:lpstr>
      <vt:lpstr>'Centrif Housed'!tecsU</vt:lpstr>
      <vt:lpstr>'Centrif Unhous'!tecsU</vt:lpstr>
      <vt:lpstr>'Inline-Mixed'!tecsU</vt:lpstr>
      <vt:lpstr>Panel!tecsU</vt:lpstr>
      <vt:lpstr>'Power Roof Vent'!tecsU</vt:lpstr>
      <vt:lpstr>Radial!tecsU</vt:lpstr>
      <vt:lpstr>'Axial Cyl Housed'!tiec</vt:lpstr>
      <vt:lpstr>'Centrif Housed'!tiec</vt:lpstr>
      <vt:lpstr>'Centrif Unhous'!tiec</vt:lpstr>
      <vt:lpstr>'Inline-Mixed'!tiec</vt:lpstr>
      <vt:lpstr>Panel!tiec</vt:lpstr>
      <vt:lpstr>'Power Roof Vent'!tiec</vt:lpstr>
      <vt:lpstr>Radial!tiec</vt:lpstr>
      <vt:lpstr>'Axial Cyl Housed'!tiecU</vt:lpstr>
      <vt:lpstr>'Centrif Housed'!tiecU</vt:lpstr>
      <vt:lpstr>'Centrif Unhous'!tiecU</vt:lpstr>
      <vt:lpstr>'Inline-Mixed'!tiecU</vt:lpstr>
      <vt:lpstr>Panel!tiecU</vt:lpstr>
      <vt:lpstr>'Power Roof Vent'!tiecU</vt:lpstr>
      <vt:lpstr>Radial!tiecU</vt:lpstr>
      <vt:lpstr>'Axial Cyl Housed'!tlccEFuElecbc0</vt:lpstr>
      <vt:lpstr>'Centrif Housed'!tlccEFuElecbc0</vt:lpstr>
      <vt:lpstr>'Centrif Unhous'!tlccEFuElecbc0</vt:lpstr>
      <vt:lpstr>'Inline-Mixed'!tlccEFuElecbc0</vt:lpstr>
      <vt:lpstr>Panel!tlccEFuElecbc0</vt:lpstr>
      <vt:lpstr>'Power Roof Vent'!tlccEFuElecbc0</vt:lpstr>
      <vt:lpstr>Radial!tlccEFuElecbc0</vt:lpstr>
      <vt:lpstr>'Axial Cyl Housed'!tlccEFuElecbc1</vt:lpstr>
      <vt:lpstr>'Centrif Housed'!tlccEFuElecbc1</vt:lpstr>
      <vt:lpstr>'Centrif Unhous'!tlccEFuElecbc1</vt:lpstr>
      <vt:lpstr>'Inline-Mixed'!tlccEFuElecbc1</vt:lpstr>
      <vt:lpstr>Panel!tlccEFuElecbc1</vt:lpstr>
      <vt:lpstr>'Power Roof Vent'!tlccEFuElecbc1</vt:lpstr>
      <vt:lpstr>Radial!tlccEFuElecbc1</vt:lpstr>
      <vt:lpstr>'Axial Cyl Housed'!tlccEFuElecbc2</vt:lpstr>
      <vt:lpstr>'Centrif Housed'!tlccEFuElecbc2</vt:lpstr>
      <vt:lpstr>'Centrif Unhous'!tlccEFuElecbc2</vt:lpstr>
      <vt:lpstr>'Inline-Mixed'!tlccEFuElecbc2</vt:lpstr>
      <vt:lpstr>Panel!tlccEFuElecbc2</vt:lpstr>
      <vt:lpstr>'Power Roof Vent'!tlccEFuElecbc2</vt:lpstr>
      <vt:lpstr>Radial!tlccEFuElecbc2</vt:lpstr>
      <vt:lpstr>'Axial Cyl Housed'!tlccEFuElecbc3</vt:lpstr>
      <vt:lpstr>'Centrif Housed'!tlccEFuElecbc3</vt:lpstr>
      <vt:lpstr>'Centrif Unhous'!tlccEFuElecbc3</vt:lpstr>
      <vt:lpstr>'Inline-Mixed'!tlccEFuElecbc3</vt:lpstr>
      <vt:lpstr>Panel!tlccEFuElecbc3</vt:lpstr>
      <vt:lpstr>'Power Roof Vent'!tlccEFuElecbc3</vt:lpstr>
      <vt:lpstr>Radial!tlccEFuElecbc3</vt:lpstr>
      <vt:lpstr>'Axial Cyl Housed'!tlccEFuElecbc4</vt:lpstr>
      <vt:lpstr>'Centrif Housed'!tlccEFuElecbc4</vt:lpstr>
      <vt:lpstr>'Centrif Unhous'!tlccEFuElecbc4</vt:lpstr>
      <vt:lpstr>'Inline-Mixed'!tlccEFuElecbc4</vt:lpstr>
      <vt:lpstr>Panel!tlccEFuElecbc4</vt:lpstr>
      <vt:lpstr>'Power Roof Vent'!tlccEFuElecbc4</vt:lpstr>
      <vt:lpstr>Radial!tlccEFuElecbc4</vt:lpstr>
      <vt:lpstr>'Axial Cyl Housed'!tlccEFuElecbc5</vt:lpstr>
      <vt:lpstr>'Centrif Housed'!tlccEFuElecbc5</vt:lpstr>
      <vt:lpstr>'Centrif Unhous'!tlccEFuElecbc5</vt:lpstr>
      <vt:lpstr>'Inline-Mixed'!tlccEFuElecbc5</vt:lpstr>
      <vt:lpstr>Panel!tlccEFuElecbc5</vt:lpstr>
      <vt:lpstr>'Power Roof Vent'!tlccEFuElecbc5</vt:lpstr>
      <vt:lpstr>Radial!tlccEFuElecbc5</vt:lpstr>
      <vt:lpstr>'Axial Cyl Housed'!tlccEFuElecbc6</vt:lpstr>
      <vt:lpstr>'Centrif Housed'!tlccEFuElecbc6</vt:lpstr>
      <vt:lpstr>'Centrif Unhous'!tlccEFuElecbc6</vt:lpstr>
      <vt:lpstr>'Inline-Mixed'!tlccEFuElecbc6</vt:lpstr>
      <vt:lpstr>Panel!tlccEFuElecbc6</vt:lpstr>
      <vt:lpstr>'Power Roof Vent'!tlccEFuElecbc6</vt:lpstr>
      <vt:lpstr>Radial!tlccEFuElecbc6</vt:lpstr>
      <vt:lpstr>'Axial Cyl Housed'!tlccEFuElecpol0</vt:lpstr>
      <vt:lpstr>'Centrif Housed'!tlccEFuElecpol0</vt:lpstr>
      <vt:lpstr>'Centrif Unhous'!tlccEFuElecpol0</vt:lpstr>
      <vt:lpstr>'Inline-Mixed'!tlccEFuElecpol0</vt:lpstr>
      <vt:lpstr>Panel!tlccEFuElecpol0</vt:lpstr>
      <vt:lpstr>'Power Roof Vent'!tlccEFuElecpol0</vt:lpstr>
      <vt:lpstr>Radial!tlccEFuElecpol0</vt:lpstr>
      <vt:lpstr>'Axial Cyl Housed'!tlccEFuElecpol1</vt:lpstr>
      <vt:lpstr>'Centrif Housed'!tlccEFuElecpol1</vt:lpstr>
      <vt:lpstr>'Centrif Unhous'!tlccEFuElecpol1</vt:lpstr>
      <vt:lpstr>'Inline-Mixed'!tlccEFuElecpol1</vt:lpstr>
      <vt:lpstr>Panel!tlccEFuElecpol1</vt:lpstr>
      <vt:lpstr>'Power Roof Vent'!tlccEFuElecpol1</vt:lpstr>
      <vt:lpstr>Radial!tlccEFuElecpol1</vt:lpstr>
      <vt:lpstr>'Axial Cyl Housed'!tlccEFuElecpol2</vt:lpstr>
      <vt:lpstr>'Centrif Housed'!tlccEFuElecpol2</vt:lpstr>
      <vt:lpstr>'Centrif Unhous'!tlccEFuElecpol2</vt:lpstr>
      <vt:lpstr>'Inline-Mixed'!tlccEFuElecpol2</vt:lpstr>
      <vt:lpstr>Panel!tlccEFuElecpol2</vt:lpstr>
      <vt:lpstr>'Power Roof Vent'!tlccEFuElecpol2</vt:lpstr>
      <vt:lpstr>Radial!tlccEFuElecpol2</vt:lpstr>
      <vt:lpstr>'Axial Cyl Housed'!tlccEFuElecpol3</vt:lpstr>
      <vt:lpstr>'Centrif Housed'!tlccEFuElecpol3</vt:lpstr>
      <vt:lpstr>'Centrif Unhous'!tlccEFuElecpol3</vt:lpstr>
      <vt:lpstr>'Inline-Mixed'!tlccEFuElecpol3</vt:lpstr>
      <vt:lpstr>Panel!tlccEFuElecpol3</vt:lpstr>
      <vt:lpstr>'Power Roof Vent'!tlccEFuElecpol3</vt:lpstr>
      <vt:lpstr>Radial!tlccEFuElecpol3</vt:lpstr>
      <vt:lpstr>'Axial Cyl Housed'!tlccEFuElecpol4</vt:lpstr>
      <vt:lpstr>'Centrif Housed'!tlccEFuElecpol4</vt:lpstr>
      <vt:lpstr>'Centrif Unhous'!tlccEFuElecpol4</vt:lpstr>
      <vt:lpstr>'Inline-Mixed'!tlccEFuElecpol4</vt:lpstr>
      <vt:lpstr>Panel!tlccEFuElecpol4</vt:lpstr>
      <vt:lpstr>'Power Roof Vent'!tlccEFuElecpol4</vt:lpstr>
      <vt:lpstr>Radial!tlccEFuElecpol4</vt:lpstr>
      <vt:lpstr>'Axial Cyl Housed'!tlccEFuElecpol5</vt:lpstr>
      <vt:lpstr>'Centrif Housed'!tlccEFuElecpol5</vt:lpstr>
      <vt:lpstr>'Centrif Unhous'!tlccEFuElecpol5</vt:lpstr>
      <vt:lpstr>'Inline-Mixed'!tlccEFuElecpol5</vt:lpstr>
      <vt:lpstr>Panel!tlccEFuElecpol5</vt:lpstr>
      <vt:lpstr>'Power Roof Vent'!tlccEFuElecpol5</vt:lpstr>
      <vt:lpstr>Radial!tlccEFuElecpol5</vt:lpstr>
      <vt:lpstr>'Axial Cyl Housed'!tlccEFuElecpol6</vt:lpstr>
      <vt:lpstr>'Centrif Housed'!tlccEFuElecpol6</vt:lpstr>
      <vt:lpstr>'Centrif Unhous'!tlccEFuElecpol6</vt:lpstr>
      <vt:lpstr>'Inline-Mixed'!tlccEFuElecpol6</vt:lpstr>
      <vt:lpstr>Panel!tlccEFuElecpol6</vt:lpstr>
      <vt:lpstr>'Power Roof Vent'!tlccEFuElecpol6</vt:lpstr>
      <vt:lpstr>Radial!tlccEFuElecpol6</vt:lpstr>
      <vt:lpstr>'Axial Cyl Housed'!tlccEmBC</vt:lpstr>
      <vt:lpstr>'Centrif Housed'!tlccEmBC</vt:lpstr>
      <vt:lpstr>'Centrif Unhous'!tlccEmBC</vt:lpstr>
      <vt:lpstr>'Inline-Mixed'!tlccEmBC</vt:lpstr>
      <vt:lpstr>Panel!tlccEmBC</vt:lpstr>
      <vt:lpstr>'Power Roof Vent'!tlccEmBC</vt:lpstr>
      <vt:lpstr>Radial!tlccEmBC</vt:lpstr>
      <vt:lpstr>'Axial Cyl Housed'!tlccEmPol</vt:lpstr>
      <vt:lpstr>'Centrif Housed'!tlccEmPol</vt:lpstr>
      <vt:lpstr>'Centrif Unhous'!tlccEmPol</vt:lpstr>
      <vt:lpstr>'Inline-Mixed'!tlccEmPol</vt:lpstr>
      <vt:lpstr>Panel!tlccEmPol</vt:lpstr>
      <vt:lpstr>'Power Roof Vent'!tlccEmPol</vt:lpstr>
      <vt:lpstr>Radial!tlccEmPol</vt:lpstr>
      <vt:lpstr>'Axial Cyl Housed'!tlccEubc</vt:lpstr>
      <vt:lpstr>'Centrif Housed'!tlccEubc</vt:lpstr>
      <vt:lpstr>'Centrif Unhous'!tlccEubc</vt:lpstr>
      <vt:lpstr>'Inline-Mixed'!tlccEubc</vt:lpstr>
      <vt:lpstr>Panel!tlccEubc</vt:lpstr>
      <vt:lpstr>'Power Roof Vent'!tlccEubc</vt:lpstr>
      <vt:lpstr>Radial!tlccEubc</vt:lpstr>
      <vt:lpstr>'Axial Cyl Housed'!tlccEubc0</vt:lpstr>
      <vt:lpstr>'Centrif Housed'!tlccEubc0</vt:lpstr>
      <vt:lpstr>'Centrif Unhous'!tlccEubc0</vt:lpstr>
      <vt:lpstr>'Inline-Mixed'!tlccEubc0</vt:lpstr>
      <vt:lpstr>Panel!tlccEubc0</vt:lpstr>
      <vt:lpstr>'Power Roof Vent'!tlccEubc0</vt:lpstr>
      <vt:lpstr>Radial!tlccEubc0</vt:lpstr>
      <vt:lpstr>'Axial Cyl Housed'!tlccEubc1</vt:lpstr>
      <vt:lpstr>'Centrif Housed'!tlccEubc1</vt:lpstr>
      <vt:lpstr>'Centrif Unhous'!tlccEubc1</vt:lpstr>
      <vt:lpstr>'Inline-Mixed'!tlccEubc1</vt:lpstr>
      <vt:lpstr>Panel!tlccEubc1</vt:lpstr>
      <vt:lpstr>'Power Roof Vent'!tlccEubc1</vt:lpstr>
      <vt:lpstr>Radial!tlccEubc1</vt:lpstr>
      <vt:lpstr>'Axial Cyl Housed'!tlccEubc2</vt:lpstr>
      <vt:lpstr>'Centrif Housed'!tlccEubc2</vt:lpstr>
      <vt:lpstr>'Centrif Unhous'!tlccEubc2</vt:lpstr>
      <vt:lpstr>'Inline-Mixed'!tlccEubc2</vt:lpstr>
      <vt:lpstr>Panel!tlccEubc2</vt:lpstr>
      <vt:lpstr>'Power Roof Vent'!tlccEubc2</vt:lpstr>
      <vt:lpstr>Radial!tlccEubc2</vt:lpstr>
      <vt:lpstr>'Axial Cyl Housed'!tlccEubc3</vt:lpstr>
      <vt:lpstr>'Centrif Housed'!tlccEubc3</vt:lpstr>
      <vt:lpstr>'Centrif Unhous'!tlccEubc3</vt:lpstr>
      <vt:lpstr>'Inline-Mixed'!tlccEubc3</vt:lpstr>
      <vt:lpstr>Panel!tlccEubc3</vt:lpstr>
      <vt:lpstr>'Power Roof Vent'!tlccEubc3</vt:lpstr>
      <vt:lpstr>Radial!tlccEubc3</vt:lpstr>
      <vt:lpstr>'Axial Cyl Housed'!tlccEubc4</vt:lpstr>
      <vt:lpstr>'Centrif Housed'!tlccEubc4</vt:lpstr>
      <vt:lpstr>'Centrif Unhous'!tlccEubc4</vt:lpstr>
      <vt:lpstr>'Inline-Mixed'!tlccEubc4</vt:lpstr>
      <vt:lpstr>Panel!tlccEubc4</vt:lpstr>
      <vt:lpstr>'Power Roof Vent'!tlccEubc4</vt:lpstr>
      <vt:lpstr>Radial!tlccEubc4</vt:lpstr>
      <vt:lpstr>'Axial Cyl Housed'!tlccEubc5</vt:lpstr>
      <vt:lpstr>'Centrif Housed'!tlccEubc5</vt:lpstr>
      <vt:lpstr>'Centrif Unhous'!tlccEubc5</vt:lpstr>
      <vt:lpstr>'Inline-Mixed'!tlccEubc5</vt:lpstr>
      <vt:lpstr>Panel!tlccEubc5</vt:lpstr>
      <vt:lpstr>'Power Roof Vent'!tlccEubc5</vt:lpstr>
      <vt:lpstr>Radial!tlccEubc5</vt:lpstr>
      <vt:lpstr>'Axial Cyl Housed'!tlccEubc6</vt:lpstr>
      <vt:lpstr>'Centrif Housed'!tlccEubc6</vt:lpstr>
      <vt:lpstr>'Centrif Unhous'!tlccEubc6</vt:lpstr>
      <vt:lpstr>'Inline-Mixed'!tlccEubc6</vt:lpstr>
      <vt:lpstr>Panel!tlccEubc6</vt:lpstr>
      <vt:lpstr>'Power Roof Vent'!tlccEubc6</vt:lpstr>
      <vt:lpstr>Radial!tlccEubc6</vt:lpstr>
      <vt:lpstr>'Axial Cyl Housed'!tlccEupol</vt:lpstr>
      <vt:lpstr>'Centrif Housed'!tlccEupol</vt:lpstr>
      <vt:lpstr>'Centrif Unhous'!tlccEupol</vt:lpstr>
      <vt:lpstr>'Inline-Mixed'!tlccEupol</vt:lpstr>
      <vt:lpstr>Panel!tlccEupol</vt:lpstr>
      <vt:lpstr>'Power Roof Vent'!tlccEupol</vt:lpstr>
      <vt:lpstr>Radial!tlccEupol</vt:lpstr>
      <vt:lpstr>'Axial Cyl Housed'!tlccEupol0</vt:lpstr>
      <vt:lpstr>'Centrif Housed'!tlccEupol0</vt:lpstr>
      <vt:lpstr>'Centrif Unhous'!tlccEupol0</vt:lpstr>
      <vt:lpstr>'Inline-Mixed'!tlccEupol0</vt:lpstr>
      <vt:lpstr>Panel!tlccEupol0</vt:lpstr>
      <vt:lpstr>'Power Roof Vent'!tlccEupol0</vt:lpstr>
      <vt:lpstr>Radial!tlccEupol0</vt:lpstr>
      <vt:lpstr>'Axial Cyl Housed'!tlccEupol1</vt:lpstr>
      <vt:lpstr>'Centrif Housed'!tlccEupol1</vt:lpstr>
      <vt:lpstr>'Centrif Unhous'!tlccEupol1</vt:lpstr>
      <vt:lpstr>'Inline-Mixed'!tlccEupol1</vt:lpstr>
      <vt:lpstr>Panel!tlccEupol1</vt:lpstr>
      <vt:lpstr>'Power Roof Vent'!tlccEupol1</vt:lpstr>
      <vt:lpstr>Radial!tlccEupol1</vt:lpstr>
      <vt:lpstr>'Axial Cyl Housed'!tlccEupol2</vt:lpstr>
      <vt:lpstr>'Centrif Housed'!tlccEupol2</vt:lpstr>
      <vt:lpstr>'Centrif Unhous'!tlccEupol2</vt:lpstr>
      <vt:lpstr>'Inline-Mixed'!tlccEupol2</vt:lpstr>
      <vt:lpstr>Panel!tlccEupol2</vt:lpstr>
      <vt:lpstr>'Power Roof Vent'!tlccEupol2</vt:lpstr>
      <vt:lpstr>Radial!tlccEupol2</vt:lpstr>
      <vt:lpstr>'Axial Cyl Housed'!tlccEupol3</vt:lpstr>
      <vt:lpstr>'Centrif Housed'!tlccEupol3</vt:lpstr>
      <vt:lpstr>'Centrif Unhous'!tlccEupol3</vt:lpstr>
      <vt:lpstr>'Inline-Mixed'!tlccEupol3</vt:lpstr>
      <vt:lpstr>Panel!tlccEupol3</vt:lpstr>
      <vt:lpstr>'Power Roof Vent'!tlccEupol3</vt:lpstr>
      <vt:lpstr>Radial!tlccEupol3</vt:lpstr>
      <vt:lpstr>'Axial Cyl Housed'!tlccEupol4</vt:lpstr>
      <vt:lpstr>'Centrif Housed'!tlccEupol4</vt:lpstr>
      <vt:lpstr>'Centrif Unhous'!tlccEupol4</vt:lpstr>
      <vt:lpstr>'Inline-Mixed'!tlccEupol4</vt:lpstr>
      <vt:lpstr>Panel!tlccEupol4</vt:lpstr>
      <vt:lpstr>'Power Roof Vent'!tlccEupol4</vt:lpstr>
      <vt:lpstr>Radial!tlccEupol4</vt:lpstr>
      <vt:lpstr>'Axial Cyl Housed'!tlccEupol5</vt:lpstr>
      <vt:lpstr>'Centrif Housed'!tlccEupol5</vt:lpstr>
      <vt:lpstr>'Centrif Unhous'!tlccEupol5</vt:lpstr>
      <vt:lpstr>'Inline-Mixed'!tlccEupol5</vt:lpstr>
      <vt:lpstr>Panel!tlccEupol5</vt:lpstr>
      <vt:lpstr>'Power Roof Vent'!tlccEupol5</vt:lpstr>
      <vt:lpstr>Radial!tlccEupol5</vt:lpstr>
      <vt:lpstr>'Axial Cyl Housed'!tlccEupol6</vt:lpstr>
      <vt:lpstr>'Centrif Housed'!tlccEupol6</vt:lpstr>
      <vt:lpstr>'Centrif Unhous'!tlccEupol6</vt:lpstr>
      <vt:lpstr>'Inline-Mixed'!tlccEupol6</vt:lpstr>
      <vt:lpstr>Panel!tlccEupol6</vt:lpstr>
      <vt:lpstr>'Power Roof Vent'!tlccEupol6</vt:lpstr>
      <vt:lpstr>Radial!tlccEupol6</vt:lpstr>
      <vt:lpstr>'Axial Cyl Housed'!tlccFmElecBC</vt:lpstr>
      <vt:lpstr>'Centrif Housed'!tlccFmElecBC</vt:lpstr>
      <vt:lpstr>'Centrif Unhous'!tlccFmElecBC</vt:lpstr>
      <vt:lpstr>'Inline-Mixed'!tlccFmElecBC</vt:lpstr>
      <vt:lpstr>Panel!tlccFmElecBC</vt:lpstr>
      <vt:lpstr>'Power Roof Vent'!tlccFmElecBC</vt:lpstr>
      <vt:lpstr>Radial!tlccFmElecBC</vt:lpstr>
      <vt:lpstr>'Axial Cyl Housed'!tlccFmElecPol</vt:lpstr>
      <vt:lpstr>'Centrif Housed'!tlccFmElecPol</vt:lpstr>
      <vt:lpstr>'Centrif Unhous'!tlccFmElecPol</vt:lpstr>
      <vt:lpstr>'Inline-Mixed'!tlccFmElecPol</vt:lpstr>
      <vt:lpstr>Panel!tlccFmElecPol</vt:lpstr>
      <vt:lpstr>'Power Roof Vent'!tlccFmElecPol</vt:lpstr>
      <vt:lpstr>Radial!tlccFmElecPol</vt:lpstr>
      <vt:lpstr>'Axial Cyl Housed'!tlccFubcElec</vt:lpstr>
      <vt:lpstr>'Centrif Housed'!tlccFubcElec</vt:lpstr>
      <vt:lpstr>'Centrif Unhous'!tlccFubcElec</vt:lpstr>
      <vt:lpstr>'Inline-Mixed'!tlccFubcElec</vt:lpstr>
      <vt:lpstr>Panel!tlccFubcElec</vt:lpstr>
      <vt:lpstr>'Power Roof Vent'!tlccFubcElec</vt:lpstr>
      <vt:lpstr>Radial!tlccFubcElec</vt:lpstr>
      <vt:lpstr>'Axial Cyl Housed'!tlccFubcElec0</vt:lpstr>
      <vt:lpstr>'Centrif Housed'!tlccFubcElec0</vt:lpstr>
      <vt:lpstr>'Centrif Unhous'!tlccFubcElec0</vt:lpstr>
      <vt:lpstr>'Inline-Mixed'!tlccFubcElec0</vt:lpstr>
      <vt:lpstr>Panel!tlccFubcElec0</vt:lpstr>
      <vt:lpstr>'Power Roof Vent'!tlccFubcElec0</vt:lpstr>
      <vt:lpstr>Radial!tlccFubcElec0</vt:lpstr>
      <vt:lpstr>'Axial Cyl Housed'!tlccFubcElec1</vt:lpstr>
      <vt:lpstr>'Centrif Housed'!tlccFubcElec1</vt:lpstr>
      <vt:lpstr>'Centrif Unhous'!tlccFubcElec1</vt:lpstr>
      <vt:lpstr>'Inline-Mixed'!tlccFubcElec1</vt:lpstr>
      <vt:lpstr>Panel!tlccFubcElec1</vt:lpstr>
      <vt:lpstr>'Power Roof Vent'!tlccFubcElec1</vt:lpstr>
      <vt:lpstr>Radial!tlccFubcElec1</vt:lpstr>
      <vt:lpstr>'Axial Cyl Housed'!tlccFubcElec2</vt:lpstr>
      <vt:lpstr>'Centrif Housed'!tlccFubcElec2</vt:lpstr>
      <vt:lpstr>'Centrif Unhous'!tlccFubcElec2</vt:lpstr>
      <vt:lpstr>'Inline-Mixed'!tlccFubcElec2</vt:lpstr>
      <vt:lpstr>Panel!tlccFubcElec2</vt:lpstr>
      <vt:lpstr>'Power Roof Vent'!tlccFubcElec2</vt:lpstr>
      <vt:lpstr>Radial!tlccFubcElec2</vt:lpstr>
      <vt:lpstr>'Axial Cyl Housed'!tlccFubcElec3</vt:lpstr>
      <vt:lpstr>'Centrif Housed'!tlccFubcElec3</vt:lpstr>
      <vt:lpstr>'Centrif Unhous'!tlccFubcElec3</vt:lpstr>
      <vt:lpstr>'Inline-Mixed'!tlccFubcElec3</vt:lpstr>
      <vt:lpstr>Panel!tlccFubcElec3</vt:lpstr>
      <vt:lpstr>'Power Roof Vent'!tlccFubcElec3</vt:lpstr>
      <vt:lpstr>Radial!tlccFubcElec3</vt:lpstr>
      <vt:lpstr>'Axial Cyl Housed'!tlccFubcElec4</vt:lpstr>
      <vt:lpstr>'Centrif Housed'!tlccFubcElec4</vt:lpstr>
      <vt:lpstr>'Centrif Unhous'!tlccFubcElec4</vt:lpstr>
      <vt:lpstr>'Inline-Mixed'!tlccFubcElec4</vt:lpstr>
      <vt:lpstr>Panel!tlccFubcElec4</vt:lpstr>
      <vt:lpstr>'Power Roof Vent'!tlccFubcElec4</vt:lpstr>
      <vt:lpstr>Radial!tlccFubcElec4</vt:lpstr>
      <vt:lpstr>'Axial Cyl Housed'!tlccFubcElec5</vt:lpstr>
      <vt:lpstr>'Centrif Housed'!tlccFubcElec5</vt:lpstr>
      <vt:lpstr>'Centrif Unhous'!tlccFubcElec5</vt:lpstr>
      <vt:lpstr>'Inline-Mixed'!tlccFubcElec5</vt:lpstr>
      <vt:lpstr>Panel!tlccFubcElec5</vt:lpstr>
      <vt:lpstr>'Power Roof Vent'!tlccFubcElec5</vt:lpstr>
      <vt:lpstr>Radial!tlccFubcElec5</vt:lpstr>
      <vt:lpstr>'Axial Cyl Housed'!tlccFubcElec6</vt:lpstr>
      <vt:lpstr>'Centrif Housed'!tlccFubcElec6</vt:lpstr>
      <vt:lpstr>'Centrif Unhous'!tlccFubcElec6</vt:lpstr>
      <vt:lpstr>'Inline-Mixed'!tlccFubcElec6</vt:lpstr>
      <vt:lpstr>Panel!tlccFubcElec6</vt:lpstr>
      <vt:lpstr>'Power Roof Vent'!tlccFubcElec6</vt:lpstr>
      <vt:lpstr>Radial!tlccFubcElec6</vt:lpstr>
      <vt:lpstr>'Axial Cyl Housed'!tlccFupolElec</vt:lpstr>
      <vt:lpstr>'Centrif Housed'!tlccFupolElec</vt:lpstr>
      <vt:lpstr>'Centrif Unhous'!tlccFupolElec</vt:lpstr>
      <vt:lpstr>'Inline-Mixed'!tlccFupolElec</vt:lpstr>
      <vt:lpstr>Panel!tlccFupolElec</vt:lpstr>
      <vt:lpstr>'Power Roof Vent'!tlccFupolElec</vt:lpstr>
      <vt:lpstr>Radial!tlccFupolElec</vt:lpstr>
      <vt:lpstr>'Axial Cyl Housed'!tlccFupolElec0</vt:lpstr>
      <vt:lpstr>'Centrif Housed'!tlccFupolElec0</vt:lpstr>
      <vt:lpstr>'Centrif Unhous'!tlccFupolElec0</vt:lpstr>
      <vt:lpstr>'Inline-Mixed'!tlccFupolElec0</vt:lpstr>
      <vt:lpstr>Panel!tlccFupolElec0</vt:lpstr>
      <vt:lpstr>'Power Roof Vent'!tlccFupolElec0</vt:lpstr>
      <vt:lpstr>Radial!tlccFupolElec0</vt:lpstr>
      <vt:lpstr>'Axial Cyl Housed'!tlccFupolElec1</vt:lpstr>
      <vt:lpstr>'Centrif Housed'!tlccFupolElec1</vt:lpstr>
      <vt:lpstr>'Centrif Unhous'!tlccFupolElec1</vt:lpstr>
      <vt:lpstr>'Inline-Mixed'!tlccFupolElec1</vt:lpstr>
      <vt:lpstr>Panel!tlccFupolElec1</vt:lpstr>
      <vt:lpstr>'Power Roof Vent'!tlccFupolElec1</vt:lpstr>
      <vt:lpstr>Radial!tlccFupolElec1</vt:lpstr>
      <vt:lpstr>'Axial Cyl Housed'!tlccFupolElec2</vt:lpstr>
      <vt:lpstr>'Centrif Housed'!tlccFupolElec2</vt:lpstr>
      <vt:lpstr>'Centrif Unhous'!tlccFupolElec2</vt:lpstr>
      <vt:lpstr>'Inline-Mixed'!tlccFupolElec2</vt:lpstr>
      <vt:lpstr>Panel!tlccFupolElec2</vt:lpstr>
      <vt:lpstr>'Power Roof Vent'!tlccFupolElec2</vt:lpstr>
      <vt:lpstr>Radial!tlccFupolElec2</vt:lpstr>
      <vt:lpstr>'Axial Cyl Housed'!tlccFupolElec3</vt:lpstr>
      <vt:lpstr>'Centrif Housed'!tlccFupolElec3</vt:lpstr>
      <vt:lpstr>'Centrif Unhous'!tlccFupolElec3</vt:lpstr>
      <vt:lpstr>'Inline-Mixed'!tlccFupolElec3</vt:lpstr>
      <vt:lpstr>Panel!tlccFupolElec3</vt:lpstr>
      <vt:lpstr>'Power Roof Vent'!tlccFupolElec3</vt:lpstr>
      <vt:lpstr>Radial!tlccFupolElec3</vt:lpstr>
      <vt:lpstr>'Axial Cyl Housed'!tlccFupolElec4</vt:lpstr>
      <vt:lpstr>'Centrif Housed'!tlccFupolElec4</vt:lpstr>
      <vt:lpstr>'Centrif Unhous'!tlccFupolElec4</vt:lpstr>
      <vt:lpstr>'Inline-Mixed'!tlccFupolElec4</vt:lpstr>
      <vt:lpstr>Panel!tlccFupolElec4</vt:lpstr>
      <vt:lpstr>'Power Roof Vent'!tlccFupolElec4</vt:lpstr>
      <vt:lpstr>Radial!tlccFupolElec4</vt:lpstr>
      <vt:lpstr>'Axial Cyl Housed'!tlccFupolElec5</vt:lpstr>
      <vt:lpstr>'Centrif Housed'!tlccFupolElec5</vt:lpstr>
      <vt:lpstr>'Centrif Unhous'!tlccFupolElec5</vt:lpstr>
      <vt:lpstr>'Inline-Mixed'!tlccFupolElec5</vt:lpstr>
      <vt:lpstr>Panel!tlccFupolElec5</vt:lpstr>
      <vt:lpstr>'Power Roof Vent'!tlccFupolElec5</vt:lpstr>
      <vt:lpstr>Radial!tlccFupolElec5</vt:lpstr>
      <vt:lpstr>'Axial Cyl Housed'!tlccFupolElec6</vt:lpstr>
      <vt:lpstr>'Centrif Housed'!tlccFupolElec6</vt:lpstr>
      <vt:lpstr>'Centrif Unhous'!tlccFupolElec6</vt:lpstr>
      <vt:lpstr>'Inline-Mixed'!tlccFupolElec6</vt:lpstr>
      <vt:lpstr>Panel!tlccFupolElec6</vt:lpstr>
      <vt:lpstr>'Power Roof Vent'!tlccFupolElec6</vt:lpstr>
      <vt:lpstr>Radial!tlccFupolElec6</vt:lpstr>
      <vt:lpstr>'Axial Cyl Housed'!tlccQmBC</vt:lpstr>
      <vt:lpstr>'Centrif Housed'!tlccQmBC</vt:lpstr>
      <vt:lpstr>'Centrif Unhous'!tlccQmBC</vt:lpstr>
      <vt:lpstr>'Inline-Mixed'!tlccQmBC</vt:lpstr>
      <vt:lpstr>Panel!tlccQmBC</vt:lpstr>
      <vt:lpstr>'Power Roof Vent'!tlccQmBC</vt:lpstr>
      <vt:lpstr>Radial!tlccQmBC</vt:lpstr>
      <vt:lpstr>'Axial Cyl Housed'!tlccQmPol</vt:lpstr>
      <vt:lpstr>'Centrif Housed'!tlccQmPol</vt:lpstr>
      <vt:lpstr>'Centrif Unhous'!tlccQmPol</vt:lpstr>
      <vt:lpstr>'Inline-Mixed'!tlccQmPol</vt:lpstr>
      <vt:lpstr>Panel!tlccQmPol</vt:lpstr>
      <vt:lpstr>'Power Roof Vent'!tlccQmPol</vt:lpstr>
      <vt:lpstr>Radial!tlccQmPol</vt:lpstr>
      <vt:lpstr>'Axial Cyl Housed'!tlccQubc</vt:lpstr>
      <vt:lpstr>'Centrif Housed'!tlccQubc</vt:lpstr>
      <vt:lpstr>'Centrif Unhous'!tlccQubc</vt:lpstr>
      <vt:lpstr>'Inline-Mixed'!tlccQubc</vt:lpstr>
      <vt:lpstr>Panel!tlccQubc</vt:lpstr>
      <vt:lpstr>'Power Roof Vent'!tlccQubc</vt:lpstr>
      <vt:lpstr>Radial!tlccQubc</vt:lpstr>
      <vt:lpstr>'Axial Cyl Housed'!tlccQubc0</vt:lpstr>
      <vt:lpstr>'Centrif Housed'!tlccQubc0</vt:lpstr>
      <vt:lpstr>'Centrif Unhous'!tlccQubc0</vt:lpstr>
      <vt:lpstr>'Inline-Mixed'!tlccQubc0</vt:lpstr>
      <vt:lpstr>Panel!tlccQubc0</vt:lpstr>
      <vt:lpstr>'Power Roof Vent'!tlccQubc0</vt:lpstr>
      <vt:lpstr>Radial!tlccQubc0</vt:lpstr>
      <vt:lpstr>'Axial Cyl Housed'!tlccQubc1</vt:lpstr>
      <vt:lpstr>'Centrif Housed'!tlccQubc1</vt:lpstr>
      <vt:lpstr>'Centrif Unhous'!tlccQubc1</vt:lpstr>
      <vt:lpstr>'Inline-Mixed'!tlccQubc1</vt:lpstr>
      <vt:lpstr>Panel!tlccQubc1</vt:lpstr>
      <vt:lpstr>'Power Roof Vent'!tlccQubc1</vt:lpstr>
      <vt:lpstr>Radial!tlccQubc1</vt:lpstr>
      <vt:lpstr>'Axial Cyl Housed'!tlccQubc2</vt:lpstr>
      <vt:lpstr>'Centrif Housed'!tlccQubc2</vt:lpstr>
      <vt:lpstr>'Centrif Unhous'!tlccQubc2</vt:lpstr>
      <vt:lpstr>'Inline-Mixed'!tlccQubc2</vt:lpstr>
      <vt:lpstr>Panel!tlccQubc2</vt:lpstr>
      <vt:lpstr>'Power Roof Vent'!tlccQubc2</vt:lpstr>
      <vt:lpstr>Radial!tlccQubc2</vt:lpstr>
      <vt:lpstr>'Axial Cyl Housed'!tlccQubc3</vt:lpstr>
      <vt:lpstr>'Centrif Housed'!tlccQubc3</vt:lpstr>
      <vt:lpstr>'Centrif Unhous'!tlccQubc3</vt:lpstr>
      <vt:lpstr>'Inline-Mixed'!tlccQubc3</vt:lpstr>
      <vt:lpstr>Panel!tlccQubc3</vt:lpstr>
      <vt:lpstr>'Power Roof Vent'!tlccQubc3</vt:lpstr>
      <vt:lpstr>Radial!tlccQubc3</vt:lpstr>
      <vt:lpstr>'Axial Cyl Housed'!tlccQubc4</vt:lpstr>
      <vt:lpstr>'Centrif Housed'!tlccQubc4</vt:lpstr>
      <vt:lpstr>'Centrif Unhous'!tlccQubc4</vt:lpstr>
      <vt:lpstr>'Inline-Mixed'!tlccQubc4</vt:lpstr>
      <vt:lpstr>Panel!tlccQubc4</vt:lpstr>
      <vt:lpstr>'Power Roof Vent'!tlccQubc4</vt:lpstr>
      <vt:lpstr>Radial!tlccQubc4</vt:lpstr>
      <vt:lpstr>'Axial Cyl Housed'!tlccQubc5</vt:lpstr>
      <vt:lpstr>'Centrif Housed'!tlccQubc5</vt:lpstr>
      <vt:lpstr>'Centrif Unhous'!tlccQubc5</vt:lpstr>
      <vt:lpstr>'Inline-Mixed'!tlccQubc5</vt:lpstr>
      <vt:lpstr>Panel!tlccQubc5</vt:lpstr>
      <vt:lpstr>'Power Roof Vent'!tlccQubc5</vt:lpstr>
      <vt:lpstr>Radial!tlccQubc5</vt:lpstr>
      <vt:lpstr>'Axial Cyl Housed'!tlccQubc6</vt:lpstr>
      <vt:lpstr>'Centrif Housed'!tlccQubc6</vt:lpstr>
      <vt:lpstr>'Centrif Unhous'!tlccQubc6</vt:lpstr>
      <vt:lpstr>'Inline-Mixed'!tlccQubc6</vt:lpstr>
      <vt:lpstr>Panel!tlccQubc6</vt:lpstr>
      <vt:lpstr>'Power Roof Vent'!tlccQubc6</vt:lpstr>
      <vt:lpstr>Radial!tlccQubc6</vt:lpstr>
      <vt:lpstr>'Axial Cyl Housed'!tlccQupol</vt:lpstr>
      <vt:lpstr>'Centrif Housed'!tlccQupol</vt:lpstr>
      <vt:lpstr>'Centrif Unhous'!tlccQupol</vt:lpstr>
      <vt:lpstr>'Inline-Mixed'!tlccQupol</vt:lpstr>
      <vt:lpstr>Panel!tlccQupol</vt:lpstr>
      <vt:lpstr>'Power Roof Vent'!tlccQupol</vt:lpstr>
      <vt:lpstr>Radial!tlccQupol</vt:lpstr>
      <vt:lpstr>'Axial Cyl Housed'!tlccQupol0</vt:lpstr>
      <vt:lpstr>'Centrif Housed'!tlccQupol0</vt:lpstr>
      <vt:lpstr>'Centrif Unhous'!tlccQupol0</vt:lpstr>
      <vt:lpstr>'Inline-Mixed'!tlccQupol0</vt:lpstr>
      <vt:lpstr>Panel!tlccQupol0</vt:lpstr>
      <vt:lpstr>'Power Roof Vent'!tlccQupol0</vt:lpstr>
      <vt:lpstr>Radial!tlccQupol0</vt:lpstr>
      <vt:lpstr>'Axial Cyl Housed'!tlccQupol1</vt:lpstr>
      <vt:lpstr>'Centrif Housed'!tlccQupol1</vt:lpstr>
      <vt:lpstr>'Centrif Unhous'!tlccQupol1</vt:lpstr>
      <vt:lpstr>'Inline-Mixed'!tlccQupol1</vt:lpstr>
      <vt:lpstr>Panel!tlccQupol1</vt:lpstr>
      <vt:lpstr>'Power Roof Vent'!tlccQupol1</vt:lpstr>
      <vt:lpstr>Radial!tlccQupol1</vt:lpstr>
      <vt:lpstr>'Axial Cyl Housed'!tlccQupol2</vt:lpstr>
      <vt:lpstr>'Centrif Housed'!tlccQupol2</vt:lpstr>
      <vt:lpstr>'Centrif Unhous'!tlccQupol2</vt:lpstr>
      <vt:lpstr>'Inline-Mixed'!tlccQupol2</vt:lpstr>
      <vt:lpstr>Panel!tlccQupol2</vt:lpstr>
      <vt:lpstr>'Power Roof Vent'!tlccQupol2</vt:lpstr>
      <vt:lpstr>Radial!tlccQupol2</vt:lpstr>
      <vt:lpstr>'Axial Cyl Housed'!tlccQupol3</vt:lpstr>
      <vt:lpstr>'Centrif Housed'!tlccQupol3</vt:lpstr>
      <vt:lpstr>'Centrif Unhous'!tlccQupol3</vt:lpstr>
      <vt:lpstr>'Inline-Mixed'!tlccQupol3</vt:lpstr>
      <vt:lpstr>Panel!tlccQupol3</vt:lpstr>
      <vt:lpstr>'Power Roof Vent'!tlccQupol3</vt:lpstr>
      <vt:lpstr>Radial!tlccQupol3</vt:lpstr>
      <vt:lpstr>'Axial Cyl Housed'!tlccQupol4</vt:lpstr>
      <vt:lpstr>'Centrif Housed'!tlccQupol4</vt:lpstr>
      <vt:lpstr>'Centrif Unhous'!tlccQupol4</vt:lpstr>
      <vt:lpstr>'Inline-Mixed'!tlccQupol4</vt:lpstr>
      <vt:lpstr>Panel!tlccQupol4</vt:lpstr>
      <vt:lpstr>'Power Roof Vent'!tlccQupol4</vt:lpstr>
      <vt:lpstr>Radial!tlccQupol4</vt:lpstr>
      <vt:lpstr>'Axial Cyl Housed'!tlccQupol5</vt:lpstr>
      <vt:lpstr>'Centrif Housed'!tlccQupol5</vt:lpstr>
      <vt:lpstr>'Centrif Unhous'!tlccQupol5</vt:lpstr>
      <vt:lpstr>'Inline-Mixed'!tlccQupol5</vt:lpstr>
      <vt:lpstr>Panel!tlccQupol5</vt:lpstr>
      <vt:lpstr>'Power Roof Vent'!tlccQupol5</vt:lpstr>
      <vt:lpstr>Radial!tlccQupol5</vt:lpstr>
      <vt:lpstr>'Axial Cyl Housed'!tlccQupol6</vt:lpstr>
      <vt:lpstr>'Centrif Housed'!tlccQupol6</vt:lpstr>
      <vt:lpstr>'Centrif Unhous'!tlccQupol6</vt:lpstr>
      <vt:lpstr>'Inline-Mixed'!tlccQupol6</vt:lpstr>
      <vt:lpstr>Panel!tlccQupol6</vt:lpstr>
      <vt:lpstr>'Power Roof Vent'!tlccQupol6</vt:lpstr>
      <vt:lpstr>Radial!tlccQupol6</vt:lpstr>
      <vt:lpstr>Shipments!tmiaAll</vt:lpstr>
      <vt:lpstr>Shipments!tmiaAxH</vt:lpstr>
      <vt:lpstr>Shipments!tmiaCnH</vt:lpstr>
      <vt:lpstr>Shipments!tmiaCnU</vt:lpstr>
      <vt:lpstr>Shipments!tmiaInMx</vt:lpstr>
      <vt:lpstr>Shipments!tmiaMktAxH</vt:lpstr>
      <vt:lpstr>Shipments!tmiaMktCnH</vt:lpstr>
      <vt:lpstr>Shipments!tmiaMktCnU</vt:lpstr>
      <vt:lpstr>Shipments!tmiaMktInMx</vt:lpstr>
      <vt:lpstr>Shipments!tmiaMktPan</vt:lpstr>
      <vt:lpstr>Shipments!tmiaMktPRV</vt:lpstr>
      <vt:lpstr>Shipments!tmiaMktRad</vt:lpstr>
      <vt:lpstr>Shipments!tmiaPan</vt:lpstr>
      <vt:lpstr>Shipments!tmiaPRV</vt:lpstr>
      <vt:lpstr>Shipments!tmiaRad</vt:lpstr>
      <vt:lpstr>Shipments!tmiaShrAxH</vt:lpstr>
      <vt:lpstr>Shipments!tmiaShrAxH0</vt:lpstr>
      <vt:lpstr>Shipments!tmiaShrAxH1</vt:lpstr>
      <vt:lpstr>Shipments!tmiaShrAxH2</vt:lpstr>
      <vt:lpstr>Shipments!tmiaShrAxH3</vt:lpstr>
      <vt:lpstr>Shipments!tmiaShrAxH4</vt:lpstr>
      <vt:lpstr>Shipments!tmiaShrAxH5</vt:lpstr>
      <vt:lpstr>Shipments!tmiaShrAxH6</vt:lpstr>
      <vt:lpstr>Shipments!tmiaShrCnH</vt:lpstr>
      <vt:lpstr>Shipments!tmiaShrCnH0</vt:lpstr>
      <vt:lpstr>Shipments!tmiaShrCnH1</vt:lpstr>
      <vt:lpstr>Shipments!tmiaShrCnH2</vt:lpstr>
      <vt:lpstr>Shipments!tmiaShrCnH3</vt:lpstr>
      <vt:lpstr>Shipments!tmiaShrCnH4</vt:lpstr>
      <vt:lpstr>Shipments!tmiaShrCnH5</vt:lpstr>
      <vt:lpstr>Shipments!tmiaShrCnH6</vt:lpstr>
      <vt:lpstr>Shipments!tmiaShrCnU</vt:lpstr>
      <vt:lpstr>Shipments!tmiaShrCnU0</vt:lpstr>
      <vt:lpstr>Shipments!tmiaShrCnU1</vt:lpstr>
      <vt:lpstr>Shipments!tmiaShrCnU2</vt:lpstr>
      <vt:lpstr>Shipments!tmiaShrCnU3</vt:lpstr>
      <vt:lpstr>Shipments!tmiaShrCnU4</vt:lpstr>
      <vt:lpstr>Shipments!tmiaShrCnU5</vt:lpstr>
      <vt:lpstr>Shipments!tmiaShrCnU6</vt:lpstr>
      <vt:lpstr>Shipments!tmiaShrInMx</vt:lpstr>
      <vt:lpstr>Shipments!tmiaShrInMx0</vt:lpstr>
      <vt:lpstr>Shipments!tmiaShrInMx1</vt:lpstr>
      <vt:lpstr>Shipments!tmiaShrInMx2</vt:lpstr>
      <vt:lpstr>Shipments!tmiaShrInMx3</vt:lpstr>
      <vt:lpstr>Shipments!tmiaShrInMx4</vt:lpstr>
      <vt:lpstr>Shipments!tmiaShrInMx5</vt:lpstr>
      <vt:lpstr>Shipments!tmiaShrInMx6</vt:lpstr>
      <vt:lpstr>Shipments!tmiaShrPan</vt:lpstr>
      <vt:lpstr>Shipments!tmiaShrPan0</vt:lpstr>
      <vt:lpstr>Shipments!tmiaShrPan1</vt:lpstr>
      <vt:lpstr>Shipments!tmiaShrPan2</vt:lpstr>
      <vt:lpstr>Shipments!tmiaShrPan3</vt:lpstr>
      <vt:lpstr>Shipments!tmiaShrPan4</vt:lpstr>
      <vt:lpstr>Shipments!tmiaShrPan5</vt:lpstr>
      <vt:lpstr>Shipments!tmiaShrPan6</vt:lpstr>
      <vt:lpstr>Shipments!tmiaShrPRV</vt:lpstr>
      <vt:lpstr>Shipments!tmiaShrPRV0</vt:lpstr>
      <vt:lpstr>Shipments!tmiaShrPRV1</vt:lpstr>
      <vt:lpstr>Shipments!tmiaShrPRV2</vt:lpstr>
      <vt:lpstr>Shipments!tmiaShrPRV3</vt:lpstr>
      <vt:lpstr>Shipments!tmiaShrPRV4</vt:lpstr>
      <vt:lpstr>Shipments!tmiaShrPRV5</vt:lpstr>
      <vt:lpstr>Shipments!tmiaShrPRV6</vt:lpstr>
      <vt:lpstr>Shipments!tmiaShrRad</vt:lpstr>
      <vt:lpstr>Shipments!tmiaShrRad0</vt:lpstr>
      <vt:lpstr>Shipments!tmiaShrRad1</vt:lpstr>
      <vt:lpstr>Shipments!tmiaShrRad2</vt:lpstr>
      <vt:lpstr>Shipments!tmiaShrRad3</vt:lpstr>
      <vt:lpstr>Shipments!tmiaShrRad4</vt:lpstr>
      <vt:lpstr>Shipments!tmiaShrRad5</vt:lpstr>
      <vt:lpstr>Shipments!tmiaShrRad6</vt:lpstr>
      <vt:lpstr>tMktAxH</vt:lpstr>
      <vt:lpstr>Shipments!tMktAxHBC</vt:lpstr>
      <vt:lpstr>tMktAxU</vt:lpstr>
      <vt:lpstr>tMktCnH</vt:lpstr>
      <vt:lpstr>Shipments!tMktCnHBC</vt:lpstr>
      <vt:lpstr>tMktCnU</vt:lpstr>
      <vt:lpstr>Shipments!tMktCnUBC</vt:lpstr>
      <vt:lpstr>tMktInMx</vt:lpstr>
      <vt:lpstr>Shipments!tMktInMxBC</vt:lpstr>
      <vt:lpstr>Shipments!tMktPanBC</vt:lpstr>
      <vt:lpstr>tMktPRV</vt:lpstr>
      <vt:lpstr>Shipments!tMktPRVBC</vt:lpstr>
      <vt:lpstr>tMktRad</vt:lpstr>
      <vt:lpstr>Shipments!tMktRadBC</vt:lpstr>
      <vt:lpstr>'Axial Cyl Housed'!tnet</vt:lpstr>
      <vt:lpstr>'Centrif Housed'!tnet</vt:lpstr>
      <vt:lpstr>'Centrif Unhous'!tnet</vt:lpstr>
      <vt:lpstr>'Inline-Mixed'!tnet</vt:lpstr>
      <vt:lpstr>Panel!tnet</vt:lpstr>
      <vt:lpstr>'Power Roof Vent'!tnet</vt:lpstr>
      <vt:lpstr>Radial!tnet</vt:lpstr>
      <vt:lpstr>'Axial Cyl Housed'!tnetU</vt:lpstr>
      <vt:lpstr>'Centrif Housed'!tnetU</vt:lpstr>
      <vt:lpstr>'Centrif Unhous'!tnetU</vt:lpstr>
      <vt:lpstr>'Inline-Mixed'!tnetU</vt:lpstr>
      <vt:lpstr>Panel!tnetU</vt:lpstr>
      <vt:lpstr>'Power Roof Vent'!tnetU</vt:lpstr>
      <vt:lpstr>Radial!tnetU</vt:lpstr>
      <vt:lpstr>tp2fElec</vt:lpstr>
      <vt:lpstr>tPIdxAll</vt:lpstr>
      <vt:lpstr>'Price Index'!tPIdxAll1</vt:lpstr>
      <vt:lpstr>'Price Index'!tPIdxAll2</vt:lpstr>
      <vt:lpstr>'Price Index'!tPIdxAll3</vt:lpstr>
      <vt:lpstr>'Axial Cyl Housed'!tpolEff0</vt:lpstr>
      <vt:lpstr>'Centrif Housed'!tpolEff0</vt:lpstr>
      <vt:lpstr>'Centrif Unhous'!tpolEff0</vt:lpstr>
      <vt:lpstr>'Inline-Mixed'!tpolEff0</vt:lpstr>
      <vt:lpstr>Panel!tpolEff0</vt:lpstr>
      <vt:lpstr>'Power Roof Vent'!tpolEff0</vt:lpstr>
      <vt:lpstr>Radial!tpolEff0</vt:lpstr>
      <vt:lpstr>'Axial Cyl Housed'!tpolEff1</vt:lpstr>
      <vt:lpstr>'Centrif Housed'!tpolEff1</vt:lpstr>
      <vt:lpstr>'Centrif Unhous'!tpolEff1</vt:lpstr>
      <vt:lpstr>'Inline-Mixed'!tpolEff1</vt:lpstr>
      <vt:lpstr>Panel!tpolEff1</vt:lpstr>
      <vt:lpstr>'Power Roof Vent'!tpolEff1</vt:lpstr>
      <vt:lpstr>Radial!tpolEff1</vt:lpstr>
      <vt:lpstr>'Axial Cyl Housed'!tpolEff2</vt:lpstr>
      <vt:lpstr>'Centrif Housed'!tpolEff2</vt:lpstr>
      <vt:lpstr>'Centrif Unhous'!tpolEff2</vt:lpstr>
      <vt:lpstr>'Inline-Mixed'!tpolEff2</vt:lpstr>
      <vt:lpstr>Panel!tpolEff2</vt:lpstr>
      <vt:lpstr>'Power Roof Vent'!tpolEff2</vt:lpstr>
      <vt:lpstr>Radial!tpolEff2</vt:lpstr>
      <vt:lpstr>'Axial Cyl Housed'!tpolEff3</vt:lpstr>
      <vt:lpstr>'Centrif Housed'!tpolEff3</vt:lpstr>
      <vt:lpstr>'Centrif Unhous'!tpolEff3</vt:lpstr>
      <vt:lpstr>'Inline-Mixed'!tpolEff3</vt:lpstr>
      <vt:lpstr>Panel!tpolEff3</vt:lpstr>
      <vt:lpstr>'Power Roof Vent'!tpolEff3</vt:lpstr>
      <vt:lpstr>Radial!tpolEff3</vt:lpstr>
      <vt:lpstr>'Axial Cyl Housed'!tpolEff4</vt:lpstr>
      <vt:lpstr>'Centrif Housed'!tpolEff4</vt:lpstr>
      <vt:lpstr>'Centrif Unhous'!tpolEff4</vt:lpstr>
      <vt:lpstr>'Inline-Mixed'!tpolEff4</vt:lpstr>
      <vt:lpstr>Panel!tpolEff4</vt:lpstr>
      <vt:lpstr>'Power Roof Vent'!tpolEff4</vt:lpstr>
      <vt:lpstr>Radial!tpolEff4</vt:lpstr>
      <vt:lpstr>'Axial Cyl Housed'!tpolEff5</vt:lpstr>
      <vt:lpstr>'Centrif Housed'!tpolEff5</vt:lpstr>
      <vt:lpstr>'Centrif Unhous'!tpolEff5</vt:lpstr>
      <vt:lpstr>'Inline-Mixed'!tpolEff5</vt:lpstr>
      <vt:lpstr>Panel!tpolEff5</vt:lpstr>
      <vt:lpstr>'Power Roof Vent'!tpolEff5</vt:lpstr>
      <vt:lpstr>Radial!tpolEff5</vt:lpstr>
      <vt:lpstr>'Axial Cyl Housed'!tpolEff6</vt:lpstr>
      <vt:lpstr>'Centrif Housed'!tpolEff6</vt:lpstr>
      <vt:lpstr>'Centrif Unhous'!tpolEff6</vt:lpstr>
      <vt:lpstr>'Inline-Mixed'!tpolEff6</vt:lpstr>
      <vt:lpstr>Panel!tpolEff6</vt:lpstr>
      <vt:lpstr>'Power Roof Vent'!tpolEff6</vt:lpstr>
      <vt:lpstr>Radial!tpolEff6</vt:lpstr>
      <vt:lpstr>tPrcElec</vt:lpstr>
      <vt:lpstr>'Energy Price'!tPrcElecH</vt:lpstr>
      <vt:lpstr>'Energy Price'!tPrcElecL</vt:lpstr>
      <vt:lpstr>'Energy Price'!tPrcElecR</vt:lpstr>
      <vt:lpstr>tpSurvAxH</vt:lpstr>
      <vt:lpstr>tpSurvAxU</vt:lpstr>
      <vt:lpstr>tpSurvCnH</vt:lpstr>
      <vt:lpstr>tpSurvCnU</vt:lpstr>
      <vt:lpstr>tpSurvInMx</vt:lpstr>
      <vt:lpstr>tpSurvPan</vt:lpstr>
      <vt:lpstr>tpSurvPRV</vt:lpstr>
      <vt:lpstr>tpSurvRad</vt:lpstr>
      <vt:lpstr>ts2bElec</vt:lpstr>
      <vt:lpstr>ts2pElecAxH</vt:lpstr>
      <vt:lpstr>ts2pElecCnH</vt:lpstr>
      <vt:lpstr>ts2pElecCnU</vt:lpstr>
      <vt:lpstr>ts2pElecInMx</vt:lpstr>
      <vt:lpstr>ts2pElecPan</vt:lpstr>
      <vt:lpstr>ts2pElecPRV</vt:lpstr>
      <vt:lpstr>ts2pElecRad</vt:lpstr>
      <vt:lpstr>'Energy Factors'!ts2sCom</vt:lpstr>
      <vt:lpstr>'Energy Factors'!ts2sInd</vt:lpstr>
      <vt:lpstr>'Axial Cyl Housed'!tsavElec</vt:lpstr>
      <vt:lpstr>'Centrif Housed'!tsavElec</vt:lpstr>
      <vt:lpstr>'Centrif Unhous'!tsavElec</vt:lpstr>
      <vt:lpstr>'Inline-Mixed'!tsavElec</vt:lpstr>
      <vt:lpstr>Panel!tsavElec</vt:lpstr>
      <vt:lpstr>'Power Roof Vent'!tsavElec</vt:lpstr>
      <vt:lpstr>Radial!tsavElec</vt:lpstr>
      <vt:lpstr>'Axial Cyl Housed'!tsavUElec</vt:lpstr>
      <vt:lpstr>'Centrif Housed'!tsavUElec</vt:lpstr>
      <vt:lpstr>'Centrif Unhous'!tsavUElec</vt:lpstr>
      <vt:lpstr>'Inline-Mixed'!tsavUElec</vt:lpstr>
      <vt:lpstr>Panel!tsavUElec</vt:lpstr>
      <vt:lpstr>'Power Roof Vent'!tsavUElec</vt:lpstr>
      <vt:lpstr>Radial!tsavUElec</vt:lpstr>
      <vt:lpstr>tShpAll</vt:lpstr>
      <vt:lpstr>tShpAll1BC</vt:lpstr>
      <vt:lpstr>tShpAll2BC</vt:lpstr>
      <vt:lpstr>tShpAll3BC</vt:lpstr>
      <vt:lpstr>tShpAllBC</vt:lpstr>
      <vt:lpstr>tShpAllStd</vt:lpstr>
      <vt:lpstr>tShpAxH</vt:lpstr>
      <vt:lpstr>tShpAxHBC</vt:lpstr>
      <vt:lpstr>tShpAxHStd</vt:lpstr>
      <vt:lpstr>tShpAxU</vt:lpstr>
      <vt:lpstr>tShpCnH</vt:lpstr>
      <vt:lpstr>tShpCnHBC</vt:lpstr>
      <vt:lpstr>tShpCnHStd</vt:lpstr>
      <vt:lpstr>tShpCnU</vt:lpstr>
      <vt:lpstr>tShpCnUBC</vt:lpstr>
      <vt:lpstr>tShpCnUStd</vt:lpstr>
      <vt:lpstr>tShpInMx</vt:lpstr>
      <vt:lpstr>tShpInMxBC</vt:lpstr>
      <vt:lpstr>tShpInMxStd</vt:lpstr>
      <vt:lpstr>tShpPanBC</vt:lpstr>
      <vt:lpstr>tShpPanStd</vt:lpstr>
      <vt:lpstr>tShpPRV</vt:lpstr>
      <vt:lpstr>tShpPRVBC</vt:lpstr>
      <vt:lpstr>tShpPRVStd</vt:lpstr>
      <vt:lpstr>tShpRad</vt:lpstr>
      <vt:lpstr>tShpRadBC</vt:lpstr>
      <vt:lpstr>tShpRadStd</vt:lpstr>
      <vt:lpstr>'Energy Factors'!tshrAxHCom</vt:lpstr>
      <vt:lpstr>'Energy Factors'!tshrAxHInd</vt:lpstr>
      <vt:lpstr>'Energy Factors'!tshrCnHCom</vt:lpstr>
      <vt:lpstr>'Energy Factors'!tshrCnHInd</vt:lpstr>
      <vt:lpstr>'Energy Factors'!tshrCnUCom</vt:lpstr>
      <vt:lpstr>'Energy Factors'!tshrCnUInd</vt:lpstr>
      <vt:lpstr>'Energy Factors'!tshrInMxCom</vt:lpstr>
      <vt:lpstr>'Energy Factors'!tshrInMxInd</vt:lpstr>
      <vt:lpstr>'Energy Factors'!tshrPanCom</vt:lpstr>
      <vt:lpstr>'Energy Factors'!tshrPanInd</vt:lpstr>
      <vt:lpstr>'Energy Factors'!tshrPRVCom</vt:lpstr>
      <vt:lpstr>'Energy Factors'!tshrPRVInd</vt:lpstr>
      <vt:lpstr>'Energy Factors'!tshrRadCom</vt:lpstr>
      <vt:lpstr>'Energy Factors'!tshrRadInd</vt:lpstr>
      <vt:lpstr>tsl1stYear</vt:lpstr>
      <vt:lpstr>tslNYears</vt:lpstr>
      <vt:lpstr>Shipments!tStkAllBC</vt:lpstr>
      <vt:lpstr>Shipments!tStkAllStd</vt:lpstr>
      <vt:lpstr>tStkAxH</vt:lpstr>
      <vt:lpstr>Shipments!tStkAxHBC</vt:lpstr>
      <vt:lpstr>Shipments!tStkAxHStd</vt:lpstr>
      <vt:lpstr>tStkAxU</vt:lpstr>
      <vt:lpstr>tStkCnH</vt:lpstr>
      <vt:lpstr>Shipments!tStkCnHBC</vt:lpstr>
      <vt:lpstr>Shipments!tStkCnHStd</vt:lpstr>
      <vt:lpstr>tStkCnU</vt:lpstr>
      <vt:lpstr>Shipments!tStkCnUBC</vt:lpstr>
      <vt:lpstr>Shipments!tStkCnUStd</vt:lpstr>
      <vt:lpstr>tStkInMx</vt:lpstr>
      <vt:lpstr>Shipments!tStkInMxBC</vt:lpstr>
      <vt:lpstr>Shipments!tStkInMxStd</vt:lpstr>
      <vt:lpstr>Shipments!tStkPanBC</vt:lpstr>
      <vt:lpstr>Shipments!tStkPanStd</vt:lpstr>
      <vt:lpstr>tStkPRV</vt:lpstr>
      <vt:lpstr>Shipments!tStkPRVBC</vt:lpstr>
      <vt:lpstr>Shipments!tStkPRVStd</vt:lpstr>
      <vt:lpstr>tStkRad</vt:lpstr>
      <vt:lpstr>Shipments!tStkRadBC</vt:lpstr>
      <vt:lpstr>Shipments!tStkRadStd</vt:lpstr>
      <vt:lpstr>tSumm</vt:lpstr>
      <vt:lpstr>'Energy Price'!tTrendHElec</vt:lpstr>
      <vt:lpstr>'Energy Price'!tTrendLElec</vt:lpstr>
      <vt:lpstr>'Energy Price'!tTrendRElec</vt:lpstr>
      <vt:lpstr>vadAxH</vt:lpstr>
      <vt:lpstr>vadAxU</vt:lpstr>
      <vt:lpstr>vadCnH</vt:lpstr>
      <vt:lpstr>vadCnU</vt:lpstr>
      <vt:lpstr>vadInMx</vt:lpstr>
      <vt:lpstr>vadPRV</vt:lpstr>
      <vt:lpstr>vadRad</vt:lpstr>
      <vt:lpstr>yearC</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AHRI - Summary of the National Impact Analysis Spreadsheet</dc:title>
  <dc:creator>hblum</dc:creator>
  <cp:lastModifiedBy>Paul, Patricia@Energy</cp:lastModifiedBy>
  <dcterms:created xsi:type="dcterms:W3CDTF">2016-01-13T04:46:43Z</dcterms:created>
  <dcterms:modified xsi:type="dcterms:W3CDTF">2017-09-18T20:26:42Z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74aa4823-434b-4608-a3e7-6896357c7131</vt:lpwstr>
  </property>
  <property fmtid="{D5CDD505-2E9C-101B-9397-08002B2CF9AE}" pid="4" name="Subject_x0020_Areas">
    <vt:lpwstr/>
  </property>
  <property fmtid="{D5CDD505-2E9C-101B-9397-08002B2CF9AE}" pid="5" name="_CopySource">
    <vt:lpwstr>http://efilingspinternal/PendingDocuments/17-AAER-06/20170918T134626_AHRI__Summary_of_the_National_Impact_Analysis_Spreadsheet.xlsx</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7;#Public|5fee9918-69d5-40f5-9767-4e66d03898ce</vt:lpwstr>
  </property>
  <property fmtid="{D5CDD505-2E9C-101B-9397-08002B2CF9AE}" pid="9" name="Order">
    <vt:r8>2441900</vt:r8>
  </property>
  <property fmtid="{D5CDD505-2E9C-101B-9397-08002B2CF9AE}" pid="10" name="Document Type">
    <vt:lpwstr>3;#Document|f3c81208-9d0f-49cc-afc5-e227f36ec0e7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