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filterPrivacy="1" defaultThemeVersion="166925"/>
  <bookViews>
    <workbookView xWindow="0" yWindow="0" windowWidth="23016" windowHeight="8580" tabRatio="852" firstSheet="1" activeTab="2" xr2:uid="{00000000-000D-0000-FFFF-FFFF00000000}"/>
  </bookViews>
  <sheets>
    <sheet name="Summary" sheetId="9" r:id="rId1"/>
    <sheet name="Model procedure" sheetId="22" r:id="rId2"/>
    <sheet name="Component Cost Model" sheetId="12" r:id="rId3"/>
    <sheet name="Costs comparison " sheetId="21" r:id="rId4"/>
    <sheet name="Scenario 4 2014" sheetId="15" r:id="rId5"/>
    <sheet name="Scenario 4 2015" sheetId="16" r:id="rId6"/>
    <sheet name="Scenario 4 2016" sheetId="17" r:id="rId7"/>
    <sheet name="Scenario 5 2014" sheetId="19" r:id="rId8"/>
    <sheet name="Scenario 5 2015" sheetId="20" r:id="rId9"/>
    <sheet name="Scenario 5 2016" sheetId="14" r:id="rId10"/>
    <sheet name="Load Profiles" sheetId="13" r:id="rId11"/>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12" l="1"/>
  <c r="C26" i="21"/>
  <c r="E16" i="21" l="1"/>
  <c r="E14" i="21"/>
  <c r="F17" i="21" l="1"/>
  <c r="E17" i="21"/>
  <c r="F16" i="21"/>
  <c r="E10" i="21"/>
  <c r="E15" i="21"/>
  <c r="F57" i="12" l="1"/>
  <c r="E57" i="12"/>
  <c r="F48" i="12"/>
  <c r="E48" i="12"/>
  <c r="F39" i="12"/>
  <c r="E39" i="12"/>
  <c r="F29" i="12"/>
  <c r="E29" i="12"/>
  <c r="F19" i="12"/>
  <c r="E19" i="12"/>
  <c r="D29" i="12"/>
  <c r="D19" i="12"/>
  <c r="D9" i="12"/>
  <c r="F58" i="12"/>
  <c r="E58" i="12"/>
  <c r="F9" i="12"/>
  <c r="F64" i="12"/>
  <c r="E64" i="12"/>
  <c r="F55" i="12"/>
  <c r="E55" i="12"/>
  <c r="F37" i="12"/>
  <c r="F36" i="12"/>
  <c r="F35" i="12"/>
  <c r="F34" i="12"/>
  <c r="E37" i="12"/>
  <c r="E36" i="12"/>
  <c r="E35" i="12"/>
  <c r="G35" i="12" s="1"/>
  <c r="E34" i="12"/>
  <c r="F27" i="12"/>
  <c r="F26" i="12"/>
  <c r="F25" i="12"/>
  <c r="F24" i="12"/>
  <c r="E27" i="12"/>
  <c r="E26" i="12"/>
  <c r="E25" i="12"/>
  <c r="E24" i="12"/>
  <c r="F17" i="12"/>
  <c r="F15" i="12"/>
  <c r="E17" i="12"/>
  <c r="E15" i="12"/>
  <c r="G39" i="12" l="1"/>
  <c r="H39" i="12" s="1"/>
  <c r="G29" i="12"/>
  <c r="H29" i="12" s="1"/>
  <c r="G57" i="12"/>
  <c r="H57" i="12" s="1"/>
  <c r="G19" i="12"/>
  <c r="H19" i="12" s="1"/>
  <c r="G48" i="12"/>
  <c r="H48" i="12" s="1"/>
  <c r="G55" i="12"/>
  <c r="H55" i="12" s="1"/>
  <c r="I55" i="12" s="1"/>
  <c r="H35" i="12"/>
  <c r="I35" i="12" s="1"/>
  <c r="G37" i="12"/>
  <c r="G15" i="12"/>
  <c r="G24" i="12"/>
  <c r="H24" i="12" s="1"/>
  <c r="I24" i="12" s="1"/>
  <c r="G64" i="12"/>
  <c r="G58" i="12"/>
  <c r="H58" i="12" s="1"/>
  <c r="I58" i="12" s="1"/>
  <c r="G9" i="12"/>
  <c r="H9" i="12" s="1"/>
  <c r="G17" i="12"/>
  <c r="G25" i="12"/>
  <c r="G34" i="12"/>
  <c r="G26" i="12"/>
  <c r="G36" i="12"/>
  <c r="G27" i="12"/>
  <c r="F49" i="12"/>
  <c r="E49" i="12"/>
  <c r="F63" i="12"/>
  <c r="E63" i="12"/>
  <c r="F62" i="12"/>
  <c r="E62" i="12"/>
  <c r="F61" i="12"/>
  <c r="E61" i="12"/>
  <c r="F60" i="12"/>
  <c r="E60" i="12"/>
  <c r="F59" i="12"/>
  <c r="E59" i="12"/>
  <c r="AB25" i="20"/>
  <c r="AA25" i="20"/>
  <c r="Z25" i="20"/>
  <c r="Y25" i="20"/>
  <c r="Y7" i="20" s="1"/>
  <c r="Y13" i="20" s="1"/>
  <c r="X25" i="20"/>
  <c r="W25" i="20"/>
  <c r="V25" i="20"/>
  <c r="U25" i="20"/>
  <c r="U7" i="20" s="1"/>
  <c r="U13" i="20" s="1"/>
  <c r="T25" i="20"/>
  <c r="S25" i="20"/>
  <c r="R25" i="20"/>
  <c r="Q25" i="20"/>
  <c r="Q7" i="20" s="1"/>
  <c r="Q13" i="20" s="1"/>
  <c r="P25" i="20"/>
  <c r="O25" i="20"/>
  <c r="N25" i="20"/>
  <c r="M25" i="20"/>
  <c r="M7" i="20" s="1"/>
  <c r="M13" i="20" s="1"/>
  <c r="L25" i="20"/>
  <c r="K25" i="20"/>
  <c r="J25" i="20"/>
  <c r="I25" i="20"/>
  <c r="I7" i="20" s="1"/>
  <c r="I13" i="20" s="1"/>
  <c r="H25" i="20"/>
  <c r="G25" i="20"/>
  <c r="F25" i="20"/>
  <c r="E25" i="20"/>
  <c r="E7" i="20" s="1"/>
  <c r="E13" i="20" s="1"/>
  <c r="AB15" i="20"/>
  <c r="AA15" i="20"/>
  <c r="Z15" i="20"/>
  <c r="X15" i="20"/>
  <c r="W15" i="20"/>
  <c r="V15" i="20"/>
  <c r="T15" i="20"/>
  <c r="S15" i="20"/>
  <c r="R15" i="20"/>
  <c r="P15" i="20"/>
  <c r="O15" i="20"/>
  <c r="N15" i="20"/>
  <c r="L15" i="20"/>
  <c r="K15" i="20"/>
  <c r="J15" i="20"/>
  <c r="H15" i="20"/>
  <c r="G15" i="20"/>
  <c r="F15" i="20"/>
  <c r="AB7" i="20"/>
  <c r="AB13" i="20" s="1"/>
  <c r="AA7" i="20"/>
  <c r="AA13" i="20" s="1"/>
  <c r="Z7" i="20"/>
  <c r="Z13" i="20" s="1"/>
  <c r="X7" i="20"/>
  <c r="X13" i="20" s="1"/>
  <c r="W7" i="20"/>
  <c r="W13" i="20" s="1"/>
  <c r="V7" i="20"/>
  <c r="V13" i="20" s="1"/>
  <c r="T7" i="20"/>
  <c r="T13" i="20" s="1"/>
  <c r="S7" i="20"/>
  <c r="S13" i="20" s="1"/>
  <c r="R7" i="20"/>
  <c r="R13" i="20" s="1"/>
  <c r="P7" i="20"/>
  <c r="P13" i="20" s="1"/>
  <c r="O7" i="20"/>
  <c r="O13" i="20" s="1"/>
  <c r="N7" i="20"/>
  <c r="N13" i="20" s="1"/>
  <c r="L7" i="20"/>
  <c r="L13" i="20" s="1"/>
  <c r="K7" i="20"/>
  <c r="K13" i="20" s="1"/>
  <c r="J7" i="20"/>
  <c r="J13" i="20" s="1"/>
  <c r="H7" i="20"/>
  <c r="H13" i="20" s="1"/>
  <c r="G7" i="20"/>
  <c r="G13" i="20" s="1"/>
  <c r="F7" i="20"/>
  <c r="F13" i="20" s="1"/>
  <c r="F54" i="12"/>
  <c r="E54" i="12"/>
  <c r="F53" i="12"/>
  <c r="E53" i="12"/>
  <c r="AB25" i="19"/>
  <c r="AA25" i="19"/>
  <c r="Z25" i="19"/>
  <c r="Z7" i="19" s="1"/>
  <c r="Z13" i="19" s="1"/>
  <c r="Y25" i="19"/>
  <c r="Y7" i="19" s="1"/>
  <c r="Y13" i="19" s="1"/>
  <c r="X25" i="19"/>
  <c r="W25" i="19"/>
  <c r="V25" i="19"/>
  <c r="V15" i="19" s="1"/>
  <c r="V20" i="19" s="1"/>
  <c r="V21" i="19" s="1"/>
  <c r="U25" i="19"/>
  <c r="U7" i="19" s="1"/>
  <c r="U13" i="19" s="1"/>
  <c r="T25" i="19"/>
  <c r="S25" i="19"/>
  <c r="R25" i="19"/>
  <c r="R15" i="19" s="1"/>
  <c r="R20" i="19" s="1"/>
  <c r="R21" i="19" s="1"/>
  <c r="Q25" i="19"/>
  <c r="Q7" i="19" s="1"/>
  <c r="Q13" i="19" s="1"/>
  <c r="P25" i="19"/>
  <c r="O25" i="19"/>
  <c r="N25" i="19"/>
  <c r="N15" i="19" s="1"/>
  <c r="N20" i="19" s="1"/>
  <c r="N21" i="19" s="1"/>
  <c r="M25" i="19"/>
  <c r="M7" i="19" s="1"/>
  <c r="M13" i="19" s="1"/>
  <c r="L25" i="19"/>
  <c r="K25" i="19"/>
  <c r="J25" i="19"/>
  <c r="J7" i="19" s="1"/>
  <c r="J13" i="19" s="1"/>
  <c r="I25" i="19"/>
  <c r="I7" i="19" s="1"/>
  <c r="I13" i="19" s="1"/>
  <c r="H25" i="19"/>
  <c r="G25" i="19"/>
  <c r="F25" i="19"/>
  <c r="F15" i="19" s="1"/>
  <c r="F20" i="19" s="1"/>
  <c r="F21" i="19" s="1"/>
  <c r="E25" i="19"/>
  <c r="E7" i="19" s="1"/>
  <c r="E13" i="19" s="1"/>
  <c r="AB15" i="19"/>
  <c r="AA15" i="19"/>
  <c r="Z15" i="19"/>
  <c r="X15" i="19"/>
  <c r="W15" i="19"/>
  <c r="T15" i="19"/>
  <c r="T20" i="19" s="1"/>
  <c r="T21" i="19" s="1"/>
  <c r="S15" i="19"/>
  <c r="P15" i="19"/>
  <c r="O15" i="19"/>
  <c r="O20" i="19" s="1"/>
  <c r="O21" i="19" s="1"/>
  <c r="L15" i="19"/>
  <c r="K15" i="19"/>
  <c r="J15" i="19"/>
  <c r="H15" i="19"/>
  <c r="G15" i="19"/>
  <c r="AA13" i="19"/>
  <c r="K13" i="19"/>
  <c r="AB7" i="19"/>
  <c r="AB13" i="19" s="1"/>
  <c r="AA7" i="19"/>
  <c r="X7" i="19"/>
  <c r="X13" i="19" s="1"/>
  <c r="W7" i="19"/>
  <c r="W13" i="19" s="1"/>
  <c r="V7" i="19"/>
  <c r="V13" i="19" s="1"/>
  <c r="T7" i="19"/>
  <c r="T13" i="19" s="1"/>
  <c r="S7" i="19"/>
  <c r="S13" i="19" s="1"/>
  <c r="R7" i="19"/>
  <c r="R13" i="19" s="1"/>
  <c r="P7" i="19"/>
  <c r="P13" i="19" s="1"/>
  <c r="O7" i="19"/>
  <c r="O13" i="19" s="1"/>
  <c r="O16" i="19" s="1"/>
  <c r="N7" i="19"/>
  <c r="N13" i="19" s="1"/>
  <c r="L7" i="19"/>
  <c r="L13" i="19" s="1"/>
  <c r="L16" i="19" s="1"/>
  <c r="K7" i="19"/>
  <c r="H7" i="19"/>
  <c r="H13" i="19" s="1"/>
  <c r="H16" i="19" s="1"/>
  <c r="G7" i="19"/>
  <c r="G13" i="19" s="1"/>
  <c r="G16" i="19" s="1"/>
  <c r="F7" i="19"/>
  <c r="F13" i="19" s="1"/>
  <c r="C70" i="12"/>
  <c r="C68" i="12"/>
  <c r="F68" i="12" s="1"/>
  <c r="C69" i="12"/>
  <c r="E68" i="12"/>
  <c r="G16" i="20" l="1"/>
  <c r="L16" i="20"/>
  <c r="R16" i="20"/>
  <c r="W16" i="20"/>
  <c r="AB16" i="20"/>
  <c r="J16" i="20"/>
  <c r="O16" i="20"/>
  <c r="T16" i="20"/>
  <c r="Z16" i="20"/>
  <c r="AA16" i="19"/>
  <c r="H64" i="12"/>
  <c r="I64" i="12" s="1"/>
  <c r="H37" i="12"/>
  <c r="I37" i="12" s="1"/>
  <c r="H27" i="12"/>
  <c r="I27" i="12" s="1"/>
  <c r="H34" i="12"/>
  <c r="I34" i="12" s="1"/>
  <c r="H26" i="12"/>
  <c r="I26" i="12" s="1"/>
  <c r="H17" i="12"/>
  <c r="I17" i="12" s="1"/>
  <c r="H36" i="12"/>
  <c r="I36" i="12" s="1"/>
  <c r="H25" i="12"/>
  <c r="I25" i="12" s="1"/>
  <c r="H15" i="12"/>
  <c r="I15" i="12" s="1"/>
  <c r="F16" i="20"/>
  <c r="K16" i="20"/>
  <c r="P16" i="20"/>
  <c r="V16" i="20"/>
  <c r="AA16" i="20"/>
  <c r="P16" i="19"/>
  <c r="J16" i="19"/>
  <c r="W16" i="19"/>
  <c r="X16" i="19"/>
  <c r="H16" i="20"/>
  <c r="N16" i="20"/>
  <c r="S16" i="20"/>
  <c r="X16" i="20"/>
  <c r="AB16" i="19"/>
  <c r="K16" i="19"/>
  <c r="Z16" i="19"/>
  <c r="S16" i="19"/>
  <c r="H20" i="20"/>
  <c r="H21" i="20" s="1"/>
  <c r="N20" i="20"/>
  <c r="N21" i="20" s="1"/>
  <c r="S20" i="20"/>
  <c r="S21" i="20" s="1"/>
  <c r="X20" i="20"/>
  <c r="X21" i="20" s="1"/>
  <c r="J20" i="20"/>
  <c r="J21" i="20" s="1"/>
  <c r="O20" i="20"/>
  <c r="O21" i="20" s="1"/>
  <c r="T20" i="20"/>
  <c r="T21" i="20" s="1"/>
  <c r="Z20" i="20"/>
  <c r="Z21" i="20" s="1"/>
  <c r="F20" i="20"/>
  <c r="F21" i="20" s="1"/>
  <c r="K20" i="20"/>
  <c r="K21" i="20" s="1"/>
  <c r="P20" i="20"/>
  <c r="P21" i="20" s="1"/>
  <c r="V20" i="20"/>
  <c r="V21" i="20" s="1"/>
  <c r="AA20" i="20"/>
  <c r="AA21" i="20" s="1"/>
  <c r="G20" i="20"/>
  <c r="G21" i="20" s="1"/>
  <c r="L20" i="20"/>
  <c r="L21" i="20" s="1"/>
  <c r="R20" i="20"/>
  <c r="R21" i="20" s="1"/>
  <c r="W20" i="20"/>
  <c r="W21" i="20" s="1"/>
  <c r="AB20" i="20"/>
  <c r="AB21" i="20" s="1"/>
  <c r="R18" i="19"/>
  <c r="R17" i="19"/>
  <c r="N18" i="19"/>
  <c r="N17" i="19"/>
  <c r="F18" i="19"/>
  <c r="F17" i="19"/>
  <c r="V18" i="19"/>
  <c r="V17" i="19"/>
  <c r="J20" i="19"/>
  <c r="J21" i="19" s="1"/>
  <c r="O18" i="19"/>
  <c r="O17" i="19"/>
  <c r="T18" i="19"/>
  <c r="T17" i="19"/>
  <c r="Z20" i="19"/>
  <c r="Z21" i="19" s="1"/>
  <c r="T16" i="19"/>
  <c r="K20" i="19"/>
  <c r="K21" i="19" s="1"/>
  <c r="P20" i="19"/>
  <c r="P21" i="19" s="1"/>
  <c r="AA20" i="19"/>
  <c r="AA21" i="19" s="1"/>
  <c r="V16" i="19"/>
  <c r="G20" i="19"/>
  <c r="G21" i="19" s="1"/>
  <c r="L20" i="19"/>
  <c r="L21" i="19" s="1"/>
  <c r="W20" i="19"/>
  <c r="W21" i="19" s="1"/>
  <c r="AB20" i="19"/>
  <c r="AB21" i="19" s="1"/>
  <c r="N16" i="19"/>
  <c r="F16" i="19"/>
  <c r="R16" i="19"/>
  <c r="H20" i="19"/>
  <c r="H21" i="19" s="1"/>
  <c r="S20" i="19"/>
  <c r="S21" i="19" s="1"/>
  <c r="X20" i="19"/>
  <c r="X21" i="19" s="1"/>
  <c r="G59" i="12"/>
  <c r="G62" i="12"/>
  <c r="F70" i="12"/>
  <c r="G70" i="12" s="1"/>
  <c r="F69" i="12"/>
  <c r="G69" i="12" s="1"/>
  <c r="G68" i="12"/>
  <c r="G61" i="12"/>
  <c r="G60" i="12"/>
  <c r="G49" i="12"/>
  <c r="G63" i="12"/>
  <c r="E15" i="20"/>
  <c r="E20" i="20" s="1"/>
  <c r="E21" i="20" s="1"/>
  <c r="I15" i="20"/>
  <c r="I20" i="20" s="1"/>
  <c r="I21" i="20" s="1"/>
  <c r="M15" i="20"/>
  <c r="M20" i="20" s="1"/>
  <c r="M21" i="20" s="1"/>
  <c r="Q15" i="20"/>
  <c r="Q20" i="20" s="1"/>
  <c r="Q21" i="20" s="1"/>
  <c r="U15" i="20"/>
  <c r="U20" i="20" s="1"/>
  <c r="U21" i="20" s="1"/>
  <c r="Y15" i="20"/>
  <c r="Y20" i="20" s="1"/>
  <c r="Y21" i="20" s="1"/>
  <c r="G54" i="12"/>
  <c r="G53" i="12"/>
  <c r="E15" i="19"/>
  <c r="E20" i="19" s="1"/>
  <c r="E21" i="19" s="1"/>
  <c r="I15" i="19"/>
  <c r="I20" i="19" s="1"/>
  <c r="I21" i="19" s="1"/>
  <c r="M15" i="19"/>
  <c r="M20" i="19" s="1"/>
  <c r="M21" i="19" s="1"/>
  <c r="Q15" i="19"/>
  <c r="Q20" i="19" s="1"/>
  <c r="Q21" i="19" s="1"/>
  <c r="U15" i="19"/>
  <c r="U20" i="19" s="1"/>
  <c r="U21" i="19" s="1"/>
  <c r="Y15" i="19"/>
  <c r="Y20" i="19" s="1"/>
  <c r="Y21" i="19" s="1"/>
  <c r="H54" i="12" l="1"/>
  <c r="I54" i="12" s="1"/>
  <c r="H49" i="12"/>
  <c r="I49" i="12" s="1"/>
  <c r="H62" i="12"/>
  <c r="I62" i="12" s="1"/>
  <c r="H60" i="12"/>
  <c r="I60" i="12" s="1"/>
  <c r="H61" i="12"/>
  <c r="I61" i="12" s="1"/>
  <c r="H53" i="12"/>
  <c r="I53" i="12" s="1"/>
  <c r="H63" i="12"/>
  <c r="I63" i="12" s="1"/>
  <c r="H59" i="12"/>
  <c r="I59" i="12" s="1"/>
  <c r="V22" i="19"/>
  <c r="F22" i="19"/>
  <c r="R22" i="19"/>
  <c r="O22" i="19"/>
  <c r="T22" i="19"/>
  <c r="N22" i="19"/>
  <c r="M16" i="19"/>
  <c r="M18" i="20"/>
  <c r="M17" i="20"/>
  <c r="R18" i="20"/>
  <c r="R17" i="20"/>
  <c r="V18" i="20"/>
  <c r="V17" i="20"/>
  <c r="Z18" i="20"/>
  <c r="Z17" i="20"/>
  <c r="X18" i="20"/>
  <c r="X17" i="20"/>
  <c r="Y18" i="20"/>
  <c r="Y17" i="20"/>
  <c r="I18" i="20"/>
  <c r="I17" i="20"/>
  <c r="L18" i="20"/>
  <c r="L17" i="20"/>
  <c r="P18" i="20"/>
  <c r="P17" i="20"/>
  <c r="T18" i="20"/>
  <c r="T17" i="20"/>
  <c r="S18" i="20"/>
  <c r="S17" i="20"/>
  <c r="E18" i="20"/>
  <c r="E17" i="20"/>
  <c r="AB18" i="20"/>
  <c r="AB17" i="20"/>
  <c r="G18" i="20"/>
  <c r="G17" i="20"/>
  <c r="K18" i="20"/>
  <c r="K17" i="20"/>
  <c r="O18" i="20"/>
  <c r="O17" i="20"/>
  <c r="N18" i="20"/>
  <c r="N17" i="20"/>
  <c r="U18" i="20"/>
  <c r="U17" i="20"/>
  <c r="Q18" i="20"/>
  <c r="Q17" i="20"/>
  <c r="W18" i="20"/>
  <c r="W17" i="20"/>
  <c r="AA18" i="20"/>
  <c r="AA17" i="20"/>
  <c r="F18" i="20"/>
  <c r="F17" i="20"/>
  <c r="J18" i="20"/>
  <c r="J17" i="20"/>
  <c r="H18" i="20"/>
  <c r="H17" i="20"/>
  <c r="G18" i="19"/>
  <c r="G17" i="19"/>
  <c r="M17" i="19"/>
  <c r="M18" i="19"/>
  <c r="E16" i="19"/>
  <c r="H18" i="19"/>
  <c r="H17" i="19"/>
  <c r="AB18" i="19"/>
  <c r="AB17" i="19"/>
  <c r="Y17" i="19"/>
  <c r="Y18" i="19"/>
  <c r="I18" i="19"/>
  <c r="I17" i="19"/>
  <c r="W18" i="19"/>
  <c r="W17" i="19"/>
  <c r="AA17" i="19"/>
  <c r="AA18" i="19"/>
  <c r="Z18" i="19"/>
  <c r="Z17" i="19"/>
  <c r="Q18" i="19"/>
  <c r="Q17" i="19"/>
  <c r="S17" i="19"/>
  <c r="S18" i="19"/>
  <c r="K17" i="19"/>
  <c r="K18" i="19"/>
  <c r="U17" i="19"/>
  <c r="U18" i="19"/>
  <c r="E18" i="19"/>
  <c r="E17" i="19"/>
  <c r="I16" i="19"/>
  <c r="X18" i="19"/>
  <c r="X17" i="19"/>
  <c r="L18" i="19"/>
  <c r="L17" i="19"/>
  <c r="P18" i="19"/>
  <c r="P17" i="19"/>
  <c r="J18" i="19"/>
  <c r="J17" i="19"/>
  <c r="G71" i="12"/>
  <c r="E16" i="20"/>
  <c r="U16" i="20"/>
  <c r="Y16" i="20"/>
  <c r="Q16" i="20"/>
  <c r="I16" i="20"/>
  <c r="M16" i="20"/>
  <c r="Q16" i="19"/>
  <c r="Y16" i="19"/>
  <c r="U16" i="19"/>
  <c r="J24" i="12" l="1"/>
  <c r="AB22" i="20"/>
  <c r="S22" i="20"/>
  <c r="X22" i="20"/>
  <c r="V22" i="20"/>
  <c r="Q22" i="20"/>
  <c r="K22" i="20"/>
  <c r="Y22" i="19"/>
  <c r="L22" i="20"/>
  <c r="Q22" i="19"/>
  <c r="U22" i="20"/>
  <c r="O22" i="20"/>
  <c r="G22" i="20"/>
  <c r="E22" i="20"/>
  <c r="T22" i="20"/>
  <c r="J22" i="19"/>
  <c r="H22" i="20"/>
  <c r="L22" i="19"/>
  <c r="U22" i="19"/>
  <c r="AC18" i="19"/>
  <c r="G22" i="19"/>
  <c r="S22" i="19"/>
  <c r="P22" i="19"/>
  <c r="X22" i="19"/>
  <c r="K22" i="19"/>
  <c r="AA22" i="19"/>
  <c r="I22" i="19"/>
  <c r="M22" i="19"/>
  <c r="F22" i="20"/>
  <c r="W22" i="20"/>
  <c r="D17" i="20"/>
  <c r="Z22" i="20"/>
  <c r="R22" i="20"/>
  <c r="J22" i="20"/>
  <c r="AA22" i="20"/>
  <c r="N22" i="20"/>
  <c r="P22" i="20"/>
  <c r="D17" i="19"/>
  <c r="AB22" i="19"/>
  <c r="AC17" i="19"/>
  <c r="Z22" i="19"/>
  <c r="W22" i="19"/>
  <c r="H22" i="19"/>
  <c r="I22" i="20"/>
  <c r="M22" i="20"/>
  <c r="Y22" i="20"/>
  <c r="AC18" i="20"/>
  <c r="AD18" i="20" s="1"/>
  <c r="AC17" i="20"/>
  <c r="E22" i="19"/>
  <c r="E43" i="12" l="1"/>
  <c r="F43" i="12"/>
  <c r="E42" i="12"/>
  <c r="F42" i="12"/>
  <c r="AB25" i="17"/>
  <c r="AA25" i="17"/>
  <c r="AA7" i="17" s="1"/>
  <c r="AA13" i="17" s="1"/>
  <c r="Z25" i="17"/>
  <c r="Z7" i="17" s="1"/>
  <c r="Z13" i="17" s="1"/>
  <c r="Y25" i="17"/>
  <c r="Y7" i="17" s="1"/>
  <c r="Y13" i="17" s="1"/>
  <c r="X25" i="17"/>
  <c r="W25" i="17"/>
  <c r="V25" i="17"/>
  <c r="V7" i="17" s="1"/>
  <c r="V13" i="17" s="1"/>
  <c r="U25" i="17"/>
  <c r="U7" i="17" s="1"/>
  <c r="U13" i="17" s="1"/>
  <c r="T25" i="17"/>
  <c r="S25" i="17"/>
  <c r="S7" i="17" s="1"/>
  <c r="S13" i="17" s="1"/>
  <c r="R25" i="17"/>
  <c r="Q25" i="17"/>
  <c r="Q7" i="17" s="1"/>
  <c r="Q13" i="17" s="1"/>
  <c r="P25" i="17"/>
  <c r="O25" i="17"/>
  <c r="O7" i="17" s="1"/>
  <c r="O13" i="17" s="1"/>
  <c r="N25" i="17"/>
  <c r="N7" i="17" s="1"/>
  <c r="N13" i="17" s="1"/>
  <c r="M25" i="17"/>
  <c r="M7" i="17" s="1"/>
  <c r="M13" i="17" s="1"/>
  <c r="L25" i="17"/>
  <c r="K25" i="17"/>
  <c r="K7" i="17" s="1"/>
  <c r="K13" i="17" s="1"/>
  <c r="J25" i="17"/>
  <c r="I25" i="17"/>
  <c r="I7" i="17" s="1"/>
  <c r="I13" i="17" s="1"/>
  <c r="H25" i="17"/>
  <c r="G25" i="17"/>
  <c r="G7" i="17" s="1"/>
  <c r="G13" i="17" s="1"/>
  <c r="F25" i="17"/>
  <c r="F7" i="17" s="1"/>
  <c r="F13" i="17" s="1"/>
  <c r="E25" i="17"/>
  <c r="E7" i="17" s="1"/>
  <c r="E13" i="17" s="1"/>
  <c r="AB15" i="17"/>
  <c r="AA15" i="17"/>
  <c r="Z15" i="17"/>
  <c r="Y15" i="17"/>
  <c r="X15" i="17"/>
  <c r="W15" i="17"/>
  <c r="V15" i="17"/>
  <c r="U15" i="17"/>
  <c r="T15" i="17"/>
  <c r="S15" i="17"/>
  <c r="R15" i="17"/>
  <c r="Q15" i="17"/>
  <c r="P15" i="17"/>
  <c r="O15" i="17"/>
  <c r="N15" i="17"/>
  <c r="M15" i="17"/>
  <c r="L15" i="17"/>
  <c r="K15" i="17"/>
  <c r="J15" i="17"/>
  <c r="I15" i="17"/>
  <c r="H15" i="17"/>
  <c r="G15" i="17"/>
  <c r="F15" i="17"/>
  <c r="E15" i="17"/>
  <c r="AB7" i="17"/>
  <c r="AB13" i="17" s="1"/>
  <c r="X7" i="17"/>
  <c r="X13" i="17" s="1"/>
  <c r="X16" i="17" s="1"/>
  <c r="W7" i="17"/>
  <c r="W13" i="17" s="1"/>
  <c r="T7" i="17"/>
  <c r="T13" i="17" s="1"/>
  <c r="R7" i="17"/>
  <c r="R13" i="17" s="1"/>
  <c r="P7" i="17"/>
  <c r="P13" i="17" s="1"/>
  <c r="L7" i="17"/>
  <c r="L13" i="17" s="1"/>
  <c r="L16" i="17" s="1"/>
  <c r="J7" i="17"/>
  <c r="J13" i="17" s="1"/>
  <c r="H7" i="17"/>
  <c r="H13" i="17" s="1"/>
  <c r="F20" i="12"/>
  <c r="E20" i="12"/>
  <c r="F30" i="12"/>
  <c r="E30" i="12"/>
  <c r="F52" i="12"/>
  <c r="E52" i="12"/>
  <c r="F51" i="12"/>
  <c r="E51" i="12"/>
  <c r="F50" i="12"/>
  <c r="E50" i="12"/>
  <c r="F46" i="12"/>
  <c r="E46" i="12"/>
  <c r="F45" i="12"/>
  <c r="E45" i="12"/>
  <c r="F44" i="12"/>
  <c r="E44" i="12"/>
  <c r="F41" i="12"/>
  <c r="E41" i="12"/>
  <c r="F40" i="12"/>
  <c r="E40" i="12"/>
  <c r="F33" i="12"/>
  <c r="E33" i="12"/>
  <c r="F32" i="12"/>
  <c r="E32" i="12"/>
  <c r="F31" i="12"/>
  <c r="E31" i="12"/>
  <c r="AB25" i="16"/>
  <c r="AB7" i="16" s="1"/>
  <c r="AB13" i="16" s="1"/>
  <c r="AA25" i="16"/>
  <c r="Z25" i="16"/>
  <c r="Z15" i="16" s="1"/>
  <c r="Y25" i="16"/>
  <c r="Y7" i="16" s="1"/>
  <c r="Y13" i="16" s="1"/>
  <c r="X25" i="16"/>
  <c r="X15" i="16" s="1"/>
  <c r="W25" i="16"/>
  <c r="V25" i="16"/>
  <c r="V15" i="16" s="1"/>
  <c r="U25" i="16"/>
  <c r="U7" i="16" s="1"/>
  <c r="U13" i="16" s="1"/>
  <c r="T25" i="16"/>
  <c r="T7" i="16" s="1"/>
  <c r="T13" i="16" s="1"/>
  <c r="S25" i="16"/>
  <c r="R25" i="16"/>
  <c r="R15" i="16" s="1"/>
  <c r="Q25" i="16"/>
  <c r="Q7" i="16" s="1"/>
  <c r="Q13" i="16" s="1"/>
  <c r="P25" i="16"/>
  <c r="P15" i="16" s="1"/>
  <c r="P20" i="16" s="1"/>
  <c r="P21" i="16" s="1"/>
  <c r="O25" i="16"/>
  <c r="N25" i="16"/>
  <c r="N15" i="16" s="1"/>
  <c r="M25" i="16"/>
  <c r="M7" i="16" s="1"/>
  <c r="M13" i="16" s="1"/>
  <c r="L25" i="16"/>
  <c r="L7" i="16" s="1"/>
  <c r="L13" i="16" s="1"/>
  <c r="K25" i="16"/>
  <c r="J25" i="16"/>
  <c r="J15" i="16" s="1"/>
  <c r="I25" i="16"/>
  <c r="I7" i="16" s="1"/>
  <c r="I13" i="16" s="1"/>
  <c r="H25" i="16"/>
  <c r="H15" i="16" s="1"/>
  <c r="G25" i="16"/>
  <c r="F25" i="16"/>
  <c r="F15" i="16" s="1"/>
  <c r="E25" i="16"/>
  <c r="AB15" i="16"/>
  <c r="AA15" i="16"/>
  <c r="W15" i="16"/>
  <c r="T15" i="16"/>
  <c r="S15" i="16"/>
  <c r="O15" i="16"/>
  <c r="O20" i="16" s="1"/>
  <c r="O21" i="16" s="1"/>
  <c r="L15" i="16"/>
  <c r="K15" i="16"/>
  <c r="G15" i="16"/>
  <c r="O13" i="16"/>
  <c r="AA7" i="16"/>
  <c r="AA13" i="16" s="1"/>
  <c r="W7" i="16"/>
  <c r="W13" i="16" s="1"/>
  <c r="V7" i="16"/>
  <c r="V13" i="16" s="1"/>
  <c r="S7" i="16"/>
  <c r="S13" i="16" s="1"/>
  <c r="R7" i="16"/>
  <c r="R13" i="16" s="1"/>
  <c r="P7" i="16"/>
  <c r="P13" i="16" s="1"/>
  <c r="O7" i="16"/>
  <c r="N7" i="16"/>
  <c r="N13" i="16" s="1"/>
  <c r="N16" i="16" s="1"/>
  <c r="K7" i="16"/>
  <c r="K13" i="16" s="1"/>
  <c r="G7" i="16"/>
  <c r="G13" i="16" s="1"/>
  <c r="F7" i="16"/>
  <c r="F13" i="16" s="1"/>
  <c r="F23" i="12"/>
  <c r="E23" i="12"/>
  <c r="F22" i="12"/>
  <c r="E22" i="12"/>
  <c r="F21" i="12"/>
  <c r="E21" i="12"/>
  <c r="AB25" i="15"/>
  <c r="AA25" i="15"/>
  <c r="Z25" i="15"/>
  <c r="Y25" i="15"/>
  <c r="Y7" i="15" s="1"/>
  <c r="Y13" i="15" s="1"/>
  <c r="X25" i="15"/>
  <c r="W25" i="15"/>
  <c r="V25" i="15"/>
  <c r="U25" i="15"/>
  <c r="U7" i="15" s="1"/>
  <c r="U13" i="15" s="1"/>
  <c r="T25" i="15"/>
  <c r="S25" i="15"/>
  <c r="R25" i="15"/>
  <c r="Q25" i="15"/>
  <c r="Q7" i="15" s="1"/>
  <c r="Q13" i="15" s="1"/>
  <c r="P25" i="15"/>
  <c r="O25" i="15"/>
  <c r="N25" i="15"/>
  <c r="M25" i="15"/>
  <c r="M7" i="15" s="1"/>
  <c r="M13" i="15" s="1"/>
  <c r="L25" i="15"/>
  <c r="K25" i="15"/>
  <c r="J25" i="15"/>
  <c r="I25" i="15"/>
  <c r="I7" i="15" s="1"/>
  <c r="I13" i="15" s="1"/>
  <c r="H25" i="15"/>
  <c r="G25" i="15"/>
  <c r="F25" i="15"/>
  <c r="E25" i="15"/>
  <c r="E7" i="15" s="1"/>
  <c r="E13" i="15" s="1"/>
  <c r="AB15" i="15"/>
  <c r="AA15" i="15"/>
  <c r="Z15" i="15"/>
  <c r="X15" i="15"/>
  <c r="W15" i="15"/>
  <c r="V15" i="15"/>
  <c r="T15" i="15"/>
  <c r="S15" i="15"/>
  <c r="R15" i="15"/>
  <c r="P15" i="15"/>
  <c r="O15" i="15"/>
  <c r="N15" i="15"/>
  <c r="L15" i="15"/>
  <c r="K15" i="15"/>
  <c r="J15" i="15"/>
  <c r="H15" i="15"/>
  <c r="G15" i="15"/>
  <c r="F15" i="15"/>
  <c r="W13" i="15"/>
  <c r="G13" i="15"/>
  <c r="AB7" i="15"/>
  <c r="AB13" i="15" s="1"/>
  <c r="AA7" i="15"/>
  <c r="AA13" i="15" s="1"/>
  <c r="Z7" i="15"/>
  <c r="Z13" i="15" s="1"/>
  <c r="X7" i="15"/>
  <c r="X13" i="15" s="1"/>
  <c r="W7" i="15"/>
  <c r="V7" i="15"/>
  <c r="V13" i="15" s="1"/>
  <c r="T7" i="15"/>
  <c r="T13" i="15" s="1"/>
  <c r="S7" i="15"/>
  <c r="S13" i="15" s="1"/>
  <c r="R7" i="15"/>
  <c r="R13" i="15" s="1"/>
  <c r="P7" i="15"/>
  <c r="P13" i="15" s="1"/>
  <c r="O7" i="15"/>
  <c r="O13" i="15" s="1"/>
  <c r="N7" i="15"/>
  <c r="N13" i="15" s="1"/>
  <c r="L7" i="15"/>
  <c r="L13" i="15" s="1"/>
  <c r="K7" i="15"/>
  <c r="K13" i="15" s="1"/>
  <c r="J7" i="15"/>
  <c r="J13" i="15" s="1"/>
  <c r="H7" i="15"/>
  <c r="H13" i="15" s="1"/>
  <c r="G7" i="15"/>
  <c r="F7" i="15"/>
  <c r="F13" i="15" s="1"/>
  <c r="F10" i="12"/>
  <c r="E10" i="12"/>
  <c r="F14" i="12"/>
  <c r="E14" i="12"/>
  <c r="F12" i="12"/>
  <c r="E12" i="12"/>
  <c r="F16" i="12"/>
  <c r="E16" i="12"/>
  <c r="F13" i="12"/>
  <c r="E13" i="12"/>
  <c r="F11" i="12"/>
  <c r="E11" i="12"/>
  <c r="N15" i="14"/>
  <c r="J15" i="14"/>
  <c r="I7" i="14"/>
  <c r="Q7" i="14"/>
  <c r="R26" i="14"/>
  <c r="R7" i="14" s="1"/>
  <c r="Q26" i="14"/>
  <c r="Q15" i="14" s="1"/>
  <c r="P26" i="14"/>
  <c r="P7" i="14" s="1"/>
  <c r="O26" i="14"/>
  <c r="O15" i="14" s="1"/>
  <c r="N26" i="14"/>
  <c r="N7" i="14" s="1"/>
  <c r="M26" i="14"/>
  <c r="M15" i="14" s="1"/>
  <c r="L26" i="14"/>
  <c r="L7" i="14" s="1"/>
  <c r="K26" i="14"/>
  <c r="K15" i="14" s="1"/>
  <c r="J26" i="14"/>
  <c r="J7" i="14" s="1"/>
  <c r="I26" i="14"/>
  <c r="I15" i="14" s="1"/>
  <c r="H26" i="14"/>
  <c r="H7" i="14" s="1"/>
  <c r="G26" i="14"/>
  <c r="G15" i="14" s="1"/>
  <c r="F26" i="14"/>
  <c r="F7" i="14" s="1"/>
  <c r="E26" i="14"/>
  <c r="E15" i="14" s="1"/>
  <c r="AB26" i="14"/>
  <c r="AB15" i="14" s="1"/>
  <c r="AA26" i="14"/>
  <c r="AA7" i="14" s="1"/>
  <c r="Z26" i="14"/>
  <c r="Z15" i="14" s="1"/>
  <c r="Y26" i="14"/>
  <c r="Y15" i="14" s="1"/>
  <c r="X26" i="14"/>
  <c r="X7" i="14" s="1"/>
  <c r="W26" i="14"/>
  <c r="W7" i="14" s="1"/>
  <c r="V26" i="14"/>
  <c r="V15" i="14" s="1"/>
  <c r="U26" i="14"/>
  <c r="U15" i="14" s="1"/>
  <c r="T26" i="14"/>
  <c r="T15" i="14" s="1"/>
  <c r="S26" i="14"/>
  <c r="S15" i="14" s="1"/>
  <c r="F16" i="17" l="1"/>
  <c r="N16" i="17"/>
  <c r="V16" i="17"/>
  <c r="Z16" i="17"/>
  <c r="R16" i="17"/>
  <c r="O16" i="16"/>
  <c r="L16" i="16"/>
  <c r="T16" i="16"/>
  <c r="G42" i="12"/>
  <c r="H42" i="12" s="1"/>
  <c r="I42" i="12" s="1"/>
  <c r="W16" i="16"/>
  <c r="S16" i="16"/>
  <c r="AB16" i="16"/>
  <c r="G16" i="16"/>
  <c r="J16" i="15"/>
  <c r="Z16" i="15"/>
  <c r="T16" i="15"/>
  <c r="G50" i="12"/>
  <c r="G44" i="12"/>
  <c r="G33" i="12"/>
  <c r="G31" i="12"/>
  <c r="K16" i="17"/>
  <c r="AA16" i="17"/>
  <c r="G16" i="17"/>
  <c r="AB16" i="17"/>
  <c r="S16" i="17"/>
  <c r="H16" i="17"/>
  <c r="P16" i="17"/>
  <c r="W16" i="17"/>
  <c r="O20" i="17"/>
  <c r="O21" i="17" s="1"/>
  <c r="AA20" i="17"/>
  <c r="AA21" i="17" s="1"/>
  <c r="H20" i="17"/>
  <c r="H21" i="17" s="1"/>
  <c r="L20" i="17"/>
  <c r="L21" i="17" s="1"/>
  <c r="P20" i="17"/>
  <c r="P21" i="17" s="1"/>
  <c r="T20" i="17"/>
  <c r="T21" i="17" s="1"/>
  <c r="X20" i="17"/>
  <c r="X21" i="17" s="1"/>
  <c r="AB20" i="17"/>
  <c r="AB21" i="17" s="1"/>
  <c r="G20" i="17"/>
  <c r="G21" i="17" s="1"/>
  <c r="S20" i="17"/>
  <c r="S21" i="17" s="1"/>
  <c r="K20" i="17"/>
  <c r="K21" i="17" s="1"/>
  <c r="W20" i="17"/>
  <c r="W21" i="17" s="1"/>
  <c r="F20" i="17"/>
  <c r="F21" i="17" s="1"/>
  <c r="J20" i="17"/>
  <c r="J21" i="17" s="1"/>
  <c r="N20" i="17"/>
  <c r="N21" i="17" s="1"/>
  <c r="R20" i="17"/>
  <c r="R21" i="17" s="1"/>
  <c r="V20" i="17"/>
  <c r="V21" i="17" s="1"/>
  <c r="Z20" i="17"/>
  <c r="Z21" i="17" s="1"/>
  <c r="J20" i="15"/>
  <c r="J21" i="15" s="1"/>
  <c r="O20" i="15"/>
  <c r="O21" i="15" s="1"/>
  <c r="T20" i="15"/>
  <c r="T21" i="15" s="1"/>
  <c r="T17" i="15" s="1"/>
  <c r="Z20" i="15"/>
  <c r="Z21" i="15" s="1"/>
  <c r="Z17" i="15" s="1"/>
  <c r="F20" i="15"/>
  <c r="F21" i="15" s="1"/>
  <c r="F17" i="15" s="1"/>
  <c r="K20" i="15"/>
  <c r="K21" i="15" s="1"/>
  <c r="P20" i="15"/>
  <c r="P21" i="15" s="1"/>
  <c r="P17" i="15" s="1"/>
  <c r="V20" i="15"/>
  <c r="V21" i="15" s="1"/>
  <c r="V18" i="15" s="1"/>
  <c r="AA20" i="15"/>
  <c r="AA21" i="15" s="1"/>
  <c r="AA17" i="15" s="1"/>
  <c r="G20" i="15"/>
  <c r="G21" i="15" s="1"/>
  <c r="L20" i="15"/>
  <c r="L21" i="15" s="1"/>
  <c r="L17" i="15" s="1"/>
  <c r="R20" i="15"/>
  <c r="R21" i="15" s="1"/>
  <c r="R17" i="15" s="1"/>
  <c r="W20" i="15"/>
  <c r="W21" i="15" s="1"/>
  <c r="AB20" i="15"/>
  <c r="AB21" i="15" s="1"/>
  <c r="H20" i="15"/>
  <c r="H21" i="15" s="1"/>
  <c r="H17" i="15" s="1"/>
  <c r="N20" i="15"/>
  <c r="N21" i="15" s="1"/>
  <c r="N18" i="15" s="1"/>
  <c r="S20" i="15"/>
  <c r="S21" i="15" s="1"/>
  <c r="X20" i="15"/>
  <c r="X21" i="15" s="1"/>
  <c r="P16" i="16"/>
  <c r="L20" i="16"/>
  <c r="L21" i="16" s="1"/>
  <c r="L18" i="16" s="1"/>
  <c r="T20" i="16"/>
  <c r="T21" i="16" s="1"/>
  <c r="T18" i="16" s="1"/>
  <c r="AB20" i="16"/>
  <c r="AB21" i="16" s="1"/>
  <c r="G20" i="16"/>
  <c r="G21" i="16" s="1"/>
  <c r="G18" i="16" s="1"/>
  <c r="W20" i="16"/>
  <c r="W21" i="16" s="1"/>
  <c r="W18" i="16" s="1"/>
  <c r="E7" i="16"/>
  <c r="E13" i="16" s="1"/>
  <c r="AC25" i="16"/>
  <c r="H7" i="16"/>
  <c r="H13" i="16" s="1"/>
  <c r="H16" i="16" s="1"/>
  <c r="X7" i="16"/>
  <c r="X13" i="16" s="1"/>
  <c r="X16" i="16" s="1"/>
  <c r="F20" i="16"/>
  <c r="F21" i="16" s="1"/>
  <c r="F18" i="16" s="1"/>
  <c r="J20" i="16"/>
  <c r="J21" i="16" s="1"/>
  <c r="J18" i="16" s="1"/>
  <c r="V20" i="16"/>
  <c r="V21" i="16" s="1"/>
  <c r="V17" i="16" s="1"/>
  <c r="Z20" i="16"/>
  <c r="Z21" i="16" s="1"/>
  <c r="Z18" i="16" s="1"/>
  <c r="J7" i="16"/>
  <c r="J13" i="16" s="1"/>
  <c r="Z7" i="16"/>
  <c r="Z13" i="16" s="1"/>
  <c r="Z16" i="16" s="1"/>
  <c r="K20" i="16"/>
  <c r="K21" i="16" s="1"/>
  <c r="K18" i="16" s="1"/>
  <c r="S20" i="16"/>
  <c r="S21" i="16" s="1"/>
  <c r="S18" i="16" s="1"/>
  <c r="AA20" i="16"/>
  <c r="AA21" i="16" s="1"/>
  <c r="AA18" i="16" s="1"/>
  <c r="R16" i="16"/>
  <c r="O18" i="16"/>
  <c r="O17" i="16"/>
  <c r="P18" i="16"/>
  <c r="P17" i="16"/>
  <c r="AB18" i="16"/>
  <c r="AB17" i="16"/>
  <c r="F18" i="15"/>
  <c r="K17" i="15"/>
  <c r="K18" i="15"/>
  <c r="AA18" i="15"/>
  <c r="G18" i="15"/>
  <c r="G17" i="15"/>
  <c r="R18" i="15"/>
  <c r="W17" i="15"/>
  <c r="W18" i="15"/>
  <c r="AB17" i="15"/>
  <c r="AB18" i="15"/>
  <c r="S17" i="15"/>
  <c r="S18" i="15"/>
  <c r="X17" i="15"/>
  <c r="X18" i="15"/>
  <c r="J18" i="15"/>
  <c r="J17" i="15"/>
  <c r="O17" i="15"/>
  <c r="O18" i="15"/>
  <c r="Z18" i="15"/>
  <c r="J16" i="17"/>
  <c r="T16" i="17"/>
  <c r="O16" i="17"/>
  <c r="E16" i="17"/>
  <c r="I16" i="17"/>
  <c r="M16" i="17"/>
  <c r="Q16" i="17"/>
  <c r="U16" i="17"/>
  <c r="Y16" i="17"/>
  <c r="G16" i="15"/>
  <c r="W16" i="15"/>
  <c r="L16" i="15"/>
  <c r="R16" i="15"/>
  <c r="AB16" i="15"/>
  <c r="O16" i="15"/>
  <c r="N16" i="15"/>
  <c r="X16" i="15"/>
  <c r="AA16" i="15"/>
  <c r="V16" i="15"/>
  <c r="S16" i="15"/>
  <c r="H16" i="15"/>
  <c r="K16" i="15"/>
  <c r="F16" i="15"/>
  <c r="P16" i="15"/>
  <c r="G12" i="12"/>
  <c r="G22" i="12"/>
  <c r="G32" i="12"/>
  <c r="G21" i="12"/>
  <c r="G40" i="12"/>
  <c r="G43" i="12"/>
  <c r="G14" i="12"/>
  <c r="G52" i="12"/>
  <c r="G51" i="12"/>
  <c r="G46" i="12"/>
  <c r="G45" i="12"/>
  <c r="G41" i="12"/>
  <c r="E20" i="17"/>
  <c r="E21" i="17" s="1"/>
  <c r="I20" i="17"/>
  <c r="I21" i="17" s="1"/>
  <c r="M20" i="17"/>
  <c r="M21" i="17" s="1"/>
  <c r="Q20" i="17"/>
  <c r="Q21" i="17" s="1"/>
  <c r="U20" i="17"/>
  <c r="U21" i="17" s="1"/>
  <c r="Y20" i="17"/>
  <c r="Y21" i="17" s="1"/>
  <c r="G30" i="12"/>
  <c r="K16" i="16"/>
  <c r="AA16" i="16"/>
  <c r="G20" i="12"/>
  <c r="N20" i="16"/>
  <c r="N21" i="16" s="1"/>
  <c r="R20" i="16"/>
  <c r="R21" i="16" s="1"/>
  <c r="J16" i="16"/>
  <c r="F16" i="16"/>
  <c r="V16" i="16"/>
  <c r="E15" i="16"/>
  <c r="E20" i="16" s="1"/>
  <c r="E21" i="16" s="1"/>
  <c r="I15" i="16"/>
  <c r="I20" i="16" s="1"/>
  <c r="I21" i="16" s="1"/>
  <c r="M15" i="16"/>
  <c r="M20" i="16" s="1"/>
  <c r="M21" i="16" s="1"/>
  <c r="Q15" i="16"/>
  <c r="Q20" i="16" s="1"/>
  <c r="Q21" i="16" s="1"/>
  <c r="U15" i="16"/>
  <c r="U20" i="16" s="1"/>
  <c r="U21" i="16" s="1"/>
  <c r="Y15" i="16"/>
  <c r="Y20" i="16" s="1"/>
  <c r="Y21" i="16" s="1"/>
  <c r="S7" i="14"/>
  <c r="O7" i="14"/>
  <c r="G7" i="14"/>
  <c r="K7" i="14"/>
  <c r="M7" i="14"/>
  <c r="Z7" i="14"/>
  <c r="G23" i="12"/>
  <c r="G16" i="12"/>
  <c r="E15" i="15"/>
  <c r="E20" i="15" s="1"/>
  <c r="E21" i="15" s="1"/>
  <c r="E18" i="15" s="1"/>
  <c r="I15" i="15"/>
  <c r="I20" i="15" s="1"/>
  <c r="I21" i="15" s="1"/>
  <c r="M15" i="15"/>
  <c r="M20" i="15" s="1"/>
  <c r="M21" i="15" s="1"/>
  <c r="Q15" i="15"/>
  <c r="Q20" i="15" s="1"/>
  <c r="Q21" i="15" s="1"/>
  <c r="U15" i="15"/>
  <c r="U20" i="15" s="1"/>
  <c r="U21" i="15" s="1"/>
  <c r="Y15" i="15"/>
  <c r="Y20" i="15" s="1"/>
  <c r="Y21" i="15" s="1"/>
  <c r="G10" i="12"/>
  <c r="G13" i="12"/>
  <c r="V7" i="14"/>
  <c r="F15" i="14"/>
  <c r="R15" i="14"/>
  <c r="Y7" i="14"/>
  <c r="U7" i="14"/>
  <c r="W15" i="14"/>
  <c r="AA15" i="14"/>
  <c r="AB7" i="14"/>
  <c r="H15" i="14"/>
  <c r="L15" i="14"/>
  <c r="P15" i="14"/>
  <c r="X15" i="14"/>
  <c r="T7" i="14"/>
  <c r="E7" i="14"/>
  <c r="G11" i="12"/>
  <c r="J17" i="16" l="1"/>
  <c r="L17" i="16"/>
  <c r="L22" i="16" s="1"/>
  <c r="O22" i="16"/>
  <c r="S17" i="16"/>
  <c r="S22" i="16" s="1"/>
  <c r="V18" i="16"/>
  <c r="V22" i="16" s="1"/>
  <c r="N17" i="15"/>
  <c r="V17" i="15"/>
  <c r="H11" i="12"/>
  <c r="I11" i="12" s="1"/>
  <c r="H10" i="12"/>
  <c r="I10" i="12" s="1"/>
  <c r="H23" i="12"/>
  <c r="I23" i="12" s="1"/>
  <c r="J23" i="12" s="1"/>
  <c r="H51" i="12"/>
  <c r="I51" i="12" s="1"/>
  <c r="J51" i="12" s="1"/>
  <c r="H40" i="12"/>
  <c r="I40" i="12" s="1"/>
  <c r="H22" i="12"/>
  <c r="I22" i="12" s="1"/>
  <c r="J22" i="12" s="1"/>
  <c r="H50" i="12"/>
  <c r="I50" i="12" s="1"/>
  <c r="H41" i="12"/>
  <c r="I41" i="12" s="1"/>
  <c r="H52" i="12"/>
  <c r="I52" i="12" s="1"/>
  <c r="J52" i="12" s="1"/>
  <c r="H21" i="12"/>
  <c r="I21" i="12" s="1"/>
  <c r="H12" i="12"/>
  <c r="I12" i="12" s="1"/>
  <c r="H31" i="12"/>
  <c r="I31" i="12" s="1"/>
  <c r="H30" i="12"/>
  <c r="I30" i="12" s="1"/>
  <c r="H45" i="12"/>
  <c r="I45" i="12" s="1"/>
  <c r="H14" i="12"/>
  <c r="I14" i="12" s="1"/>
  <c r="H33" i="12"/>
  <c r="I33" i="12" s="1"/>
  <c r="H13" i="12"/>
  <c r="I13" i="12" s="1"/>
  <c r="H16" i="12"/>
  <c r="I16" i="12" s="1"/>
  <c r="H20" i="12"/>
  <c r="I20" i="12" s="1"/>
  <c r="H46" i="12"/>
  <c r="I46" i="12" s="1"/>
  <c r="H43" i="12"/>
  <c r="I43" i="12" s="1"/>
  <c r="H32" i="12"/>
  <c r="I32" i="12" s="1"/>
  <c r="H44" i="12"/>
  <c r="I44" i="12" s="1"/>
  <c r="T17" i="16"/>
  <c r="T22" i="16" s="1"/>
  <c r="AA17" i="16"/>
  <c r="AA22" i="16" s="1"/>
  <c r="F17" i="16"/>
  <c r="F22" i="16" s="1"/>
  <c r="T18" i="15"/>
  <c r="T22" i="15" s="1"/>
  <c r="H18" i="15"/>
  <c r="L18" i="15"/>
  <c r="P18" i="15"/>
  <c r="P22" i="15" s="1"/>
  <c r="E18" i="17"/>
  <c r="E22" i="17" s="1"/>
  <c r="E17" i="17"/>
  <c r="R18" i="17"/>
  <c r="R17" i="17"/>
  <c r="L18" i="17"/>
  <c r="L17" i="17"/>
  <c r="Q18" i="17"/>
  <c r="Q17" i="17"/>
  <c r="N18" i="17"/>
  <c r="N17" i="17"/>
  <c r="K18" i="17"/>
  <c r="K17" i="17"/>
  <c r="X18" i="17"/>
  <c r="X17" i="17"/>
  <c r="H18" i="17"/>
  <c r="H17" i="17"/>
  <c r="AB17" i="17"/>
  <c r="AB18" i="17"/>
  <c r="M18" i="17"/>
  <c r="M17" i="17"/>
  <c r="Z18" i="17"/>
  <c r="Z17" i="17"/>
  <c r="J18" i="17"/>
  <c r="J17" i="17"/>
  <c r="S18" i="17"/>
  <c r="S17" i="17"/>
  <c r="T18" i="17"/>
  <c r="T17" i="17"/>
  <c r="AA18" i="17"/>
  <c r="AA17" i="17"/>
  <c r="U17" i="17"/>
  <c r="U18" i="17"/>
  <c r="W18" i="17"/>
  <c r="W17" i="17"/>
  <c r="Y17" i="17"/>
  <c r="Y18" i="17"/>
  <c r="I18" i="17"/>
  <c r="I22" i="17" s="1"/>
  <c r="I17" i="17"/>
  <c r="V18" i="17"/>
  <c r="V17" i="17"/>
  <c r="F18" i="17"/>
  <c r="F17" i="17"/>
  <c r="G18" i="17"/>
  <c r="G17" i="17"/>
  <c r="P17" i="17"/>
  <c r="P18" i="17"/>
  <c r="O18" i="17"/>
  <c r="O17" i="17"/>
  <c r="K17" i="16"/>
  <c r="K22" i="16" s="1"/>
  <c r="Z17" i="16"/>
  <c r="Z22" i="16" s="1"/>
  <c r="W17" i="16"/>
  <c r="W22" i="16" s="1"/>
  <c r="G17" i="16"/>
  <c r="G22" i="16" s="1"/>
  <c r="X20" i="16"/>
  <c r="X21" i="16" s="1"/>
  <c r="H20" i="16"/>
  <c r="H21" i="16" s="1"/>
  <c r="Y18" i="16"/>
  <c r="Y17" i="16"/>
  <c r="I18" i="16"/>
  <c r="I17" i="16"/>
  <c r="N18" i="16"/>
  <c r="N17" i="16"/>
  <c r="U18" i="16"/>
  <c r="U17" i="16"/>
  <c r="E18" i="16"/>
  <c r="E17" i="16"/>
  <c r="Q18" i="16"/>
  <c r="Q17" i="16"/>
  <c r="M18" i="16"/>
  <c r="M17" i="16"/>
  <c r="R18" i="16"/>
  <c r="R17" i="16"/>
  <c r="E17" i="15"/>
  <c r="Q17" i="15"/>
  <c r="Q18" i="15"/>
  <c r="M18" i="15"/>
  <c r="M17" i="15"/>
  <c r="Y17" i="15"/>
  <c r="Y18" i="15"/>
  <c r="I17" i="15"/>
  <c r="I18" i="15"/>
  <c r="U18" i="15"/>
  <c r="U17" i="15"/>
  <c r="W22" i="15"/>
  <c r="N22" i="15"/>
  <c r="G22" i="15"/>
  <c r="Z22" i="15"/>
  <c r="O22" i="15"/>
  <c r="R22" i="15"/>
  <c r="F22" i="15"/>
  <c r="V22" i="15"/>
  <c r="X22" i="15"/>
  <c r="AA22" i="15"/>
  <c r="S22" i="15"/>
  <c r="AB22" i="15"/>
  <c r="J22" i="15"/>
  <c r="L22" i="15"/>
  <c r="E16" i="15"/>
  <c r="U16" i="15"/>
  <c r="H22" i="15"/>
  <c r="K22" i="15"/>
  <c r="J22" i="16"/>
  <c r="P22" i="16"/>
  <c r="AB22" i="16"/>
  <c r="U16" i="16"/>
  <c r="E16" i="16"/>
  <c r="Q16" i="16"/>
  <c r="M16" i="16"/>
  <c r="Y16" i="16"/>
  <c r="I16" i="16"/>
  <c r="I16" i="15"/>
  <c r="Q16" i="15"/>
  <c r="M16" i="15"/>
  <c r="Y16" i="15"/>
  <c r="Y22" i="17" l="1"/>
  <c r="U22" i="17"/>
  <c r="J22" i="17"/>
  <c r="R22" i="17"/>
  <c r="AB22" i="17"/>
  <c r="M22" i="17"/>
  <c r="H22" i="17"/>
  <c r="K22" i="17"/>
  <c r="Q22" i="17"/>
  <c r="F22" i="17"/>
  <c r="T22" i="17"/>
  <c r="O22" i="17"/>
  <c r="G22" i="17"/>
  <c r="V22" i="17"/>
  <c r="W22" i="17"/>
  <c r="AA22" i="17"/>
  <c r="S22" i="17"/>
  <c r="Z22" i="17"/>
  <c r="N22" i="17"/>
  <c r="X22" i="17"/>
  <c r="L22" i="17"/>
  <c r="P22" i="17"/>
  <c r="D17" i="17"/>
  <c r="Y22" i="16"/>
  <c r="H18" i="16"/>
  <c r="H17" i="16"/>
  <c r="X18" i="16"/>
  <c r="AC18" i="16" s="1"/>
  <c r="X17" i="16"/>
  <c r="N22" i="16"/>
  <c r="Q22" i="16"/>
  <c r="D17" i="15"/>
  <c r="U22" i="15"/>
  <c r="Y22" i="15"/>
  <c r="M22" i="15"/>
  <c r="I22" i="15"/>
  <c r="E22" i="15"/>
  <c r="Q22" i="15"/>
  <c r="AC17" i="17"/>
  <c r="AC18" i="17"/>
  <c r="U22" i="16"/>
  <c r="R22" i="16"/>
  <c r="M22" i="16"/>
  <c r="I22" i="16"/>
  <c r="E22" i="16"/>
  <c r="AC17" i="15"/>
  <c r="AC18" i="15"/>
  <c r="AC17" i="16" l="1"/>
  <c r="AD17" i="16" s="1"/>
  <c r="D17" i="16"/>
  <c r="H22" i="16"/>
  <c r="X22" i="16"/>
  <c r="O20" i="14"/>
  <c r="O21" i="14" s="1"/>
  <c r="I13" i="14"/>
  <c r="I16" i="14" s="1"/>
  <c r="I20" i="14"/>
  <c r="I21" i="14" s="1"/>
  <c r="W20" i="14"/>
  <c r="W21" i="14" s="1"/>
  <c r="W13" i="14"/>
  <c r="W16" i="14" s="1"/>
  <c r="O13" i="14"/>
  <c r="O16" i="14" s="1"/>
  <c r="Z20" i="14"/>
  <c r="Z21" i="14" s="1"/>
  <c r="V13" i="14"/>
  <c r="V16" i="14" s="1"/>
  <c r="V20" i="14"/>
  <c r="V21" i="14" s="1"/>
  <c r="R13" i="14"/>
  <c r="R16" i="14" s="1"/>
  <c r="R20" i="14"/>
  <c r="R21" i="14" s="1"/>
  <c r="F20" i="14"/>
  <c r="F21" i="14" s="1"/>
  <c r="Q20" i="14"/>
  <c r="Q21" i="14" s="1"/>
  <c r="G13" i="14"/>
  <c r="G16" i="14" s="1"/>
  <c r="G20" i="14"/>
  <c r="G21" i="14" s="1"/>
  <c r="H13" i="14"/>
  <c r="H16" i="14" s="1"/>
  <c r="H20" i="14"/>
  <c r="H21" i="14" s="1"/>
  <c r="N13" i="14"/>
  <c r="N16" i="14" s="1"/>
  <c r="N20" i="14"/>
  <c r="N21" i="14" s="1"/>
  <c r="Y20" i="14"/>
  <c r="Y21" i="14" s="1"/>
  <c r="AA13" i="14"/>
  <c r="AA16" i="14" s="1"/>
  <c r="AA20" i="14"/>
  <c r="AA21" i="14" s="1"/>
  <c r="S13" i="14"/>
  <c r="S16" i="14" s="1"/>
  <c r="S20" i="14"/>
  <c r="S21" i="14" s="1"/>
  <c r="Y13" i="14"/>
  <c r="Y16" i="14" s="1"/>
  <c r="Z13" i="14"/>
  <c r="Z16" i="14" s="1"/>
  <c r="F13" i="14"/>
  <c r="F16" i="14" s="1"/>
  <c r="T13" i="14"/>
  <c r="T16" i="14" s="1"/>
  <c r="T20" i="14"/>
  <c r="T21" i="14" s="1"/>
  <c r="K13" i="14"/>
  <c r="K16" i="14" s="1"/>
  <c r="K20" i="14"/>
  <c r="K21" i="14" s="1"/>
  <c r="U13" i="14"/>
  <c r="U16" i="14" s="1"/>
  <c r="U20" i="14"/>
  <c r="U21" i="14" s="1"/>
  <c r="M13" i="14"/>
  <c r="M16" i="14" s="1"/>
  <c r="M20" i="14"/>
  <c r="M21" i="14" s="1"/>
  <c r="Q13" i="14"/>
  <c r="Q16" i="14" s="1"/>
  <c r="E13" i="14"/>
  <c r="E16" i="14" s="1"/>
  <c r="E20" i="14"/>
  <c r="E21" i="14" s="1"/>
  <c r="AB13" i="14"/>
  <c r="AB16" i="14" s="1"/>
  <c r="AB20" i="14"/>
  <c r="AB21" i="14" s="1"/>
  <c r="X13" i="14"/>
  <c r="X16" i="14" s="1"/>
  <c r="X20" i="14"/>
  <c r="X21" i="14" s="1"/>
  <c r="P13" i="14"/>
  <c r="P16" i="14" s="1"/>
  <c r="P20" i="14"/>
  <c r="P21" i="14" s="1"/>
  <c r="J13" i="14"/>
  <c r="J16" i="14" s="1"/>
  <c r="J20" i="14"/>
  <c r="J21" i="14" s="1"/>
  <c r="L13" i="14"/>
  <c r="L16" i="14" s="1"/>
  <c r="L20" i="14"/>
  <c r="L21" i="14" s="1"/>
  <c r="X17" i="14" l="1"/>
  <c r="X18" i="14"/>
  <c r="U18" i="14"/>
  <c r="U17" i="14"/>
  <c r="U22" i="14" s="1"/>
  <c r="T18" i="14"/>
  <c r="T17" i="14"/>
  <c r="H17" i="14"/>
  <c r="H18" i="14"/>
  <c r="H22" i="14" s="1"/>
  <c r="Q18" i="14"/>
  <c r="Q17" i="14"/>
  <c r="V18" i="14"/>
  <c r="V17" i="14"/>
  <c r="V22" i="14" s="1"/>
  <c r="E18" i="14"/>
  <c r="E17" i="14"/>
  <c r="AA18" i="14"/>
  <c r="AA17" i="14"/>
  <c r="L18" i="14"/>
  <c r="L17" i="14"/>
  <c r="AB18" i="14"/>
  <c r="AB17" i="14"/>
  <c r="S18" i="14"/>
  <c r="S17" i="14"/>
  <c r="Y18" i="14"/>
  <c r="Y17" i="14"/>
  <c r="Y22" i="14" s="1"/>
  <c r="F18" i="14"/>
  <c r="F17" i="14"/>
  <c r="W18" i="14"/>
  <c r="W17" i="14"/>
  <c r="W22" i="14" s="1"/>
  <c r="O18" i="14"/>
  <c r="O17" i="14"/>
  <c r="J18" i="14"/>
  <c r="J17" i="14"/>
  <c r="J22" i="14" s="1"/>
  <c r="I18" i="14"/>
  <c r="I17" i="14"/>
  <c r="P17" i="14"/>
  <c r="P18" i="14"/>
  <c r="P22" i="14" s="1"/>
  <c r="M18" i="14"/>
  <c r="M17" i="14"/>
  <c r="K18" i="14"/>
  <c r="K17" i="14"/>
  <c r="K22" i="14" s="1"/>
  <c r="N18" i="14"/>
  <c r="N17" i="14"/>
  <c r="G18" i="14"/>
  <c r="G17" i="14"/>
  <c r="G22" i="14" s="1"/>
  <c r="R18" i="14"/>
  <c r="R17" i="14"/>
  <c r="Z18" i="14"/>
  <c r="Z17" i="14"/>
  <c r="X22" i="14"/>
  <c r="Q22" i="14"/>
  <c r="S22" i="14"/>
  <c r="F22" i="14"/>
  <c r="N22" i="14"/>
  <c r="I22" i="14"/>
  <c r="R22" i="14" l="1"/>
  <c r="D17" i="14"/>
  <c r="O22" i="14"/>
  <c r="AB22" i="14"/>
  <c r="T22" i="14"/>
  <c r="AA22" i="14"/>
  <c r="Z22" i="14"/>
  <c r="AC18" i="14"/>
  <c r="E22" i="14"/>
  <c r="M22" i="14"/>
  <c r="L22" i="14"/>
  <c r="AC17" i="14"/>
</calcChain>
</file>

<file path=xl/sharedStrings.xml><?xml version="1.0" encoding="utf-8"?>
<sst xmlns="http://schemas.openxmlformats.org/spreadsheetml/2006/main" count="239" uniqueCount="103">
  <si>
    <t>Hour</t>
  </si>
  <si>
    <t>1)</t>
  </si>
  <si>
    <t>Task</t>
  </si>
  <si>
    <t>Summary</t>
  </si>
  <si>
    <t>Worksheet</t>
  </si>
  <si>
    <t>2)</t>
  </si>
  <si>
    <t>3)</t>
  </si>
  <si>
    <t>Cost estimates based on 2016 Component pricing</t>
  </si>
  <si>
    <t>Energy Storage (MWh)</t>
  </si>
  <si>
    <t>PV Solar (MW)</t>
  </si>
  <si>
    <t>Price per unit:</t>
  </si>
  <si>
    <t>Total 2016 Component Cost</t>
  </si>
  <si>
    <t>Total 2018 Estimated Component Cost</t>
  </si>
  <si>
    <t>Scenario 1</t>
  </si>
  <si>
    <t>Hourly Load, 2022 scaled</t>
  </si>
  <si>
    <t>Scenario 2</t>
  </si>
  <si>
    <t>Remaining Load To Serve</t>
  </si>
  <si>
    <t>CAISO PV Generation Data</t>
  </si>
  <si>
    <t>CAISO PV Generation Factor</t>
  </si>
  <si>
    <t>Base incremental Distributed Resource Assumptions</t>
  </si>
  <si>
    <t>PV</t>
  </si>
  <si>
    <t>ES</t>
  </si>
  <si>
    <t>MW</t>
  </si>
  <si>
    <t>LTPP 2012 Track 1 - IFOM Storage - 4hr</t>
  </si>
  <si>
    <t>PV/ES Hybrid - 7hr (3hr Max Charge)</t>
  </si>
  <si>
    <t>Existing Fast DR - 6hr</t>
  </si>
  <si>
    <t>Demand Response (LR/ES) 4hr</t>
  </si>
  <si>
    <t>Existing Slow DR + ES - 6hr (0.5hr Charge)</t>
  </si>
  <si>
    <t>PV/ES Hybrid</t>
  </si>
  <si>
    <t xml:space="preserve">Total Local Capacity Deficiency </t>
  </si>
  <si>
    <t>After ITC</t>
  </si>
  <si>
    <t>Remaining Load to Serve after Base resources</t>
  </si>
  <si>
    <t>Total Charge/ Discharge</t>
  </si>
  <si>
    <t>Incremental PV and Storage</t>
  </si>
  <si>
    <t>ES (dispatch)</t>
  </si>
  <si>
    <t>ES (charging)</t>
  </si>
  <si>
    <t>Total Preferred Resources (before ES)</t>
  </si>
  <si>
    <t>Local Capacity Deficiency (before ES)</t>
  </si>
  <si>
    <t>Scenario 4 - 2014 load profile costs</t>
  </si>
  <si>
    <t>Scenario 5 - 2015 load profile costs</t>
  </si>
  <si>
    <t>Scenario 4 - 2015 load profile costs</t>
  </si>
  <si>
    <t>Scenario 4 - 2016 load profile costs</t>
  </si>
  <si>
    <t>Scenario 5 - 2014 load profile costs</t>
  </si>
  <si>
    <t>Scenario 5 - 2016 load profile costs</t>
  </si>
  <si>
    <t>TOTAL</t>
  </si>
  <si>
    <t>DR Cost (per MWYear)</t>
  </si>
  <si>
    <t>PV Solar Component Cost (per W)</t>
  </si>
  <si>
    <t>Energy Storage Component Cost (per kWh)</t>
  </si>
  <si>
    <t>PV Solar and Storage</t>
  </si>
  <si>
    <t>Procedure</t>
  </si>
  <si>
    <t>Step 1</t>
  </si>
  <si>
    <t>Step 2</t>
  </si>
  <si>
    <t>Step 3</t>
  </si>
  <si>
    <t>Step 4</t>
  </si>
  <si>
    <t>Step 5</t>
  </si>
  <si>
    <t xml:space="preserve">Step 6 </t>
  </si>
  <si>
    <t>Remaining load after PV</t>
  </si>
  <si>
    <t>Step 7</t>
  </si>
  <si>
    <t>Step 8</t>
  </si>
  <si>
    <t>Step 9</t>
  </si>
  <si>
    <t>Step 10</t>
  </si>
  <si>
    <t>Step 11</t>
  </si>
  <si>
    <t>Step 12</t>
  </si>
  <si>
    <t>Step 13</t>
  </si>
  <si>
    <t>Step 14</t>
  </si>
  <si>
    <t>Note: 2018 pricing is expected to be 20.8% lower on current cost trends.</t>
  </si>
  <si>
    <t>Base incremental Distributed Resources</t>
  </si>
  <si>
    <t>Installed cost</t>
  </si>
  <si>
    <t>Fuel Costs ($/MWH)</t>
  </si>
  <si>
    <t>MWH/ year</t>
  </si>
  <si>
    <t>Operations, Maintenance and Fuel</t>
  </si>
  <si>
    <t xml:space="preserve">Tthe CAISO study includes extrapolations of load in 2022 from 2014, 2015, and 2016 load profile as the basis for each scenario.  This study uses the same set of load profiles. </t>
  </si>
  <si>
    <t xml:space="preserve">Each scenario accounts for voltage limits to produce three different "Remaining Load To Serve" for each scenario.  This study takes the "Remaining Load to Serve" profile for Scenario 1 to model a replacement for Puente, and the profile from Scenario 3 to model a replacement for Puente and Ellwood jointly. </t>
  </si>
  <si>
    <t>This study models PV solar and storage hybrid systems to replace the capacity of Puente Power Project alone (Scenario 4) or Puente and Ellwood together (Scenario 5).</t>
  </si>
  <si>
    <t xml:space="preserve">The "Remaining Load to Serve" profiles were taken from line 6 of each of the "iteration 1" tables for Scenarios 1 and 3.  These appear in the "Load Profiles" tab.  These are the basis for each scenario tab. </t>
  </si>
  <si>
    <t>Unlike in the CAISO study, the PV component follows a daily profile based on CAISO data (taken from our prior Ellwood study) to deliver generation factors profiles (line 25-26.)</t>
  </si>
  <si>
    <t>Incremental PV Solar + Storage are added in lines 14-18.  (Line 16 represents the Load To Serve profile after PV is included, but before energy storage is added)</t>
  </si>
  <si>
    <t>DR resources are deployed per their capacity and duration to even the peaks post PV as was distributed by CAISO</t>
  </si>
  <si>
    <t xml:space="preserve">Energy storage discharge required is calculated to meet the full remaining load  plus an additional 15 MW.  The 15 MW margin is set based on the maximum increment needed for the Power Dispatch validation in Iteration 2 (see A-2b, page 33).  This means the ES should meet all power dispatch (even if its significantly overbuilt) requirements.  However, a full power flow analysis is beyond the scope of this study. </t>
  </si>
  <si>
    <t xml:space="preserve">Energy Storage charging is calculated first as the sum of PV production above the Remaining Load to Serve. </t>
  </si>
  <si>
    <t>The dispatch capacity of the Energy Storage component is calculated in cell D17 as the maximum dispatch, rounded up to the nearest increment of 5 MW.</t>
  </si>
  <si>
    <t>The total PV in the system can be varied by typing in the nameplate PV in cell D15.  The total energy storage MWH capacity is read from AC17</t>
  </si>
  <si>
    <t>Step 15</t>
  </si>
  <si>
    <t>Scenarios 4 and 5 include the same set of  base incremental distributed resources (PV solar and storage and Demand Response) assumed in the CAISO scenarios 1 - 3. These appear in lines 6 through 12 of each scenario tab.</t>
  </si>
  <si>
    <t>"Component Cost Model" and "Scenario 4 2014,""Scenario 4 2015," and "Scenario 4 2016."</t>
  </si>
  <si>
    <t>"Component Cost Model" and "Scenario 5 2014,""Scenario 5 2015," and "Scenario 5 2016."</t>
  </si>
  <si>
    <t xml:space="preserve">Scenario 4 and 5 tabs. </t>
  </si>
  <si>
    <t>Nameplate (MW)</t>
  </si>
  <si>
    <t>Puente Power Project</t>
  </si>
  <si>
    <t>Total non-levelized nominal cost*</t>
  </si>
  <si>
    <t xml:space="preserve">*Assumes nominal costs of fuel and maintenance remain constant over 30 years.  As such the totals are indicative of overall trends, rather than actual cost estimates. </t>
  </si>
  <si>
    <t>Operations &amp; Maintenance                     ($/MWH or $ per kW capacity)</t>
  </si>
  <si>
    <t xml:space="preserve">The Clean Coaltion augmented the CAISO study of DER alternatives to the Puente Power Project and the Ellwood Peaker.  Scenario 4 modeled replacing the Puente Power Project with a PV solar and storage solution rather than a purely battery based approach as modeled by CAISO.  Under a slightly more sophisticated model of capacity to avoid voltage stability issues, the model identifies a 130 MW PV solar and 75 MW dispatch,  220 MWH storage hybrid system would meet capacity requirements.  This system would cost $235 million, rather than the $805 million a pure storage solution would cost as estimated by CAISO, and  less than the $299 million installation cost of the Puente Power Project. </t>
  </si>
  <si>
    <t xml:space="preserve">The CAISO Model substantially oversizes the required batteries by modeling batteries as discharging at 100% capacity during their entire dispatch period.  Sizing the batteries appropriately to allow lower levels of dispatch reduces the size of the required batteries from 990 MWh total to 830 MWh for scenario 1 and from 1760 MWh to 1655MWh. Similarly, the CAISO study models PV output as covering only five hours during the day.  Futhermore, the cost estimates of Demand Response greatly exceed cost estimates from the Lawrence Berkeley National Laboratories. </t>
  </si>
  <si>
    <t xml:space="preserve"> Scenario 5 modeled replacing both the Puente Power Project and the Ellwood Peaker (derived to CAISO's Scenario 3) with a 210 MW PV solar and 130 MW,  560 MWH energy storage hybrid system.  This storage hybrid would cost $375 million, rather than the $1.1 billion a pure storage solution would cost as estimated by CAISO.  </t>
  </si>
  <si>
    <t>ES (PV charging)</t>
  </si>
  <si>
    <t xml:space="preserve">The total Energy Storage dispatch line is summed in column AC to determine the total MWH of storage needed for the cycle.  Total PV  charging is calculated as a check that the system in fact charges the Energy Storage can charge 70% from PV solar to allow for application of the federal Investment Tax Credit. Note, where the total PV charging is less than the discharge, the energy storage system could also charge during night time hours or with larger PV installations at marginal cost. </t>
  </si>
  <si>
    <t>Operating Hours per year</t>
  </si>
  <si>
    <t xml:space="preserve">DR costs are assumed to be $100 for 1 kw-year for one hour of shedding with 20 minute dispatch.  Per LBNL, the Big Creek Ventura Area should have some 300MW of DR capacity at this price point. </t>
  </si>
  <si>
    <t>see also, https://www.greentechmedia.com/articles/read/inside-ohmconnects-4-5mw-behavioral-demand-response-contract-with-sdge</t>
  </si>
  <si>
    <t xml:space="preserve">The Cost component model calculates the total system cost based on the PV solar and storage components sized to meet the Remaining Load to Serve.   Component costs are $1.43 per watt for PV and $400 per MWH for Energy Storage, based on published 2016 estimates from the National Renewable Energy Laboratories and Lazar's levelized costs for PV and storage.    These are summed in colmun G.  The 30% ITC is taken in Column H.  In addition, cost declines of 11% a year are taken account of continued cost declines from 2016 to 2018 based on trends over the last five years. </t>
  </si>
  <si>
    <t>The costs of the "standard package" of base incremental distributed resources are calculated using the same cost component model as for the modeled incremental system for the 25 MW, 75 MWh PV solar and storage system.  Demand Response costs are not based on the cost of batteries,  but are assumed to be load shedding at rates taken from the 2017 Lawrenece Berkeley National Laboratories Study "Demand Response Potential for California
SubLAPs and Local Capacity Planning Areas An Addendum to the 2025 California Demand Response Potential Study" at $100 for 1 kW-yr for one 1h, or $100,000 for a Mwyear.</t>
  </si>
  <si>
    <t>CAISO estimate battery need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</si>
</sst>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
    <numFmt numFmtId="165" formatCode="&quot;$&quot;#,##0"/>
    <numFmt numFmtId="166" formatCode="&quot;$&quot;#,##0.00"/>
  </numFmts>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color theme="1"/>
      <name val="Arial"/>
      <family val="2"/>
    </font>
    <font>
      <sz val="12"/>
      <color theme="1"/>
      <name val="Calibri"/>
      <family val="2"/>
      <scheme val="minor"/>
    </font>
    <font>
      <sz val="14"/>
      <color theme="1"/>
      <name val="Arial"/>
      <family val="2"/>
    </font>
    <font>
      <sz val="11"/>
      <color theme="1"/>
      <name val="Arial"/>
      <family val="2"/>
    </font>
    <font>
      <b/>
      <sz val="11"/>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249977111117893"/>
        <bgColor indexed="64"/>
      </patternFill>
    </fill>
  </fills>
  <borders count="55">
    <border>
      <left/>
      <right/>
      <top/>
      <bottom/>
      <diagonal/>
    </border>
    <border>
      <left style="thin">
        <color auto="1"/>
      </left>
      <right style="thick">
        <color auto="1"/>
      </right>
      <top style="thick">
        <color auto="1"/>
      </top>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top/>
      <bottom/>
      <diagonal/>
    </border>
    <border>
      <left style="thin">
        <color auto="1"/>
      </left>
      <right style="thin">
        <color auto="1"/>
      </right>
      <top/>
      <bottom style="thick">
        <color auto="1"/>
      </bottom>
      <diagonal/>
    </border>
    <border>
      <left style="thin">
        <color auto="1"/>
      </left>
      <right style="thick">
        <color auto="1"/>
      </right>
      <top/>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n">
        <color auto="1"/>
      </right>
      <top/>
      <bottom/>
      <diagonal/>
    </border>
    <border>
      <left/>
      <right style="thick">
        <color auto="1"/>
      </right>
      <top style="thick">
        <color auto="1"/>
      </top>
      <bottom/>
      <diagonal/>
    </border>
    <border>
      <left/>
      <right style="thick">
        <color auto="1"/>
      </right>
      <top/>
      <bottom style="thick">
        <color auto="1"/>
      </bottom>
      <diagonal/>
    </border>
    <border>
      <left/>
      <right style="thick">
        <color auto="1"/>
      </right>
      <top/>
      <bottom/>
      <diagonal/>
    </border>
    <border>
      <left/>
      <right/>
      <top style="thick">
        <color auto="1"/>
      </top>
      <bottom/>
      <diagonal/>
    </border>
    <border>
      <left style="medium">
        <color indexed="64"/>
      </left>
      <right/>
      <top style="medium">
        <color indexed="64"/>
      </top>
      <bottom/>
      <diagonal/>
    </border>
    <border>
      <left/>
      <right/>
      <top style="medium">
        <color indexed="64"/>
      </top>
      <bottom/>
      <diagonal/>
    </border>
    <border>
      <left style="thick">
        <color auto="1"/>
      </left>
      <right style="thin">
        <color auto="1"/>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auto="1"/>
      </left>
      <right style="thin">
        <color auto="1"/>
      </right>
      <top style="thick">
        <color auto="1"/>
      </top>
      <bottom/>
      <diagonal/>
    </border>
    <border>
      <left/>
      <right/>
      <top/>
      <bottom style="thick">
        <color auto="1"/>
      </bottom>
      <diagonal/>
    </border>
    <border>
      <left/>
      <right/>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thick">
        <color auto="1"/>
      </right>
      <top/>
      <bottom style="double">
        <color indexed="64"/>
      </bottom>
      <diagonal/>
    </border>
    <border>
      <left style="thick">
        <color auto="1"/>
      </left>
      <right/>
      <top/>
      <bottom style="thick">
        <color auto="1"/>
      </bottom>
      <diagonal/>
    </border>
    <border>
      <left/>
      <right/>
      <top style="thick">
        <color auto="1"/>
      </top>
      <bottom style="medium">
        <color indexed="64"/>
      </bottom>
      <diagonal/>
    </border>
    <border>
      <left style="thick">
        <color auto="1"/>
      </left>
      <right style="thin">
        <color auto="1"/>
      </right>
      <top style="medium">
        <color indexed="64"/>
      </top>
      <bottom style="thick">
        <color auto="1"/>
      </bottom>
      <diagonal/>
    </border>
    <border>
      <left style="thin">
        <color auto="1"/>
      </left>
      <right style="thin">
        <color auto="1"/>
      </right>
      <top style="medium">
        <color indexed="64"/>
      </top>
      <bottom style="thick">
        <color auto="1"/>
      </bottom>
      <diagonal/>
    </border>
    <border>
      <left style="thin">
        <color auto="1"/>
      </left>
      <right style="thick">
        <color auto="1"/>
      </right>
      <top style="medium">
        <color indexed="64"/>
      </top>
      <bottom style="thick">
        <color auto="1"/>
      </bottom>
      <diagonal/>
    </border>
    <border>
      <left style="thick">
        <color indexed="64"/>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3">
    <xf numFmtId="0" fontId="0" fillId="0" borderId="0" xfId="0"/>
    <xf numFmtId="0" fontId="0" fillId="0" borderId="1" xfId="0" applyFill="1" applyBorder="1" applyAlignment="1">
      <alignment horizontal="center"/>
    </xf>
    <xf numFmtId="0" fontId="0" fillId="0" borderId="0" xfId="0" applyAlignment="1">
      <alignment horizontal="center"/>
    </xf>
    <xf numFmtId="164" fontId="0" fillId="0" borderId="0" xfId="0" applyNumberFormat="1" applyFill="1" applyBorder="1" applyAlignment="1">
      <alignment horizontal="center"/>
    </xf>
    <xf numFmtId="164" fontId="0" fillId="0" borderId="13" xfId="0" applyNumberFormat="1" applyBorder="1" applyAlignment="1">
      <alignment horizontal="center"/>
    </xf>
    <xf numFmtId="0" fontId="0" fillId="0" borderId="9" xfId="0" applyFill="1" applyBorder="1" applyAlignment="1">
      <alignment horizontal="center"/>
    </xf>
    <xf numFmtId="2" fontId="0" fillId="0" borderId="8" xfId="0" applyNumberFormat="1" applyFill="1" applyBorder="1" applyAlignment="1">
      <alignment horizontal="center"/>
    </xf>
    <xf numFmtId="0" fontId="0" fillId="0" borderId="7" xfId="0" applyBorder="1" applyAlignment="1">
      <alignment vertical="top" wrapText="1"/>
    </xf>
    <xf numFmtId="0" fontId="0" fillId="0" borderId="2" xfId="0" applyBorder="1" applyAlignment="1">
      <alignment horizontal="center" vertical="top"/>
    </xf>
    <xf numFmtId="0" fontId="1" fillId="0" borderId="4" xfId="0" applyFont="1" applyBorder="1" applyAlignment="1">
      <alignment horizontal="center"/>
    </xf>
    <xf numFmtId="0" fontId="1" fillId="0" borderId="5" xfId="0" applyFont="1" applyBorder="1"/>
    <xf numFmtId="0" fontId="3" fillId="0" borderId="0" xfId="0" applyFont="1" applyAlignment="1">
      <alignment horizontal="center"/>
    </xf>
    <xf numFmtId="0" fontId="1" fillId="0" borderId="0" xfId="0" applyFont="1" applyAlignment="1">
      <alignment vertical="top" wrapText="1"/>
    </xf>
    <xf numFmtId="0" fontId="4" fillId="0" borderId="0" xfId="0" applyFont="1" applyAlignment="1">
      <alignment vertical="top" wrapText="1"/>
    </xf>
    <xf numFmtId="0" fontId="1" fillId="0" borderId="0" xfId="0" applyFont="1"/>
    <xf numFmtId="166" fontId="1" fillId="0" borderId="0" xfId="0" applyNumberFormat="1" applyFont="1"/>
    <xf numFmtId="165" fontId="0" fillId="0" borderId="0" xfId="0" applyNumberFormat="1"/>
    <xf numFmtId="0" fontId="1" fillId="0" borderId="0" xfId="0" applyFont="1" applyFill="1" applyBorder="1"/>
    <xf numFmtId="165" fontId="0" fillId="0" borderId="0" xfId="0" applyNumberFormat="1" applyBorder="1"/>
    <xf numFmtId="166" fontId="0" fillId="0" borderId="0" xfId="0" applyNumberFormat="1"/>
    <xf numFmtId="0" fontId="5" fillId="0" borderId="0" xfId="0" applyFont="1" applyAlignment="1">
      <alignment vertical="center"/>
    </xf>
    <xf numFmtId="0" fontId="7" fillId="0" borderId="0" xfId="0" applyFont="1" applyAlignment="1">
      <alignment vertical="center"/>
    </xf>
    <xf numFmtId="0" fontId="7" fillId="0" borderId="0" xfId="0" applyFont="1"/>
    <xf numFmtId="0" fontId="6" fillId="0" borderId="0" xfId="0" applyFont="1"/>
    <xf numFmtId="0" fontId="0" fillId="0" borderId="15" xfId="0" applyFill="1" applyBorder="1" applyAlignment="1">
      <alignment horizontal="center"/>
    </xf>
    <xf numFmtId="0" fontId="0" fillId="2" borderId="0" xfId="0" applyFill="1"/>
    <xf numFmtId="0" fontId="0" fillId="0" borderId="17" xfId="0" applyFill="1" applyBorder="1" applyAlignment="1">
      <alignment horizontal="center"/>
    </xf>
    <xf numFmtId="0" fontId="0" fillId="0" borderId="0" xfId="0" applyFill="1" applyBorder="1" applyAlignment="1">
      <alignment horizontal="center"/>
    </xf>
    <xf numFmtId="164" fontId="0" fillId="0" borderId="2" xfId="0" applyNumberFormat="1" applyFill="1" applyBorder="1" applyAlignment="1">
      <alignment horizontal="center"/>
    </xf>
    <xf numFmtId="164" fontId="0" fillId="0" borderId="10" xfId="0" applyNumberFormat="1" applyFill="1" applyBorder="1" applyAlignment="1">
      <alignment horizontal="center"/>
    </xf>
    <xf numFmtId="164" fontId="0" fillId="0" borderId="11" xfId="0" applyNumberFormat="1" applyFill="1" applyBorder="1" applyAlignment="1">
      <alignment horizontal="center"/>
    </xf>
    <xf numFmtId="164" fontId="0" fillId="0" borderId="7" xfId="0" applyNumberFormat="1" applyFill="1" applyBorder="1" applyAlignment="1">
      <alignment horizontal="center"/>
    </xf>
    <xf numFmtId="164" fontId="0" fillId="0" borderId="3" xfId="0" applyNumberFormat="1" applyFill="1" applyBorder="1" applyAlignment="1">
      <alignment horizontal="center"/>
    </xf>
    <xf numFmtId="164" fontId="0" fillId="0" borderId="8" xfId="0" applyNumberFormat="1" applyFill="1" applyBorder="1" applyAlignment="1">
      <alignment horizontal="center"/>
    </xf>
    <xf numFmtId="164" fontId="0" fillId="0" borderId="14" xfId="0" applyNumberFormat="1" applyFill="1" applyBorder="1" applyAlignment="1">
      <alignment horizontal="center"/>
    </xf>
    <xf numFmtId="0" fontId="0" fillId="0" borderId="0" xfId="0" applyFill="1" applyBorder="1"/>
    <xf numFmtId="0" fontId="0" fillId="0" borderId="0" xfId="0" applyFill="1" applyBorder="1" applyAlignment="1">
      <alignment horizontal="left"/>
    </xf>
    <xf numFmtId="2" fontId="0" fillId="0" borderId="0" xfId="0" applyNumberFormat="1" applyFill="1" applyBorder="1" applyAlignment="1">
      <alignment horizontal="center"/>
    </xf>
    <xf numFmtId="0" fontId="0" fillId="0" borderId="16"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17" xfId="0" applyFill="1" applyBorder="1" applyAlignment="1">
      <alignment horizontal="left"/>
    </xf>
    <xf numFmtId="0" fontId="0" fillId="0" borderId="20" xfId="0" applyFill="1" applyBorder="1" applyAlignment="1">
      <alignment horizontal="left"/>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vertical="center"/>
    </xf>
    <xf numFmtId="164" fontId="0" fillId="0" borderId="10" xfId="0" applyNumberFormat="1" applyFill="1" applyBorder="1"/>
    <xf numFmtId="164" fontId="0" fillId="0" borderId="11" xfId="0" applyNumberFormat="1" applyFill="1" applyBorder="1"/>
    <xf numFmtId="164" fontId="0" fillId="0" borderId="8" xfId="0" applyNumberFormat="1" applyFill="1" applyBorder="1"/>
    <xf numFmtId="0" fontId="0" fillId="0" borderId="10" xfId="0" applyFill="1" applyBorder="1"/>
    <xf numFmtId="0" fontId="0" fillId="0" borderId="11" xfId="0" applyFill="1" applyBorder="1"/>
    <xf numFmtId="0" fontId="0" fillId="0" borderId="8" xfId="0" applyFill="1" applyBorder="1"/>
    <xf numFmtId="2" fontId="0" fillId="0" borderId="10" xfId="0" applyNumberFormat="1" applyFill="1" applyBorder="1" applyAlignment="1">
      <alignment horizontal="center"/>
    </xf>
    <xf numFmtId="2" fontId="0" fillId="0" borderId="11" xfId="0" applyNumberFormat="1" applyFill="1" applyBorder="1" applyAlignment="1">
      <alignment horizontal="center"/>
    </xf>
    <xf numFmtId="2" fontId="0" fillId="0" borderId="18" xfId="0" applyNumberFormat="1" applyFill="1" applyBorder="1" applyAlignment="1">
      <alignment horizontal="center"/>
    </xf>
    <xf numFmtId="2" fontId="0" fillId="0" borderId="25" xfId="0" applyNumberFormat="1" applyFill="1" applyBorder="1" applyAlignment="1">
      <alignment horizontal="center"/>
    </xf>
    <xf numFmtId="2" fontId="0" fillId="0" borderId="26" xfId="0" applyNumberFormat="1" applyFill="1" applyBorder="1" applyAlignment="1">
      <alignment horizontal="center"/>
    </xf>
    <xf numFmtId="0" fontId="0" fillId="0" borderId="11"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22" xfId="0" applyFont="1" applyFill="1" applyBorder="1"/>
    <xf numFmtId="0" fontId="0" fillId="0" borderId="23" xfId="0" applyFont="1" applyFill="1" applyBorder="1"/>
    <xf numFmtId="0" fontId="0" fillId="0" borderId="24" xfId="0" applyFont="1" applyFill="1" applyBorder="1"/>
    <xf numFmtId="0" fontId="0" fillId="0" borderId="0" xfId="0" applyBorder="1" applyAlignment="1">
      <alignment horizontal="center" textRotation="90" wrapText="1"/>
    </xf>
    <xf numFmtId="0" fontId="0" fillId="0" borderId="15" xfId="0" applyFill="1" applyBorder="1"/>
    <xf numFmtId="0" fontId="0" fillId="0" borderId="27" xfId="0" applyFill="1" applyBorder="1" applyAlignment="1">
      <alignment horizontal="center"/>
    </xf>
    <xf numFmtId="164" fontId="0" fillId="0" borderId="28" xfId="0" applyNumberFormat="1" applyFill="1" applyBorder="1" applyAlignment="1">
      <alignment horizontal="center"/>
    </xf>
    <xf numFmtId="0" fontId="0" fillId="0" borderId="28" xfId="0" applyFill="1" applyBorder="1" applyAlignment="1">
      <alignment horizontal="center"/>
    </xf>
    <xf numFmtId="164" fontId="0" fillId="0" borderId="14" xfId="0" applyNumberFormat="1" applyFill="1" applyBorder="1" applyAlignment="1">
      <alignment horizontal="center" wrapText="1"/>
    </xf>
    <xf numFmtId="1" fontId="0" fillId="0" borderId="10" xfId="0" applyNumberFormat="1" applyFill="1" applyBorder="1" applyAlignment="1">
      <alignment horizontal="center"/>
    </xf>
    <xf numFmtId="164" fontId="0" fillId="0" borderId="13" xfId="0" applyNumberFormat="1" applyBorder="1"/>
    <xf numFmtId="1" fontId="0" fillId="0" borderId="11" xfId="0" applyNumberFormat="1" applyFill="1" applyBorder="1" applyAlignment="1">
      <alignment horizontal="center"/>
    </xf>
    <xf numFmtId="1" fontId="0" fillId="0" borderId="8" xfId="0" applyNumberFormat="1" applyFill="1" applyBorder="1" applyAlignment="1">
      <alignment horizontal="center"/>
    </xf>
    <xf numFmtId="0" fontId="0" fillId="0" borderId="18" xfId="0" applyFill="1" applyBorder="1"/>
    <xf numFmtId="0" fontId="0" fillId="0" borderId="25" xfId="0" applyFill="1" applyBorder="1"/>
    <xf numFmtId="0" fontId="0" fillId="0" borderId="26" xfId="0" applyFill="1" applyBorder="1"/>
    <xf numFmtId="0" fontId="5" fillId="0" borderId="0" xfId="0" applyFont="1"/>
    <xf numFmtId="0" fontId="1" fillId="0" borderId="0" xfId="0" applyFont="1" applyFill="1" applyBorder="1" applyAlignment="1">
      <alignment horizontal="center"/>
    </xf>
    <xf numFmtId="164" fontId="1" fillId="0" borderId="10" xfId="0" applyNumberFormat="1" applyFont="1" applyFill="1" applyBorder="1"/>
    <xf numFmtId="164" fontId="1" fillId="0" borderId="11" xfId="0" applyNumberFormat="1" applyFont="1" applyFill="1" applyBorder="1"/>
    <xf numFmtId="164" fontId="1" fillId="0" borderId="8" xfId="0" applyNumberFormat="1" applyFont="1" applyFill="1" applyBorder="1"/>
    <xf numFmtId="0" fontId="0" fillId="0" borderId="0" xfId="0" applyFont="1" applyFill="1" applyBorder="1"/>
    <xf numFmtId="0" fontId="0" fillId="0" borderId="6" xfId="0" applyBorder="1"/>
    <xf numFmtId="165" fontId="0" fillId="0" borderId="14" xfId="0" applyNumberFormat="1" applyBorder="1"/>
    <xf numFmtId="0" fontId="0" fillId="0" borderId="13" xfId="0" applyBorder="1" applyAlignment="1">
      <alignment horizontal="center"/>
    </xf>
    <xf numFmtId="0" fontId="1" fillId="4" borderId="0" xfId="0" applyFont="1" applyFill="1"/>
    <xf numFmtId="165" fontId="0" fillId="4" borderId="0" xfId="0" applyNumberFormat="1" applyFill="1" applyBorder="1"/>
    <xf numFmtId="165" fontId="0" fillId="4" borderId="0" xfId="0" applyNumberFormat="1" applyFill="1"/>
    <xf numFmtId="164" fontId="0" fillId="5" borderId="14" xfId="0" applyNumberFormat="1" applyFill="1" applyBorder="1" applyAlignment="1">
      <alignment horizontal="center"/>
    </xf>
    <xf numFmtId="164" fontId="0" fillId="5" borderId="0" xfId="0" applyNumberFormat="1" applyFill="1" applyBorder="1" applyAlignment="1">
      <alignment horizontal="center"/>
    </xf>
    <xf numFmtId="0" fontId="0" fillId="6" borderId="0" xfId="0" applyFill="1"/>
    <xf numFmtId="0" fontId="0" fillId="6" borderId="0" xfId="0" applyFill="1" applyBorder="1" applyAlignment="1">
      <alignment horizontal="left" vertical="top"/>
    </xf>
    <xf numFmtId="0" fontId="1" fillId="6" borderId="0" xfId="0" applyFont="1" applyFill="1"/>
    <xf numFmtId="0" fontId="1" fillId="6" borderId="0" xfId="0" applyFont="1" applyFill="1" applyAlignment="1">
      <alignment horizontal="left" vertical="top"/>
    </xf>
    <xf numFmtId="0" fontId="0" fillId="6" borderId="0" xfId="0" applyFill="1" applyAlignment="1">
      <alignment horizontal="left" vertical="top"/>
    </xf>
    <xf numFmtId="2" fontId="0" fillId="0" borderId="0" xfId="0" applyNumberFormat="1"/>
    <xf numFmtId="0" fontId="1" fillId="7" borderId="0" xfId="0" applyFont="1" applyFill="1"/>
    <xf numFmtId="165" fontId="0" fillId="7" borderId="0" xfId="0" applyNumberFormat="1" applyFill="1" applyBorder="1"/>
    <xf numFmtId="165" fontId="0" fillId="7" borderId="0" xfId="0" applyNumberFormat="1" applyFill="1"/>
    <xf numFmtId="164" fontId="0" fillId="8" borderId="0" xfId="0" applyNumberFormat="1" applyFill="1" applyBorder="1" applyAlignment="1">
      <alignment horizontal="center"/>
    </xf>
    <xf numFmtId="164" fontId="0" fillId="8" borderId="14" xfId="0" applyNumberFormat="1" applyFill="1" applyBorder="1" applyAlignment="1">
      <alignment horizontal="center"/>
    </xf>
    <xf numFmtId="0" fontId="1" fillId="2" borderId="0" xfId="0" applyFont="1" applyFill="1"/>
    <xf numFmtId="165" fontId="0" fillId="2" borderId="0" xfId="0" applyNumberFormat="1" applyFill="1" applyBorder="1"/>
    <xf numFmtId="165" fontId="0" fillId="2" borderId="0" xfId="0" applyNumberFormat="1" applyFill="1"/>
    <xf numFmtId="0" fontId="1" fillId="3" borderId="0" xfId="0" applyFont="1" applyFill="1"/>
    <xf numFmtId="165" fontId="0" fillId="3" borderId="0" xfId="0" applyNumberFormat="1" applyFill="1" applyBorder="1"/>
    <xf numFmtId="165" fontId="0" fillId="3" borderId="0" xfId="0" applyNumberFormat="1" applyFill="1"/>
    <xf numFmtId="0" fontId="0" fillId="9" borderId="29" xfId="0" applyFill="1" applyBorder="1"/>
    <xf numFmtId="0" fontId="0" fillId="9" borderId="29" xfId="0" applyFill="1" applyBorder="1" applyAlignment="1">
      <alignment horizontal="center"/>
    </xf>
    <xf numFmtId="164" fontId="0" fillId="9" borderId="30" xfId="0" applyNumberFormat="1" applyFill="1" applyBorder="1"/>
    <xf numFmtId="164" fontId="0" fillId="9" borderId="31" xfId="0" applyNumberFormat="1" applyFill="1" applyBorder="1"/>
    <xf numFmtId="164" fontId="0" fillId="9" borderId="32" xfId="0" applyNumberFormat="1" applyFill="1" applyBorder="1"/>
    <xf numFmtId="0" fontId="0" fillId="0" borderId="0" xfId="0" applyFont="1" applyFill="1" applyBorder="1" applyAlignment="1">
      <alignment horizontal="center"/>
    </xf>
    <xf numFmtId="164" fontId="0" fillId="0" borderId="10" xfId="0" applyNumberFormat="1" applyFont="1" applyFill="1" applyBorder="1"/>
    <xf numFmtId="164" fontId="0" fillId="0" borderId="11" xfId="0" applyNumberFormat="1" applyFont="1" applyFill="1" applyBorder="1"/>
    <xf numFmtId="164" fontId="0" fillId="0" borderId="8" xfId="0" applyNumberFormat="1" applyFont="1" applyFill="1" applyBorder="1"/>
    <xf numFmtId="0" fontId="9" fillId="9" borderId="29" xfId="0" applyFont="1" applyFill="1" applyBorder="1"/>
    <xf numFmtId="0" fontId="9" fillId="9" borderId="29" xfId="0" applyFont="1" applyFill="1" applyBorder="1" applyAlignment="1">
      <alignment horizontal="center"/>
    </xf>
    <xf numFmtId="164" fontId="9" fillId="9" borderId="30" xfId="0" applyNumberFormat="1" applyFont="1" applyFill="1" applyBorder="1"/>
    <xf numFmtId="164" fontId="9" fillId="9" borderId="31" xfId="0" applyNumberFormat="1" applyFont="1" applyFill="1" applyBorder="1"/>
    <xf numFmtId="164" fontId="9" fillId="9" borderId="32" xfId="0" applyNumberFormat="1" applyFont="1" applyFill="1" applyBorder="1"/>
    <xf numFmtId="0" fontId="9" fillId="2" borderId="0" xfId="0" applyFont="1" applyFill="1"/>
    <xf numFmtId="0" fontId="9" fillId="2" borderId="0" xfId="0" applyFont="1" applyFill="1" applyBorder="1"/>
    <xf numFmtId="0" fontId="9" fillId="0" borderId="0" xfId="0" applyFont="1" applyFill="1"/>
    <xf numFmtId="0" fontId="9" fillId="0" borderId="0" xfId="0" applyFont="1" applyFill="1" applyBorder="1"/>
    <xf numFmtId="0" fontId="5" fillId="0" borderId="8" xfId="0" applyFont="1" applyFill="1" applyBorder="1" applyAlignment="1">
      <alignment vertical="center"/>
    </xf>
    <xf numFmtId="0" fontId="8" fillId="0" borderId="34" xfId="0" applyFont="1" applyFill="1" applyBorder="1" applyAlignment="1">
      <alignment vertical="center"/>
    </xf>
    <xf numFmtId="0" fontId="8" fillId="0" borderId="22" xfId="0" applyFont="1" applyFill="1" applyBorder="1" applyAlignment="1">
      <alignment vertical="center"/>
    </xf>
    <xf numFmtId="0" fontId="8" fillId="0" borderId="23" xfId="0" applyFont="1" applyFill="1" applyBorder="1" applyAlignment="1">
      <alignment vertical="center"/>
    </xf>
    <xf numFmtId="0" fontId="8" fillId="0" borderId="24" xfId="0" applyFont="1" applyFill="1" applyBorder="1" applyAlignment="1">
      <alignment vertical="center"/>
    </xf>
    <xf numFmtId="0" fontId="0" fillId="0" borderId="34"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0" fillId="0" borderId="2" xfId="0" applyFont="1" applyBorder="1"/>
    <xf numFmtId="0" fontId="0" fillId="0" borderId="7" xfId="0" applyFont="1" applyBorder="1"/>
    <xf numFmtId="0" fontId="0" fillId="0" borderId="3" xfId="0" applyFont="1" applyBorder="1"/>
    <xf numFmtId="1" fontId="0" fillId="0" borderId="35" xfId="0" applyNumberFormat="1" applyFill="1" applyBorder="1" applyAlignment="1">
      <alignment horizontal="center"/>
    </xf>
    <xf numFmtId="1" fontId="0" fillId="0" borderId="36" xfId="0" applyNumberFormat="1" applyFill="1" applyBorder="1" applyAlignment="1">
      <alignment horizontal="center"/>
    </xf>
    <xf numFmtId="1" fontId="0" fillId="0" borderId="37" xfId="0" applyNumberFormat="1" applyFill="1" applyBorder="1" applyAlignment="1">
      <alignment horizontal="center"/>
    </xf>
    <xf numFmtId="165" fontId="0" fillId="6" borderId="0" xfId="0" applyNumberFormat="1" applyFill="1" applyBorder="1"/>
    <xf numFmtId="165" fontId="0" fillId="6" borderId="0" xfId="0" applyNumberFormat="1" applyFill="1"/>
    <xf numFmtId="2" fontId="0" fillId="0" borderId="35" xfId="0" applyNumberFormat="1" applyFill="1" applyBorder="1" applyAlignment="1">
      <alignment horizontal="center"/>
    </xf>
    <xf numFmtId="2" fontId="0" fillId="0" borderId="36" xfId="0" applyNumberFormat="1" applyFill="1" applyBorder="1" applyAlignment="1">
      <alignment horizontal="center"/>
    </xf>
    <xf numFmtId="2" fontId="0" fillId="0" borderId="37" xfId="0" applyNumberFormat="1" applyFill="1" applyBorder="1" applyAlignment="1">
      <alignment horizontal="center"/>
    </xf>
    <xf numFmtId="0" fontId="0" fillId="0" borderId="18"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24" xfId="0" applyFont="1" applyFill="1" applyBorder="1" applyAlignment="1">
      <alignment vertical="center"/>
    </xf>
    <xf numFmtId="0" fontId="6" fillId="0" borderId="22" xfId="0" applyFont="1" applyFill="1" applyBorder="1" applyAlignment="1">
      <alignment vertical="center"/>
    </xf>
    <xf numFmtId="0" fontId="6" fillId="0" borderId="23" xfId="0" applyFont="1" applyFill="1" applyBorder="1" applyAlignment="1">
      <alignment vertical="center"/>
    </xf>
    <xf numFmtId="165" fontId="0" fillId="0" borderId="0" xfId="0" applyNumberFormat="1" applyFill="1" applyBorder="1"/>
    <xf numFmtId="164" fontId="1" fillId="9" borderId="30" xfId="0" applyNumberFormat="1" applyFont="1" applyFill="1" applyBorder="1"/>
    <xf numFmtId="164" fontId="1" fillId="9" borderId="31" xfId="0" applyNumberFormat="1" applyFont="1" applyFill="1" applyBorder="1"/>
    <xf numFmtId="164" fontId="1" fillId="9" borderId="32" xfId="0" applyNumberFormat="1" applyFont="1" applyFill="1" applyBorder="1"/>
    <xf numFmtId="0" fontId="1" fillId="9" borderId="29" xfId="0" applyFont="1" applyFill="1" applyBorder="1"/>
    <xf numFmtId="0" fontId="1" fillId="9" borderId="29" xfId="0" applyFont="1" applyFill="1" applyBorder="1" applyAlignment="1">
      <alignment horizontal="center"/>
    </xf>
    <xf numFmtId="164" fontId="0" fillId="0" borderId="6" xfId="0" applyNumberFormat="1" applyFill="1" applyBorder="1" applyAlignment="1">
      <alignment horizontal="center"/>
    </xf>
    <xf numFmtId="2" fontId="0" fillId="0" borderId="6" xfId="0" applyNumberFormat="1" applyFill="1" applyBorder="1" applyAlignment="1">
      <alignment horizontal="center"/>
    </xf>
    <xf numFmtId="0" fontId="0" fillId="0" borderId="6" xfId="0" applyFill="1" applyBorder="1"/>
    <xf numFmtId="0" fontId="0" fillId="0" borderId="0" xfId="0" applyBorder="1"/>
    <xf numFmtId="0" fontId="0" fillId="0" borderId="21" xfId="0" applyBorder="1" applyAlignment="1">
      <alignment textRotation="90" wrapText="1"/>
    </xf>
    <xf numFmtId="0" fontId="0" fillId="0" borderId="19" xfId="0" applyBorder="1" applyAlignment="1">
      <alignment textRotation="90" wrapText="1"/>
    </xf>
    <xf numFmtId="0" fontId="1" fillId="0" borderId="0" xfId="0" applyFont="1" applyBorder="1" applyAlignment="1">
      <alignment wrapText="1"/>
    </xf>
    <xf numFmtId="0" fontId="0" fillId="0" borderId="15" xfId="0" applyFill="1" applyBorder="1" applyAlignment="1">
      <alignment horizontal="left"/>
    </xf>
    <xf numFmtId="0" fontId="0" fillId="0" borderId="15" xfId="0" applyFont="1" applyBorder="1"/>
    <xf numFmtId="165" fontId="0" fillId="0" borderId="38" xfId="0" applyNumberFormat="1" applyBorder="1"/>
    <xf numFmtId="165" fontId="0" fillId="0" borderId="15" xfId="0" applyNumberFormat="1" applyBorder="1"/>
    <xf numFmtId="165" fontId="0" fillId="0" borderId="12" xfId="0" applyNumberFormat="1" applyBorder="1"/>
    <xf numFmtId="0" fontId="0" fillId="0" borderId="0" xfId="0" applyFont="1" applyBorder="1"/>
    <xf numFmtId="0" fontId="0" fillId="0" borderId="28" xfId="0" applyFill="1" applyBorder="1" applyAlignment="1">
      <alignment horizontal="left"/>
    </xf>
    <xf numFmtId="0" fontId="0" fillId="0" borderId="28" xfId="0" applyFont="1" applyBorder="1"/>
    <xf numFmtId="0" fontId="0" fillId="0" borderId="28" xfId="0" applyFont="1" applyFill="1" applyBorder="1"/>
    <xf numFmtId="0" fontId="0" fillId="0" borderId="33" xfId="0" applyBorder="1"/>
    <xf numFmtId="165" fontId="0" fillId="0" borderId="28" xfId="0" applyNumberFormat="1" applyBorder="1"/>
    <xf numFmtId="165" fontId="0" fillId="0" borderId="13" xfId="0" applyNumberFormat="1" applyBorder="1"/>
    <xf numFmtId="166" fontId="10" fillId="0" borderId="0" xfId="0" applyNumberFormat="1" applyFont="1"/>
    <xf numFmtId="0" fontId="0" fillId="0" borderId="0" xfId="0" applyAlignment="1">
      <alignment horizontal="left" vertical="top"/>
    </xf>
    <xf numFmtId="0" fontId="0" fillId="2" borderId="0" xfId="0" applyFill="1" applyBorder="1" applyAlignment="1">
      <alignment horizontal="left" vertical="top"/>
    </xf>
    <xf numFmtId="0" fontId="0" fillId="2" borderId="0" xfId="0" applyFill="1" applyAlignment="1">
      <alignment horizontal="left" vertical="top"/>
    </xf>
    <xf numFmtId="6" fontId="0" fillId="0" borderId="39" xfId="0" applyNumberFormat="1" applyBorder="1"/>
    <xf numFmtId="165" fontId="0" fillId="0" borderId="40" xfId="0" applyNumberFormat="1" applyBorder="1"/>
    <xf numFmtId="166" fontId="0" fillId="0" borderId="41" xfId="0" applyNumberFormat="1" applyFont="1" applyBorder="1"/>
    <xf numFmtId="166" fontId="0" fillId="0" borderId="42" xfId="0" applyNumberFormat="1" applyBorder="1"/>
    <xf numFmtId="0" fontId="0" fillId="0" borderId="0" xfId="0" applyAlignment="1">
      <alignment wrapText="1"/>
    </xf>
    <xf numFmtId="166" fontId="0" fillId="0" borderId="44" xfId="0" applyNumberFormat="1" applyFont="1" applyBorder="1"/>
    <xf numFmtId="166" fontId="0" fillId="0" borderId="45" xfId="0" applyNumberFormat="1" applyBorder="1"/>
    <xf numFmtId="0" fontId="0" fillId="0" borderId="43" xfId="0" applyBorder="1"/>
    <xf numFmtId="0" fontId="0" fillId="0" borderId="46" xfId="0" applyBorder="1"/>
    <xf numFmtId="0" fontId="0" fillId="0" borderId="47" xfId="0" applyBorder="1"/>
    <xf numFmtId="3" fontId="0" fillId="0" borderId="48" xfId="0" applyNumberFormat="1" applyBorder="1"/>
    <xf numFmtId="0" fontId="0" fillId="0" borderId="49" xfId="0" applyBorder="1"/>
    <xf numFmtId="165" fontId="0" fillId="0" borderId="50" xfId="0" applyNumberFormat="1" applyBorder="1"/>
    <xf numFmtId="165" fontId="0" fillId="0" borderId="51" xfId="0" applyNumberFormat="1" applyBorder="1"/>
    <xf numFmtId="0" fontId="1" fillId="4" borderId="52" xfId="0" applyFont="1" applyFill="1" applyBorder="1"/>
    <xf numFmtId="0" fontId="1" fillId="4" borderId="53" xfId="0" applyFont="1" applyFill="1" applyBorder="1"/>
    <xf numFmtId="165" fontId="0" fillId="4" borderId="53" xfId="0" applyNumberFormat="1" applyFill="1" applyBorder="1"/>
    <xf numFmtId="165" fontId="0" fillId="4" borderId="54" xfId="0" applyNumberFormat="1" applyFill="1" applyBorder="1"/>
    <xf numFmtId="0" fontId="1" fillId="3" borderId="52" xfId="0" applyFont="1" applyFill="1" applyBorder="1"/>
    <xf numFmtId="0" fontId="1" fillId="3" borderId="53" xfId="0" applyFont="1" applyFill="1" applyBorder="1"/>
    <xf numFmtId="165" fontId="0" fillId="3" borderId="53" xfId="0" applyNumberFormat="1" applyFill="1" applyBorder="1"/>
    <xf numFmtId="165" fontId="0" fillId="0" borderId="54" xfId="0" applyNumberFormat="1" applyBorder="1"/>
    <xf numFmtId="0" fontId="0" fillId="6" borderId="0" xfId="0" applyFill="1" applyBorder="1" applyAlignment="1">
      <alignment horizontal="left" vertical="top" wrapText="1"/>
    </xf>
    <xf numFmtId="0" fontId="0" fillId="6" borderId="0" xfId="0" applyFill="1" applyAlignment="1">
      <alignment horizontal="left" vertical="top" wrapText="1"/>
    </xf>
    <xf numFmtId="0" fontId="0" fillId="6" borderId="0" xfId="0" applyFill="1" applyBorder="1" applyAlignment="1">
      <alignment horizontal="left" vertical="top"/>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top" wrapText="1"/>
    </xf>
    <xf numFmtId="0" fontId="2" fillId="0" borderId="16" xfId="0" applyFont="1" applyFill="1" applyBorder="1" applyAlignment="1">
      <alignment horizontal="center"/>
    </xf>
    <xf numFmtId="0" fontId="2" fillId="0" borderId="17"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0" fillId="0" borderId="16" xfId="0" applyBorder="1" applyAlignment="1">
      <alignment horizontal="center" textRotation="90" wrapText="1"/>
    </xf>
    <xf numFmtId="0" fontId="0" fillId="0" borderId="21" xfId="0" applyBorder="1" applyAlignment="1">
      <alignment horizontal="center" textRotation="90" wrapText="1"/>
    </xf>
    <xf numFmtId="0" fontId="0" fillId="0" borderId="19" xfId="0" applyBorder="1" applyAlignment="1">
      <alignment horizontal="center" textRotation="90" wrapText="1"/>
    </xf>
    <xf numFmtId="0" fontId="0" fillId="0" borderId="15" xfId="0" applyBorder="1" applyAlignment="1">
      <alignment horizontal="center" textRotation="90" wrapText="1"/>
    </xf>
    <xf numFmtId="0" fontId="0" fillId="0" borderId="0" xfId="0" applyBorder="1" applyAlignment="1">
      <alignment horizontal="center" textRotation="90" wrapText="1"/>
    </xf>
    <xf numFmtId="0" fontId="0" fillId="0" borderId="28" xfId="0" applyBorder="1" applyAlignment="1">
      <alignment horizontal="center" textRotation="90" wrapText="1"/>
    </xf>
    <xf numFmtId="164" fontId="0" fillId="0" borderId="12" xfId="0" applyNumberFormat="1" applyFill="1" applyBorder="1" applyAlignment="1">
      <alignment horizontal="center" wrapText="1"/>
    </xf>
    <xf numFmtId="164" fontId="0" fillId="0" borderId="14" xfId="0" applyNumberFormat="1" applyFill="1" applyBorder="1" applyAlignment="1">
      <alignment horizontal="center" wrapText="1"/>
    </xf>
    <xf numFmtId="165" fontId="0" fillId="0" borderId="0" xfId="0" applyNumberFormat="1" applyFill="1"/>
    <xf numFmtId="0" fontId="1" fillId="3"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6"/>
  <sheetViews>
    <sheetView showGridLines="0" topLeftCell="B1" workbookViewId="0">
      <selection activeCell="C4" sqref="C4"/>
    </sheetView>
  </sheetViews>
  <sheetFormatPr defaultRowHeight="14.4" x14ac:dyDescent="0.3"/>
  <cols>
    <col min="3" max="3" width="116.88671875" customWidth="1"/>
    <col min="4" max="4" width="63.109375" customWidth="1"/>
  </cols>
  <sheetData>
    <row r="1" spans="2:4" ht="15" thickBot="1" x14ac:dyDescent="0.35"/>
    <row r="2" spans="2:4" ht="15.6" thickTop="1" thickBot="1" x14ac:dyDescent="0.35">
      <c r="B2" s="9" t="s">
        <v>2</v>
      </c>
      <c r="C2" s="10" t="s">
        <v>3</v>
      </c>
      <c r="D2" s="10" t="s">
        <v>4</v>
      </c>
    </row>
    <row r="3" spans="2:4" ht="87.6" thickTop="1" thickBot="1" x14ac:dyDescent="0.35">
      <c r="B3" s="8" t="s">
        <v>1</v>
      </c>
      <c r="C3" s="7" t="s">
        <v>92</v>
      </c>
      <c r="D3" s="7" t="s">
        <v>84</v>
      </c>
    </row>
    <row r="4" spans="2:4" ht="44.4" thickTop="1" thickBot="1" x14ac:dyDescent="0.35">
      <c r="B4" s="8" t="s">
        <v>5</v>
      </c>
      <c r="C4" s="7" t="s">
        <v>94</v>
      </c>
      <c r="D4" s="7" t="s">
        <v>85</v>
      </c>
    </row>
    <row r="5" spans="2:4" ht="73.2" thickTop="1" thickBot="1" x14ac:dyDescent="0.35">
      <c r="B5" s="8" t="s">
        <v>6</v>
      </c>
      <c r="C5" s="7" t="s">
        <v>93</v>
      </c>
      <c r="D5" s="7" t="s">
        <v>86</v>
      </c>
    </row>
    <row r="6" spans="2:4" ht="15" thickTop="1" x14ac:dyDescent="0.3"/>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583E-DB74-4AEC-93B1-205DD819F0B9}">
  <dimension ref="A2:AC26"/>
  <sheetViews>
    <sheetView topLeftCell="B1" workbookViewId="0">
      <selection activeCell="D15" sqref="D15"/>
    </sheetView>
  </sheetViews>
  <sheetFormatPr defaultRowHeight="14.4" x14ac:dyDescent="0.3"/>
  <cols>
    <col min="1" max="1" width="17.109375" customWidth="1"/>
    <col min="2" max="2" width="34.5546875" customWidth="1"/>
    <col min="3" max="3" width="14.109375" style="2" customWidth="1"/>
    <col min="4" max="4" width="8.88671875" style="2"/>
    <col min="5" max="5" width="7.21875" bestFit="1" customWidth="1"/>
    <col min="6" max="6" width="6.21875" bestFit="1" customWidth="1"/>
    <col min="7" max="14" width="6.5546875" bestFit="1" customWidth="1"/>
    <col min="15" max="15" width="5.5546875" bestFit="1" customWidth="1"/>
    <col min="16" max="28" width="7.21875" bestFit="1" customWidth="1"/>
    <col min="29" max="29" width="15" customWidth="1"/>
  </cols>
  <sheetData>
    <row r="2" spans="1:29" ht="15" thickBot="1" x14ac:dyDescent="0.35"/>
    <row r="3" spans="1:29"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29" ht="18.600000000000001" thickBot="1" x14ac:dyDescent="0.4">
      <c r="B4" s="221" t="s">
        <v>16</v>
      </c>
      <c r="C4" s="222"/>
      <c r="D4" s="222"/>
      <c r="E4" s="141">
        <v>-90</v>
      </c>
      <c r="F4" s="142">
        <v>6.1</v>
      </c>
      <c r="G4" s="142">
        <v>114</v>
      </c>
      <c r="H4" s="142">
        <v>192</v>
      </c>
      <c r="I4" s="142">
        <v>253.9</v>
      </c>
      <c r="J4" s="142">
        <v>309.60000000000002</v>
      </c>
      <c r="K4" s="142">
        <v>314.10000000000002</v>
      </c>
      <c r="L4" s="142">
        <v>263.89999999999998</v>
      </c>
      <c r="M4" s="142">
        <v>182.3</v>
      </c>
      <c r="N4" s="142">
        <v>139</v>
      </c>
      <c r="O4" s="142">
        <v>25.3</v>
      </c>
      <c r="P4" s="142">
        <v>-140.5</v>
      </c>
      <c r="Q4" s="142">
        <v>-309.3</v>
      </c>
      <c r="R4" s="142">
        <v>-413.7</v>
      </c>
      <c r="S4" s="142">
        <v>-488.5</v>
      </c>
      <c r="T4" s="142">
        <v>-544.1</v>
      </c>
      <c r="U4" s="142">
        <v>-573.29999999999995</v>
      </c>
      <c r="V4" s="142">
        <v>-584.6</v>
      </c>
      <c r="W4" s="142">
        <v>-566.29999999999995</v>
      </c>
      <c r="X4" s="142">
        <v>-477.1</v>
      </c>
      <c r="Y4" s="142">
        <v>-396.4</v>
      </c>
      <c r="Z4" s="142">
        <v>-329.5</v>
      </c>
      <c r="AA4" s="142">
        <v>-232.2</v>
      </c>
      <c r="AB4" s="143">
        <v>-142.19999999999999</v>
      </c>
      <c r="AC4" s="27"/>
    </row>
    <row r="5" spans="1:29" s="25" customFormat="1" ht="15.6" thickTop="1" thickBot="1" x14ac:dyDescent="0.35">
      <c r="B5" s="27"/>
      <c r="C5" s="27"/>
      <c r="D5" s="27" t="s">
        <v>22</v>
      </c>
      <c r="E5" s="130"/>
      <c r="F5" s="130"/>
      <c r="G5" s="130"/>
      <c r="H5" s="130"/>
      <c r="I5" s="130"/>
      <c r="J5" s="130"/>
      <c r="K5" s="130"/>
      <c r="L5" s="130"/>
      <c r="M5" s="130"/>
      <c r="N5" s="130"/>
      <c r="O5" s="130"/>
      <c r="P5" s="130"/>
      <c r="Q5" s="130"/>
      <c r="R5" s="130"/>
      <c r="S5" s="130"/>
      <c r="T5" s="130"/>
      <c r="U5" s="130"/>
      <c r="V5" s="130"/>
      <c r="W5" s="130"/>
      <c r="X5" s="130"/>
      <c r="Y5" s="130"/>
      <c r="Z5" s="130"/>
      <c r="AA5" s="130"/>
      <c r="AB5" s="130"/>
      <c r="AC5" s="27"/>
    </row>
    <row r="6" spans="1:29" s="25" customFormat="1" x14ac:dyDescent="0.3">
      <c r="A6" s="223" t="s">
        <v>19</v>
      </c>
      <c r="B6" s="41" t="s">
        <v>23</v>
      </c>
      <c r="C6" s="26" t="s">
        <v>21</v>
      </c>
      <c r="D6" s="26">
        <v>0.5</v>
      </c>
      <c r="E6" s="131"/>
      <c r="F6" s="132"/>
      <c r="G6" s="136">
        <v>0.5</v>
      </c>
      <c r="H6" s="136">
        <v>0.5</v>
      </c>
      <c r="I6" s="136">
        <v>0.5</v>
      </c>
      <c r="J6" s="136">
        <v>0.5</v>
      </c>
      <c r="K6" s="132"/>
      <c r="L6" s="132"/>
      <c r="M6" s="132"/>
      <c r="N6" s="132"/>
      <c r="O6" s="132"/>
      <c r="P6" s="132"/>
      <c r="Q6" s="132"/>
      <c r="R6" s="132"/>
      <c r="S6" s="132"/>
      <c r="T6" s="132"/>
      <c r="U6" s="132"/>
      <c r="V6" s="132"/>
      <c r="W6" s="132"/>
      <c r="X6" s="132"/>
      <c r="Y6" s="132"/>
      <c r="Z6" s="132"/>
      <c r="AA6" s="132"/>
      <c r="AB6" s="133"/>
      <c r="AC6" s="27"/>
    </row>
    <row r="7" spans="1:29" x14ac:dyDescent="0.3">
      <c r="A7" s="224"/>
      <c r="B7" s="36" t="s">
        <v>24</v>
      </c>
      <c r="C7" s="27" t="s">
        <v>20</v>
      </c>
      <c r="D7" s="27">
        <v>25</v>
      </c>
      <c r="E7" s="48">
        <f t="shared" ref="E7:AB7" si="0">+$D7*E26</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35"/>
    </row>
    <row r="8" spans="1:29"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168"/>
    </row>
    <row r="9" spans="1:29" x14ac:dyDescent="0.3">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6"/>
    </row>
    <row r="10" spans="1:29" x14ac:dyDescent="0.3">
      <c r="A10" s="224"/>
      <c r="B10" s="36" t="s">
        <v>25</v>
      </c>
      <c r="C10" s="27"/>
      <c r="D10" s="27">
        <v>18.100000000000001</v>
      </c>
      <c r="E10" s="54"/>
      <c r="F10" s="55"/>
      <c r="H10" s="59"/>
      <c r="I10" s="59">
        <v>18.100000000000001</v>
      </c>
      <c r="J10" s="59">
        <v>18.100000000000001</v>
      </c>
      <c r="K10" s="59">
        <v>18.100000000000001</v>
      </c>
      <c r="L10" s="59">
        <v>18.100000000000001</v>
      </c>
      <c r="M10" s="59">
        <v>18.100000000000001</v>
      </c>
      <c r="N10" s="55">
        <v>18.100000000000001</v>
      </c>
      <c r="O10" s="55"/>
      <c r="P10" s="55"/>
      <c r="Q10" s="55"/>
      <c r="R10" s="55"/>
      <c r="S10" s="55"/>
      <c r="T10" s="55"/>
      <c r="U10" s="55"/>
      <c r="V10" s="55"/>
      <c r="W10" s="55"/>
      <c r="X10" s="55"/>
      <c r="Y10" s="55"/>
      <c r="Z10" s="55"/>
      <c r="AA10" s="55"/>
      <c r="AB10" s="6"/>
      <c r="AC10" s="169"/>
    </row>
    <row r="11" spans="1:29"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29"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29" ht="15" thickBot="1" x14ac:dyDescent="0.35">
      <c r="A13" s="67"/>
      <c r="B13" s="36" t="s">
        <v>31</v>
      </c>
      <c r="C13" s="27"/>
      <c r="D13" s="27"/>
      <c r="E13" s="144">
        <f>E4-SUM(E6:E12)</f>
        <v>-89.99879995199808</v>
      </c>
      <c r="F13" s="145">
        <f t="shared" ref="F13:AB13" si="1">F4-SUM(F6:F12)</f>
        <v>-16.400900036001438</v>
      </c>
      <c r="G13" s="145">
        <f t="shared" si="1"/>
        <v>89.649045961838482</v>
      </c>
      <c r="H13" s="145">
        <f t="shared" si="1"/>
        <v>141.5990039601584</v>
      </c>
      <c r="I13" s="145">
        <f t="shared" si="1"/>
        <v>155.30000000000001</v>
      </c>
      <c r="J13" s="145">
        <f t="shared" si="1"/>
        <v>161.00120004800195</v>
      </c>
      <c r="K13" s="145">
        <f t="shared" si="1"/>
        <v>173.50150006000243</v>
      </c>
      <c r="L13" s="145">
        <f t="shared" si="1"/>
        <v>133.30090003600142</v>
      </c>
      <c r="M13" s="145">
        <f t="shared" si="1"/>
        <v>54.200000000000017</v>
      </c>
      <c r="N13" s="145">
        <f t="shared" si="1"/>
        <v>65.900000000000006</v>
      </c>
      <c r="O13" s="145">
        <f>O4-SUM(O6:O12)</f>
        <v>25.3</v>
      </c>
      <c r="P13" s="145">
        <f t="shared" si="1"/>
        <v>-60.5</v>
      </c>
      <c r="Q13" s="145">
        <f t="shared" si="1"/>
        <v>-199.20000000000002</v>
      </c>
      <c r="R13" s="145">
        <f t="shared" si="1"/>
        <v>-303.60000000000002</v>
      </c>
      <c r="S13" s="145">
        <f t="shared" si="1"/>
        <v>-378.4</v>
      </c>
      <c r="T13" s="145">
        <f t="shared" si="1"/>
        <v>-491.5</v>
      </c>
      <c r="U13" s="145">
        <f t="shared" si="1"/>
        <v>-543.19999999999993</v>
      </c>
      <c r="V13" s="145">
        <f t="shared" si="1"/>
        <v>-554.5</v>
      </c>
      <c r="W13" s="145">
        <f t="shared" si="1"/>
        <v>-566.29999999999995</v>
      </c>
      <c r="X13" s="145">
        <f t="shared" si="1"/>
        <v>-477.1</v>
      </c>
      <c r="Y13" s="145">
        <f t="shared" si="1"/>
        <v>-396.4</v>
      </c>
      <c r="Z13" s="145">
        <f t="shared" si="1"/>
        <v>-329.49909996399856</v>
      </c>
      <c r="AA13" s="145">
        <f t="shared" si="1"/>
        <v>-232.19849993999759</v>
      </c>
      <c r="AB13" s="146">
        <f t="shared" si="1"/>
        <v>-142.19969998799951</v>
      </c>
      <c r="AC13" s="37"/>
    </row>
    <row r="14" spans="1:29"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29" x14ac:dyDescent="0.3">
      <c r="A15" s="227"/>
      <c r="B15" s="3" t="s">
        <v>28</v>
      </c>
      <c r="C15" s="3" t="s">
        <v>20</v>
      </c>
      <c r="D15" s="3">
        <v>175</v>
      </c>
      <c r="E15" s="29">
        <f t="shared" ref="E15:AB15" si="2">$D15*E26</f>
        <v>139.99159966398656</v>
      </c>
      <c r="F15" s="30">
        <f t="shared" si="2"/>
        <v>157.50630025201008</v>
      </c>
      <c r="G15" s="30">
        <f t="shared" si="2"/>
        <v>166.95667826713068</v>
      </c>
      <c r="H15" s="30">
        <f t="shared" si="2"/>
        <v>174.30697227889115</v>
      </c>
      <c r="I15" s="30">
        <f t="shared" si="2"/>
        <v>175</v>
      </c>
      <c r="J15" s="30">
        <f t="shared" si="2"/>
        <v>139.99159966398656</v>
      </c>
      <c r="K15" s="30">
        <f t="shared" si="2"/>
        <v>87.489499579983203</v>
      </c>
      <c r="L15" s="30">
        <f t="shared" si="2"/>
        <v>17.493699747989918</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17.493699747989918</v>
      </c>
      <c r="AA15" s="30">
        <f t="shared" si="2"/>
        <v>87.489499579983203</v>
      </c>
      <c r="AB15" s="33">
        <f t="shared" si="2"/>
        <v>122.49789991599664</v>
      </c>
      <c r="AC15" s="230"/>
    </row>
    <row r="16" spans="1:29" hidden="1" x14ac:dyDescent="0.3">
      <c r="A16" s="227"/>
      <c r="B16" s="3"/>
      <c r="C16" s="3"/>
      <c r="D16" s="3"/>
      <c r="E16" s="73">
        <f>E13-E15</f>
        <v>-229.99039961598464</v>
      </c>
      <c r="F16" s="75">
        <f t="shared" ref="F16:AB16" si="3">F13-F15</f>
        <v>-173.90720028801152</v>
      </c>
      <c r="G16" s="75">
        <f t="shared" si="3"/>
        <v>-77.307632305292202</v>
      </c>
      <c r="H16" s="75">
        <f t="shared" si="3"/>
        <v>-32.707968318732753</v>
      </c>
      <c r="I16" s="75">
        <f t="shared" si="3"/>
        <v>-19.699999999999989</v>
      </c>
      <c r="J16" s="75">
        <f t="shared" si="3"/>
        <v>21.009600384015386</v>
      </c>
      <c r="K16" s="75">
        <f t="shared" si="3"/>
        <v>86.012000480019225</v>
      </c>
      <c r="L16" s="75">
        <f t="shared" si="3"/>
        <v>115.8072002880115</v>
      </c>
      <c r="M16" s="75">
        <f t="shared" si="3"/>
        <v>54.200000000000017</v>
      </c>
      <c r="N16" s="75">
        <f t="shared" si="3"/>
        <v>65.900000000000006</v>
      </c>
      <c r="O16" s="75">
        <f t="shared" si="3"/>
        <v>25.3</v>
      </c>
      <c r="P16" s="75">
        <f t="shared" si="3"/>
        <v>-60.5</v>
      </c>
      <c r="Q16" s="75">
        <f t="shared" si="3"/>
        <v>-199.20000000000002</v>
      </c>
      <c r="R16" s="75">
        <f t="shared" si="3"/>
        <v>-303.60000000000002</v>
      </c>
      <c r="S16" s="75">
        <f t="shared" si="3"/>
        <v>-378.4</v>
      </c>
      <c r="T16" s="75">
        <f t="shared" si="3"/>
        <v>-491.5</v>
      </c>
      <c r="U16" s="75">
        <f t="shared" si="3"/>
        <v>-543.19999999999993</v>
      </c>
      <c r="V16" s="75">
        <f t="shared" si="3"/>
        <v>-554.5</v>
      </c>
      <c r="W16" s="75">
        <f t="shared" si="3"/>
        <v>-566.29999999999995</v>
      </c>
      <c r="X16" s="75">
        <f t="shared" si="3"/>
        <v>-477.1</v>
      </c>
      <c r="Y16" s="75">
        <f t="shared" si="3"/>
        <v>-396.4</v>
      </c>
      <c r="Z16" s="75">
        <f t="shared" si="3"/>
        <v>-346.99279971198848</v>
      </c>
      <c r="AA16" s="75">
        <f t="shared" si="3"/>
        <v>-319.68799951998079</v>
      </c>
      <c r="AB16" s="76">
        <f t="shared" si="3"/>
        <v>-264.69759990399615</v>
      </c>
      <c r="AC16" s="72"/>
    </row>
    <row r="17" spans="1:29" x14ac:dyDescent="0.3">
      <c r="A17" s="227"/>
      <c r="B17" s="27"/>
      <c r="C17" s="27" t="s">
        <v>34</v>
      </c>
      <c r="D17" s="3">
        <f>CEILING(MAX(E17:AB17),5)</f>
        <v>135</v>
      </c>
      <c r="E17" s="29">
        <f t="shared" ref="E17:F17" si="4">IF(E21&gt;-15,E21+15,0)</f>
        <v>0</v>
      </c>
      <c r="F17" s="30">
        <f t="shared" si="4"/>
        <v>0</v>
      </c>
      <c r="G17" s="30">
        <f>IF(G21&gt;-15,G21+15,0)</f>
        <v>0</v>
      </c>
      <c r="H17" s="30">
        <f t="shared" ref="H17:AA17" si="5">IF(H21&gt;-15,H21+15,0)</f>
        <v>0</v>
      </c>
      <c r="I17" s="30">
        <f t="shared" si="5"/>
        <v>0</v>
      </c>
      <c r="J17" s="30">
        <f t="shared" si="5"/>
        <v>36.009600384015357</v>
      </c>
      <c r="K17" s="30">
        <f t="shared" si="5"/>
        <v>101.01200048001922</v>
      </c>
      <c r="L17" s="30">
        <f t="shared" si="5"/>
        <v>130.8072002880115</v>
      </c>
      <c r="M17" s="30">
        <f t="shared" si="5"/>
        <v>69.200000000000017</v>
      </c>
      <c r="N17" s="30">
        <f t="shared" si="5"/>
        <v>80.900000000000006</v>
      </c>
      <c r="O17" s="30">
        <f t="shared" si="5"/>
        <v>40.299999999999997</v>
      </c>
      <c r="P17" s="30">
        <f t="shared" si="5"/>
        <v>0</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34">
        <f>SUMIF(E17:AB17,"&gt;0",E17:AB17)</f>
        <v>458.22880115204606</v>
      </c>
    </row>
    <row r="18" spans="1:29" ht="15" thickBot="1" x14ac:dyDescent="0.35">
      <c r="A18" s="228"/>
      <c r="B18" s="70"/>
      <c r="C18" s="70" t="s">
        <v>95</v>
      </c>
      <c r="D18" s="71"/>
      <c r="E18" s="28">
        <f>IF(E21&lt;-15,MAX(-E15,E21+15),0)</f>
        <v>-139.99159966398656</v>
      </c>
      <c r="F18" s="31">
        <f t="shared" ref="F18" si="6">IF(F21&lt;-15,MAX(-F15,F21+15),0)</f>
        <v>-157.50630025201008</v>
      </c>
      <c r="G18" s="31">
        <f>IF(G21&lt;-15,MAX(-G15,G21+15),0)</f>
        <v>-62.307632305292202</v>
      </c>
      <c r="H18" s="31">
        <f t="shared" ref="H18:AB18" si="7">IF(H21&lt;-15,MAX(-H15,H21+15),0)</f>
        <v>-17.707968318732753</v>
      </c>
      <c r="I18" s="31">
        <f t="shared" si="7"/>
        <v>-4.7000000000000171</v>
      </c>
      <c r="J18" s="31">
        <f t="shared" si="7"/>
        <v>0</v>
      </c>
      <c r="K18" s="31">
        <f t="shared" si="7"/>
        <v>0</v>
      </c>
      <c r="L18" s="31">
        <f t="shared" si="7"/>
        <v>0</v>
      </c>
      <c r="M18" s="31">
        <f t="shared" si="7"/>
        <v>0</v>
      </c>
      <c r="N18" s="31">
        <f t="shared" si="7"/>
        <v>0</v>
      </c>
      <c r="O18" s="31">
        <f t="shared" si="7"/>
        <v>0</v>
      </c>
      <c r="P18" s="31">
        <f t="shared" si="7"/>
        <v>0</v>
      </c>
      <c r="Q18" s="31">
        <f t="shared" si="7"/>
        <v>0</v>
      </c>
      <c r="R18" s="31">
        <f t="shared" si="7"/>
        <v>0</v>
      </c>
      <c r="S18" s="31">
        <f t="shared" si="7"/>
        <v>0</v>
      </c>
      <c r="T18" s="31">
        <f t="shared" si="7"/>
        <v>0</v>
      </c>
      <c r="U18" s="31">
        <f t="shared" si="7"/>
        <v>0</v>
      </c>
      <c r="V18" s="31">
        <f t="shared" si="7"/>
        <v>0</v>
      </c>
      <c r="W18" s="31">
        <f t="shared" si="7"/>
        <v>0</v>
      </c>
      <c r="X18" s="31">
        <f t="shared" si="7"/>
        <v>0</v>
      </c>
      <c r="Y18" s="31">
        <f t="shared" si="7"/>
        <v>0</v>
      </c>
      <c r="Z18" s="31">
        <f t="shared" si="7"/>
        <v>-17.493699747989918</v>
      </c>
      <c r="AA18" s="31">
        <f t="shared" si="7"/>
        <v>-87.489499579983203</v>
      </c>
      <c r="AB18" s="32">
        <f t="shared" si="7"/>
        <v>-122.49789991599664</v>
      </c>
      <c r="AC18" s="4">
        <f>SUMIF(E18:AB18,"&lt;0",E18:AB18)</f>
        <v>-609.69459978399141</v>
      </c>
    </row>
    <row r="19" spans="1:29"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29" x14ac:dyDescent="0.3">
      <c r="B20" s="35" t="s">
        <v>36</v>
      </c>
      <c r="C20" s="27"/>
      <c r="D20" s="27"/>
      <c r="E20" s="48">
        <f t="shared" ref="E20:AB20" si="8">SUM(E6:E12)+E15</f>
        <v>139.99039961598464</v>
      </c>
      <c r="F20" s="49">
        <f t="shared" si="8"/>
        <v>180.00720028801152</v>
      </c>
      <c r="G20" s="49">
        <f t="shared" si="8"/>
        <v>191.3076323052922</v>
      </c>
      <c r="H20" s="49">
        <f t="shared" si="8"/>
        <v>224.70796831873275</v>
      </c>
      <c r="I20" s="49">
        <f t="shared" si="8"/>
        <v>273.60000000000002</v>
      </c>
      <c r="J20" s="49">
        <f t="shared" si="8"/>
        <v>288.59039961598467</v>
      </c>
      <c r="K20" s="49">
        <f t="shared" si="8"/>
        <v>228.0879995199808</v>
      </c>
      <c r="L20" s="49">
        <f t="shared" si="8"/>
        <v>148.09279971198848</v>
      </c>
      <c r="M20" s="49">
        <f t="shared" si="8"/>
        <v>128.1</v>
      </c>
      <c r="N20" s="49">
        <f t="shared" si="8"/>
        <v>73.099999999999994</v>
      </c>
      <c r="O20" s="49">
        <f t="shared" si="8"/>
        <v>0</v>
      </c>
      <c r="P20" s="49">
        <f t="shared" si="8"/>
        <v>-80</v>
      </c>
      <c r="Q20" s="49">
        <f t="shared" si="8"/>
        <v>-110.1</v>
      </c>
      <c r="R20" s="49">
        <f t="shared" si="8"/>
        <v>-110.1</v>
      </c>
      <c r="S20" s="49">
        <f t="shared" si="8"/>
        <v>-110.1</v>
      </c>
      <c r="T20" s="49">
        <f t="shared" si="8"/>
        <v>-52.6</v>
      </c>
      <c r="U20" s="49">
        <f t="shared" si="8"/>
        <v>-30.1</v>
      </c>
      <c r="V20" s="49">
        <f t="shared" si="8"/>
        <v>-30.1</v>
      </c>
      <c r="W20" s="49">
        <f t="shared" si="8"/>
        <v>0</v>
      </c>
      <c r="X20" s="49">
        <f t="shared" si="8"/>
        <v>0</v>
      </c>
      <c r="Y20" s="49">
        <f t="shared" si="8"/>
        <v>0</v>
      </c>
      <c r="Z20" s="49">
        <f t="shared" si="8"/>
        <v>17.492799711988479</v>
      </c>
      <c r="AA20" s="49">
        <f t="shared" si="8"/>
        <v>87.487999519980804</v>
      </c>
      <c r="AB20" s="50">
        <f t="shared" si="8"/>
        <v>122.49759990399616</v>
      </c>
      <c r="AC20" s="35"/>
    </row>
    <row r="21" spans="1:29" s="14" customFormat="1" x14ac:dyDescent="0.3">
      <c r="B21" s="17" t="s">
        <v>37</v>
      </c>
      <c r="C21" s="81"/>
      <c r="D21" s="81"/>
      <c r="E21" s="82">
        <f t="shared" ref="E21:AB21" si="9">E4-E20</f>
        <v>-229.99039961598464</v>
      </c>
      <c r="F21" s="83">
        <f t="shared" si="9"/>
        <v>-173.90720028801152</v>
      </c>
      <c r="G21" s="83">
        <f t="shared" si="9"/>
        <v>-77.307632305292202</v>
      </c>
      <c r="H21" s="83">
        <f t="shared" si="9"/>
        <v>-32.707968318732753</v>
      </c>
      <c r="I21" s="83">
        <f t="shared" si="9"/>
        <v>-19.700000000000017</v>
      </c>
      <c r="J21" s="83">
        <f t="shared" si="9"/>
        <v>21.009600384015357</v>
      </c>
      <c r="K21" s="83">
        <f t="shared" si="9"/>
        <v>86.012000480019225</v>
      </c>
      <c r="L21" s="83">
        <f t="shared" si="9"/>
        <v>115.8072002880115</v>
      </c>
      <c r="M21" s="83">
        <f t="shared" si="9"/>
        <v>54.200000000000017</v>
      </c>
      <c r="N21" s="83">
        <f t="shared" si="9"/>
        <v>65.900000000000006</v>
      </c>
      <c r="O21" s="83">
        <f t="shared" si="9"/>
        <v>25.3</v>
      </c>
      <c r="P21" s="83">
        <f t="shared" si="9"/>
        <v>-60.5</v>
      </c>
      <c r="Q21" s="83">
        <f t="shared" si="9"/>
        <v>-199.20000000000002</v>
      </c>
      <c r="R21" s="83">
        <f t="shared" si="9"/>
        <v>-303.60000000000002</v>
      </c>
      <c r="S21" s="83">
        <f t="shared" si="9"/>
        <v>-378.4</v>
      </c>
      <c r="T21" s="83">
        <f t="shared" si="9"/>
        <v>-491.5</v>
      </c>
      <c r="U21" s="83">
        <f t="shared" si="9"/>
        <v>-543.19999999999993</v>
      </c>
      <c r="V21" s="83">
        <f t="shared" si="9"/>
        <v>-554.5</v>
      </c>
      <c r="W21" s="83">
        <f t="shared" si="9"/>
        <v>-566.29999999999995</v>
      </c>
      <c r="X21" s="83">
        <f t="shared" si="9"/>
        <v>-477.1</v>
      </c>
      <c r="Y21" s="83">
        <f t="shared" si="9"/>
        <v>-396.4</v>
      </c>
      <c r="Z21" s="83">
        <f t="shared" si="9"/>
        <v>-346.99279971198848</v>
      </c>
      <c r="AA21" s="83">
        <f t="shared" si="9"/>
        <v>-319.68799951998079</v>
      </c>
      <c r="AB21" s="84">
        <f t="shared" si="9"/>
        <v>-264.69759990399615</v>
      </c>
      <c r="AC21" s="17"/>
    </row>
    <row r="22" spans="1:29" s="125" customFormat="1" ht="15" thickBot="1" x14ac:dyDescent="0.35">
      <c r="B22" s="120" t="s">
        <v>29</v>
      </c>
      <c r="C22" s="121"/>
      <c r="D22" s="121"/>
      <c r="E22" s="122">
        <f t="shared" ref="E22:AB22" si="10">E21-E17+E18</f>
        <v>-369.98199927997121</v>
      </c>
      <c r="F22" s="123">
        <f t="shared" si="10"/>
        <v>-331.41350054002157</v>
      </c>
      <c r="G22" s="123">
        <f t="shared" si="10"/>
        <v>-139.6152646105844</v>
      </c>
      <c r="H22" s="123">
        <f t="shared" si="10"/>
        <v>-50.415936637465506</v>
      </c>
      <c r="I22" s="123">
        <f t="shared" si="10"/>
        <v>-24.400000000000034</v>
      </c>
      <c r="J22" s="123">
        <f t="shared" si="10"/>
        <v>-15</v>
      </c>
      <c r="K22" s="123">
        <f t="shared" si="10"/>
        <v>-15</v>
      </c>
      <c r="L22" s="123">
        <f t="shared" si="10"/>
        <v>-15</v>
      </c>
      <c r="M22" s="123">
        <f t="shared" si="10"/>
        <v>-15</v>
      </c>
      <c r="N22" s="123">
        <f t="shared" si="10"/>
        <v>-15</v>
      </c>
      <c r="O22" s="123">
        <f t="shared" si="10"/>
        <v>-14.999999999999996</v>
      </c>
      <c r="P22" s="123">
        <f t="shared" si="10"/>
        <v>-60.5</v>
      </c>
      <c r="Q22" s="123">
        <f t="shared" si="10"/>
        <v>-199.20000000000002</v>
      </c>
      <c r="R22" s="123">
        <f t="shared" si="10"/>
        <v>-303.60000000000002</v>
      </c>
      <c r="S22" s="123">
        <f t="shared" si="10"/>
        <v>-378.4</v>
      </c>
      <c r="T22" s="123">
        <f t="shared" si="10"/>
        <v>-491.5</v>
      </c>
      <c r="U22" s="123">
        <f t="shared" si="10"/>
        <v>-543.19999999999993</v>
      </c>
      <c r="V22" s="123">
        <f t="shared" si="10"/>
        <v>-554.5</v>
      </c>
      <c r="W22" s="123">
        <f t="shared" si="10"/>
        <v>-566.29999999999995</v>
      </c>
      <c r="X22" s="123">
        <f t="shared" si="10"/>
        <v>-477.1</v>
      </c>
      <c r="Y22" s="123">
        <f t="shared" si="10"/>
        <v>-396.4</v>
      </c>
      <c r="Z22" s="123">
        <f t="shared" si="10"/>
        <v>-364.4864994599784</v>
      </c>
      <c r="AA22" s="123">
        <f t="shared" si="10"/>
        <v>-407.177499099964</v>
      </c>
      <c r="AB22" s="124">
        <f t="shared" si="10"/>
        <v>-387.19549981999279</v>
      </c>
      <c r="AC22" s="126"/>
    </row>
    <row r="23" spans="1:29" ht="15" thickTop="1" x14ac:dyDescent="0.3">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29" ht="15" thickBot="1" x14ac:dyDescent="0.35">
      <c r="B24" s="35"/>
      <c r="C24" s="27"/>
      <c r="D24" s="27"/>
      <c r="E24" s="77"/>
      <c r="F24" s="78"/>
      <c r="G24" s="78"/>
      <c r="H24" s="78"/>
      <c r="I24" s="78"/>
      <c r="J24" s="78"/>
      <c r="K24" s="78"/>
      <c r="L24" s="78"/>
      <c r="M24" s="78"/>
      <c r="N24" s="78"/>
      <c r="O24" s="78"/>
      <c r="P24" s="78"/>
      <c r="Q24" s="78"/>
      <c r="R24" s="78"/>
      <c r="S24" s="78"/>
      <c r="T24" s="78"/>
      <c r="U24" s="78"/>
      <c r="V24" s="78"/>
      <c r="W24" s="78"/>
      <c r="X24" s="78"/>
      <c r="Y24" s="78"/>
      <c r="Z24" s="78"/>
      <c r="AA24" s="78"/>
      <c r="AB24" s="79"/>
      <c r="AC24" s="35"/>
    </row>
    <row r="25" spans="1:29" x14ac:dyDescent="0.3">
      <c r="B25" s="38" t="s">
        <v>17</v>
      </c>
      <c r="C25" s="26"/>
      <c r="D25" s="26"/>
      <c r="E25" s="60">
        <v>6666</v>
      </c>
      <c r="F25" s="61">
        <v>7500</v>
      </c>
      <c r="G25" s="61">
        <v>7950</v>
      </c>
      <c r="H25" s="61">
        <v>8300</v>
      </c>
      <c r="I25" s="61">
        <v>8333</v>
      </c>
      <c r="J25" s="61">
        <v>6666</v>
      </c>
      <c r="K25" s="61">
        <v>4166</v>
      </c>
      <c r="L25" s="61">
        <v>833</v>
      </c>
      <c r="M25" s="61">
        <v>0</v>
      </c>
      <c r="N25" s="61">
        <v>0</v>
      </c>
      <c r="O25" s="61">
        <v>0</v>
      </c>
      <c r="P25" s="61">
        <v>0</v>
      </c>
      <c r="Q25" s="61">
        <v>0</v>
      </c>
      <c r="R25" s="61">
        <v>0</v>
      </c>
      <c r="S25" s="61">
        <v>0</v>
      </c>
      <c r="T25" s="61">
        <v>0</v>
      </c>
      <c r="U25" s="61">
        <v>0</v>
      </c>
      <c r="V25" s="61">
        <v>0</v>
      </c>
      <c r="W25" s="61">
        <v>0</v>
      </c>
      <c r="X25" s="61">
        <v>0</v>
      </c>
      <c r="Y25" s="61">
        <v>0</v>
      </c>
      <c r="Z25" s="61">
        <v>833</v>
      </c>
      <c r="AA25" s="61">
        <v>4166</v>
      </c>
      <c r="AB25" s="62">
        <v>5833</v>
      </c>
    </row>
    <row r="26" spans="1:29" ht="15" thickBot="1" x14ac:dyDescent="0.35">
      <c r="B26" s="39" t="s">
        <v>18</v>
      </c>
      <c r="C26" s="40"/>
      <c r="D26" s="40"/>
      <c r="E26" s="56">
        <f t="shared" ref="E26:AB26" si="11">E25/MAX($B$25:$P$25)</f>
        <v>0.79995199807992323</v>
      </c>
      <c r="F26" s="57">
        <f t="shared" si="11"/>
        <v>0.90003600144005758</v>
      </c>
      <c r="G26" s="57">
        <f t="shared" si="11"/>
        <v>0.95403816152646104</v>
      </c>
      <c r="H26" s="57">
        <f t="shared" si="11"/>
        <v>0.99603984159366377</v>
      </c>
      <c r="I26" s="57">
        <f t="shared" si="11"/>
        <v>1</v>
      </c>
      <c r="J26" s="57">
        <f t="shared" si="11"/>
        <v>0.79995199807992323</v>
      </c>
      <c r="K26" s="57">
        <f t="shared" si="11"/>
        <v>0.49993999759990398</v>
      </c>
      <c r="L26" s="57">
        <f t="shared" si="11"/>
        <v>9.9963998559942396E-2</v>
      </c>
      <c r="M26" s="57">
        <f t="shared" si="11"/>
        <v>0</v>
      </c>
      <c r="N26" s="57">
        <f t="shared" si="11"/>
        <v>0</v>
      </c>
      <c r="O26" s="57">
        <f t="shared" si="11"/>
        <v>0</v>
      </c>
      <c r="P26" s="57">
        <f t="shared" si="11"/>
        <v>0</v>
      </c>
      <c r="Q26" s="57">
        <f t="shared" si="11"/>
        <v>0</v>
      </c>
      <c r="R26" s="57">
        <f t="shared" si="11"/>
        <v>0</v>
      </c>
      <c r="S26" s="57">
        <f t="shared" si="11"/>
        <v>0</v>
      </c>
      <c r="T26" s="57">
        <f t="shared" si="11"/>
        <v>0</v>
      </c>
      <c r="U26" s="57">
        <f t="shared" si="11"/>
        <v>0</v>
      </c>
      <c r="V26" s="57">
        <f t="shared" si="11"/>
        <v>0</v>
      </c>
      <c r="W26" s="57">
        <f t="shared" si="11"/>
        <v>0</v>
      </c>
      <c r="X26" s="57">
        <f t="shared" si="11"/>
        <v>0</v>
      </c>
      <c r="Y26" s="57">
        <f t="shared" si="11"/>
        <v>0</v>
      </c>
      <c r="Z26" s="57">
        <f t="shared" si="11"/>
        <v>9.9963998559942396E-2</v>
      </c>
      <c r="AA26" s="57">
        <f t="shared" si="11"/>
        <v>0.49993999759990398</v>
      </c>
      <c r="AB26" s="58">
        <f t="shared" si="11"/>
        <v>0.69998799951998081</v>
      </c>
    </row>
  </sheetData>
  <mergeCells count="5">
    <mergeCell ref="B3:D3"/>
    <mergeCell ref="B4:D4"/>
    <mergeCell ref="A6:A12"/>
    <mergeCell ref="AC14:AC15"/>
    <mergeCell ref="A14:A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1378-C8D5-4D5C-B7EB-F8BBAE597059}">
  <dimension ref="B2:Z19"/>
  <sheetViews>
    <sheetView workbookViewId="0">
      <selection activeCell="C11" sqref="C11:Z11"/>
    </sheetView>
  </sheetViews>
  <sheetFormatPr defaultRowHeight="14.4" x14ac:dyDescent="0.3"/>
  <cols>
    <col min="2" max="2" width="9.44140625" bestFit="1" customWidth="1"/>
    <col min="3" max="26" width="9" bestFit="1" customWidth="1"/>
  </cols>
  <sheetData>
    <row r="2" spans="2:26" x14ac:dyDescent="0.3">
      <c r="B2" t="s">
        <v>14</v>
      </c>
    </row>
    <row r="3" spans="2:26" x14ac:dyDescent="0.3">
      <c r="B3" t="s">
        <v>13</v>
      </c>
      <c r="C3">
        <v>11</v>
      </c>
      <c r="D3">
        <v>12</v>
      </c>
      <c r="E3">
        <v>13</v>
      </c>
      <c r="F3">
        <v>14</v>
      </c>
      <c r="G3">
        <v>15</v>
      </c>
      <c r="H3">
        <v>16</v>
      </c>
      <c r="I3">
        <v>17</v>
      </c>
      <c r="J3">
        <v>18</v>
      </c>
      <c r="K3">
        <v>19</v>
      </c>
      <c r="L3">
        <v>20</v>
      </c>
      <c r="M3">
        <v>21</v>
      </c>
      <c r="N3">
        <v>22</v>
      </c>
      <c r="O3">
        <v>23</v>
      </c>
      <c r="P3">
        <v>24</v>
      </c>
      <c r="Q3">
        <v>1</v>
      </c>
      <c r="R3">
        <v>2</v>
      </c>
      <c r="S3">
        <v>3</v>
      </c>
      <c r="T3">
        <v>4</v>
      </c>
      <c r="U3">
        <v>5</v>
      </c>
      <c r="V3">
        <v>6</v>
      </c>
      <c r="W3">
        <v>7</v>
      </c>
      <c r="X3">
        <v>8</v>
      </c>
      <c r="Y3">
        <v>9</v>
      </c>
      <c r="Z3">
        <v>10</v>
      </c>
    </row>
    <row r="4" spans="2:26" ht="15" x14ac:dyDescent="0.3">
      <c r="B4" s="20">
        <v>2014</v>
      </c>
      <c r="C4" s="20">
        <v>-13.3</v>
      </c>
      <c r="D4" s="20">
        <v>73.3</v>
      </c>
      <c r="E4" s="20">
        <v>140</v>
      </c>
      <c r="F4" s="20">
        <v>196.3</v>
      </c>
      <c r="G4" s="20">
        <v>232.5</v>
      </c>
      <c r="H4" s="20">
        <v>240.5</v>
      </c>
      <c r="I4" s="20">
        <v>211.2</v>
      </c>
      <c r="J4" s="20">
        <v>149.19999999999999</v>
      </c>
      <c r="K4" s="20">
        <v>116.1</v>
      </c>
      <c r="L4" s="20">
        <v>116.2</v>
      </c>
      <c r="M4" s="20">
        <v>16.2</v>
      </c>
      <c r="N4" s="20">
        <v>-143.69999999999999</v>
      </c>
      <c r="O4" s="20">
        <v>-310.39999999999998</v>
      </c>
      <c r="P4" s="20">
        <v>-437.5</v>
      </c>
      <c r="Q4" s="20">
        <v>-512.5</v>
      </c>
      <c r="R4" s="20">
        <v>-565.5</v>
      </c>
      <c r="S4" s="20">
        <v>-598.79999999999995</v>
      </c>
      <c r="T4" s="20">
        <v>-609</v>
      </c>
      <c r="U4" s="20">
        <v>-591.70000000000005</v>
      </c>
      <c r="V4" s="20">
        <v>-515.6</v>
      </c>
      <c r="W4" s="20">
        <v>-432.3</v>
      </c>
      <c r="X4" s="20">
        <v>-346.8</v>
      </c>
      <c r="Y4" s="20">
        <v>-223.4</v>
      </c>
      <c r="Z4" s="20">
        <v>-110.3</v>
      </c>
    </row>
    <row r="5" spans="2:26" ht="15" x14ac:dyDescent="0.3">
      <c r="B5" s="20">
        <v>2015</v>
      </c>
      <c r="C5" s="20">
        <v>-22.7</v>
      </c>
      <c r="D5" s="20">
        <v>58.5</v>
      </c>
      <c r="E5" s="20">
        <v>133.69999999999999</v>
      </c>
      <c r="F5" s="20">
        <v>181.8</v>
      </c>
      <c r="G5" s="20">
        <v>215.5</v>
      </c>
      <c r="H5" s="20">
        <v>240.5</v>
      </c>
      <c r="I5" s="20">
        <v>241.5</v>
      </c>
      <c r="J5" s="20">
        <v>168</v>
      </c>
      <c r="K5" s="20">
        <v>101.6</v>
      </c>
      <c r="L5" s="20">
        <v>113</v>
      </c>
      <c r="M5" s="20">
        <v>30.1</v>
      </c>
      <c r="N5" s="20">
        <v>-117.5</v>
      </c>
      <c r="O5" s="20">
        <v>-317</v>
      </c>
      <c r="P5" s="20">
        <v>-409</v>
      </c>
      <c r="Q5" s="20">
        <v>-492.6</v>
      </c>
      <c r="R5" s="20">
        <v>-547</v>
      </c>
      <c r="S5" s="20">
        <v>-580.1</v>
      </c>
      <c r="T5" s="20">
        <v>-597.4</v>
      </c>
      <c r="U5" s="20">
        <v>-580.1</v>
      </c>
      <c r="V5" s="20">
        <v>-507.8</v>
      </c>
      <c r="W5" s="20">
        <v>-417.2</v>
      </c>
      <c r="X5" s="20">
        <v>-323.3</v>
      </c>
      <c r="Y5" s="20">
        <v>-232.6</v>
      </c>
      <c r="Z5" s="20">
        <v>-139.19999999999999</v>
      </c>
    </row>
    <row r="6" spans="2:26" ht="15" x14ac:dyDescent="0.3">
      <c r="B6" s="20">
        <v>2016</v>
      </c>
      <c r="C6" s="20">
        <v>-162</v>
      </c>
      <c r="D6" s="20">
        <v>-65.900000000000006</v>
      </c>
      <c r="E6" s="20">
        <v>42</v>
      </c>
      <c r="F6" s="20">
        <v>120</v>
      </c>
      <c r="G6" s="20">
        <v>181.9</v>
      </c>
      <c r="H6" s="20">
        <v>237.6</v>
      </c>
      <c r="I6" s="20">
        <v>242.1</v>
      </c>
      <c r="J6" s="20">
        <v>191.9</v>
      </c>
      <c r="K6" s="20">
        <v>110.3</v>
      </c>
      <c r="L6" s="20">
        <v>67</v>
      </c>
      <c r="M6" s="20">
        <v>-46.7</v>
      </c>
      <c r="N6" s="20">
        <v>-212.5</v>
      </c>
      <c r="O6" s="20">
        <v>-381.3</v>
      </c>
      <c r="P6" s="20">
        <v>-485.7</v>
      </c>
      <c r="Q6" s="20">
        <v>-560.5</v>
      </c>
      <c r="R6" s="20">
        <v>-616.1</v>
      </c>
      <c r="S6" s="20">
        <v>-645.29999999999995</v>
      </c>
      <c r="T6" s="20">
        <v>-656.6</v>
      </c>
      <c r="U6" s="20">
        <v>-638.29999999999995</v>
      </c>
      <c r="V6" s="20">
        <v>-549.1</v>
      </c>
      <c r="W6" s="20">
        <v>-468.4</v>
      </c>
      <c r="X6" s="20">
        <v>-401.5</v>
      </c>
      <c r="Y6" s="20">
        <v>-304.2</v>
      </c>
      <c r="Z6" s="20">
        <v>-214.2</v>
      </c>
    </row>
    <row r="7" spans="2:26" ht="15" x14ac:dyDescent="0.3">
      <c r="B7" s="20"/>
      <c r="C7" s="20"/>
      <c r="D7" s="20"/>
      <c r="E7" s="20"/>
      <c r="F7" s="20"/>
      <c r="G7" s="20"/>
      <c r="H7" s="20"/>
      <c r="I7" s="20"/>
      <c r="J7" s="20"/>
      <c r="K7" s="20"/>
      <c r="L7" s="20"/>
      <c r="M7" s="20"/>
      <c r="N7" s="20"/>
      <c r="O7" s="20"/>
      <c r="P7" s="20"/>
      <c r="Q7" s="20"/>
      <c r="R7" s="20"/>
      <c r="S7" s="20"/>
      <c r="T7" s="20"/>
      <c r="U7" s="20"/>
      <c r="V7" s="20"/>
      <c r="W7" s="20"/>
      <c r="X7" s="20"/>
      <c r="Y7" s="20"/>
      <c r="Z7" s="20"/>
    </row>
    <row r="8" spans="2:26" x14ac:dyDescent="0.3">
      <c r="B8" t="s">
        <v>15</v>
      </c>
    </row>
    <row r="9" spans="2:26" s="23" customFormat="1" ht="15.6" x14ac:dyDescent="0.3">
      <c r="B9" s="20">
        <v>2014</v>
      </c>
      <c r="C9" s="20">
        <v>58.7</v>
      </c>
      <c r="D9" s="20">
        <v>145.30000000000001</v>
      </c>
      <c r="E9" s="20">
        <v>212</v>
      </c>
      <c r="F9" s="20">
        <v>268.3</v>
      </c>
      <c r="G9" s="20">
        <v>304.5</v>
      </c>
      <c r="H9" s="20">
        <v>312.5</v>
      </c>
      <c r="I9" s="20">
        <v>283.2</v>
      </c>
      <c r="J9" s="20">
        <v>221.2</v>
      </c>
      <c r="K9" s="20">
        <v>188.1</v>
      </c>
      <c r="L9" s="20">
        <v>188.2</v>
      </c>
      <c r="M9" s="20">
        <v>88.2</v>
      </c>
      <c r="N9" s="20">
        <v>-71.7</v>
      </c>
      <c r="O9" s="20">
        <v>-238.4</v>
      </c>
      <c r="P9" s="20">
        <v>-365.5</v>
      </c>
      <c r="Q9" s="20">
        <v>-440.5</v>
      </c>
      <c r="R9" s="20">
        <v>-493.5</v>
      </c>
      <c r="S9" s="20">
        <v>-526.79999999999995</v>
      </c>
      <c r="T9" s="20">
        <v>-537</v>
      </c>
      <c r="U9" s="20">
        <v>-519.70000000000005</v>
      </c>
      <c r="V9" s="20">
        <v>-443.6</v>
      </c>
      <c r="W9" s="20">
        <v>-360.3</v>
      </c>
      <c r="X9" s="20">
        <v>-274.8</v>
      </c>
      <c r="Y9" s="20">
        <v>-151.4</v>
      </c>
      <c r="Z9" s="20">
        <v>-38.299999999999997</v>
      </c>
    </row>
    <row r="10" spans="2:26" s="23" customFormat="1" ht="15.6" x14ac:dyDescent="0.3">
      <c r="B10" s="20">
        <v>2015</v>
      </c>
      <c r="C10" s="20">
        <v>49.3</v>
      </c>
      <c r="D10" s="20">
        <v>130.5</v>
      </c>
      <c r="E10" s="20">
        <v>205.7</v>
      </c>
      <c r="F10" s="20">
        <v>253.8</v>
      </c>
      <c r="G10" s="20">
        <v>287.5</v>
      </c>
      <c r="H10" s="20">
        <v>312.5</v>
      </c>
      <c r="I10" s="20">
        <v>313.5</v>
      </c>
      <c r="J10" s="20">
        <v>240</v>
      </c>
      <c r="K10" s="20">
        <v>173.6</v>
      </c>
      <c r="L10" s="20">
        <v>185</v>
      </c>
      <c r="M10" s="20">
        <v>102.1</v>
      </c>
      <c r="N10" s="20">
        <v>-45.5</v>
      </c>
      <c r="O10" s="20">
        <v>-245</v>
      </c>
      <c r="P10" s="20">
        <v>-337</v>
      </c>
      <c r="Q10" s="20">
        <v>-420.6</v>
      </c>
      <c r="R10" s="20">
        <v>-475</v>
      </c>
      <c r="S10" s="20">
        <v>-508.1</v>
      </c>
      <c r="T10" s="20">
        <v>-525.4</v>
      </c>
      <c r="U10" s="20">
        <v>-508.1</v>
      </c>
      <c r="V10" s="20">
        <v>-435.8</v>
      </c>
      <c r="W10" s="20">
        <v>-345.2</v>
      </c>
      <c r="X10" s="20">
        <v>-251.3</v>
      </c>
      <c r="Y10" s="20">
        <v>-160.6</v>
      </c>
      <c r="Z10" s="20">
        <v>-67.2</v>
      </c>
    </row>
    <row r="11" spans="2:26" s="23" customFormat="1" ht="15.6" x14ac:dyDescent="0.3">
      <c r="B11" s="20">
        <v>2016</v>
      </c>
      <c r="C11" s="80">
        <v>-90</v>
      </c>
      <c r="D11" s="80">
        <v>6.1</v>
      </c>
      <c r="E11" s="80">
        <v>114</v>
      </c>
      <c r="F11" s="80">
        <v>192</v>
      </c>
      <c r="G11" s="80">
        <v>253.9</v>
      </c>
      <c r="H11" s="80">
        <v>309.60000000000002</v>
      </c>
      <c r="I11" s="80">
        <v>314.10000000000002</v>
      </c>
      <c r="J11" s="80">
        <v>263.89999999999998</v>
      </c>
      <c r="K11" s="80">
        <v>182.3</v>
      </c>
      <c r="L11" s="80">
        <v>139</v>
      </c>
      <c r="M11" s="80">
        <v>25.3</v>
      </c>
      <c r="N11" s="80">
        <v>-140.5</v>
      </c>
      <c r="O11" s="80">
        <v>-309.3</v>
      </c>
      <c r="P11" s="80">
        <v>-413.7</v>
      </c>
      <c r="Q11" s="80">
        <v>-488.5</v>
      </c>
      <c r="R11" s="80">
        <v>-544.1</v>
      </c>
      <c r="S11" s="80">
        <v>-573.29999999999995</v>
      </c>
      <c r="T11" s="80">
        <v>-584.6</v>
      </c>
      <c r="U11" s="80">
        <v>-566.29999999999995</v>
      </c>
      <c r="V11" s="80">
        <v>-477.1</v>
      </c>
      <c r="W11" s="80">
        <v>-396.4</v>
      </c>
      <c r="X11" s="80">
        <v>-329.5</v>
      </c>
      <c r="Y11" s="80">
        <v>-232.2</v>
      </c>
      <c r="Z11" s="80">
        <v>-142.19999999999999</v>
      </c>
    </row>
    <row r="16" spans="2:26" ht="15" x14ac:dyDescent="0.3">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8" spans="2:26" ht="17.399999999999999" x14ac:dyDescent="0.3">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2:26" ht="17.399999999999999" x14ac:dyDescent="0.3">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AFD-708D-4312-98C2-CAF4DA4AD48C}">
  <dimension ref="B2:Z19"/>
  <sheetViews>
    <sheetView topLeftCell="A7" workbookViewId="0">
      <selection activeCell="C17" sqref="C17:Z17"/>
    </sheetView>
  </sheetViews>
  <sheetFormatPr defaultRowHeight="14.4" x14ac:dyDescent="0.3"/>
  <cols>
    <col min="3" max="26" width="8.88671875" style="188"/>
  </cols>
  <sheetData>
    <row r="2" spans="2:26" s="94" customFormat="1" x14ac:dyDescent="0.3">
      <c r="B2" s="96" t="s">
        <v>49</v>
      </c>
      <c r="C2" s="98"/>
      <c r="D2" s="98"/>
      <c r="E2" s="98"/>
      <c r="F2" s="98"/>
      <c r="G2" s="98"/>
      <c r="H2" s="98"/>
      <c r="I2" s="98"/>
      <c r="J2" s="98"/>
      <c r="K2" s="98"/>
      <c r="L2" s="98"/>
      <c r="M2" s="98"/>
      <c r="N2" s="98"/>
      <c r="O2" s="98"/>
      <c r="P2" s="98"/>
      <c r="Q2" s="98"/>
      <c r="R2" s="98"/>
      <c r="S2" s="98"/>
      <c r="T2" s="98"/>
      <c r="U2" s="98"/>
      <c r="V2" s="98"/>
      <c r="W2" s="98"/>
      <c r="X2" s="98"/>
      <c r="Y2" s="98"/>
      <c r="Z2" s="98"/>
    </row>
    <row r="3" spans="2:26" s="94" customFormat="1" ht="14.4" customHeight="1" x14ac:dyDescent="0.3">
      <c r="B3" s="97" t="s">
        <v>50</v>
      </c>
      <c r="C3" s="214" t="s">
        <v>71</v>
      </c>
      <c r="D3" s="214"/>
      <c r="E3" s="214"/>
      <c r="F3" s="214"/>
      <c r="G3" s="214"/>
      <c r="H3" s="214"/>
      <c r="I3" s="214"/>
      <c r="J3" s="214"/>
      <c r="K3" s="214"/>
      <c r="L3" s="214"/>
      <c r="M3" s="214"/>
      <c r="N3" s="214"/>
      <c r="O3" s="214"/>
      <c r="P3" s="214"/>
      <c r="Q3" s="214"/>
      <c r="R3" s="214"/>
      <c r="S3" s="214"/>
      <c r="T3" s="214"/>
      <c r="U3" s="214"/>
      <c r="V3" s="214"/>
      <c r="W3" s="214"/>
      <c r="X3" s="214"/>
      <c r="Y3" s="214"/>
      <c r="Z3" s="98"/>
    </row>
    <row r="4" spans="2:26" s="94" customFormat="1" ht="34.200000000000003" customHeight="1" x14ac:dyDescent="0.3">
      <c r="B4" s="97" t="s">
        <v>51</v>
      </c>
      <c r="C4" s="214" t="s">
        <v>72</v>
      </c>
      <c r="D4" s="214"/>
      <c r="E4" s="214"/>
      <c r="F4" s="214"/>
      <c r="G4" s="214"/>
      <c r="H4" s="214"/>
      <c r="I4" s="214"/>
      <c r="J4" s="214"/>
      <c r="K4" s="214"/>
      <c r="L4" s="214"/>
      <c r="M4" s="214"/>
      <c r="N4" s="214"/>
      <c r="O4" s="214"/>
      <c r="P4" s="214"/>
      <c r="Q4" s="214"/>
      <c r="R4" s="214"/>
      <c r="S4" s="214"/>
      <c r="T4" s="214"/>
      <c r="U4" s="214"/>
      <c r="V4" s="214"/>
      <c r="W4" s="214"/>
      <c r="X4" s="214"/>
      <c r="Y4" s="214"/>
      <c r="Z4" s="214"/>
    </row>
    <row r="5" spans="2:26" s="94" customFormat="1" x14ac:dyDescent="0.3">
      <c r="B5" s="97" t="s">
        <v>52</v>
      </c>
      <c r="C5" s="214" t="s">
        <v>73</v>
      </c>
      <c r="D5" s="214"/>
      <c r="E5" s="214"/>
      <c r="F5" s="214"/>
      <c r="G5" s="214"/>
      <c r="H5" s="214"/>
      <c r="I5" s="214"/>
      <c r="J5" s="214"/>
      <c r="K5" s="214"/>
      <c r="L5" s="214"/>
      <c r="M5" s="214"/>
      <c r="N5" s="214"/>
      <c r="O5" s="214"/>
      <c r="P5" s="214"/>
      <c r="Q5" s="214"/>
      <c r="R5" s="214"/>
      <c r="S5" s="214"/>
      <c r="T5" s="214"/>
      <c r="U5" s="214"/>
      <c r="V5" s="214"/>
      <c r="W5" s="214"/>
      <c r="X5" s="214"/>
      <c r="Y5" s="214"/>
      <c r="Z5" s="214"/>
    </row>
    <row r="6" spans="2:26" s="94" customFormat="1" x14ac:dyDescent="0.3">
      <c r="B6" s="97" t="s">
        <v>53</v>
      </c>
      <c r="C6" s="214" t="s">
        <v>74</v>
      </c>
      <c r="D6" s="214"/>
      <c r="E6" s="214"/>
      <c r="F6" s="214"/>
      <c r="G6" s="214"/>
      <c r="H6" s="214"/>
      <c r="I6" s="214"/>
      <c r="J6" s="214"/>
      <c r="K6" s="214"/>
      <c r="L6" s="214"/>
      <c r="M6" s="214"/>
      <c r="N6" s="214"/>
      <c r="O6" s="214"/>
      <c r="P6" s="214"/>
      <c r="Q6" s="214"/>
      <c r="R6" s="214"/>
      <c r="S6" s="214"/>
      <c r="T6" s="214"/>
      <c r="U6" s="214"/>
      <c r="V6" s="214"/>
      <c r="W6" s="214"/>
      <c r="X6" s="214"/>
      <c r="Y6" s="214"/>
      <c r="Z6" s="214"/>
    </row>
    <row r="7" spans="2:26" s="94" customFormat="1" x14ac:dyDescent="0.3">
      <c r="B7" s="97" t="s">
        <v>54</v>
      </c>
      <c r="C7" s="98" t="s">
        <v>83</v>
      </c>
      <c r="D7" s="98"/>
      <c r="E7" s="98"/>
      <c r="F7" s="98"/>
      <c r="G7" s="98"/>
      <c r="H7" s="98"/>
      <c r="I7" s="98"/>
      <c r="J7" s="98"/>
      <c r="K7" s="98"/>
      <c r="L7" s="98"/>
      <c r="M7" s="98"/>
      <c r="N7" s="98"/>
      <c r="O7" s="98"/>
      <c r="P7" s="98"/>
      <c r="Q7" s="98"/>
      <c r="R7" s="98"/>
      <c r="S7" s="98"/>
      <c r="T7" s="98"/>
      <c r="U7" s="98"/>
      <c r="V7" s="98"/>
      <c r="W7" s="98"/>
      <c r="X7" s="98"/>
      <c r="Y7" s="98"/>
      <c r="Z7" s="98"/>
    </row>
    <row r="8" spans="2:26" s="94" customFormat="1" x14ac:dyDescent="0.3">
      <c r="B8" s="97" t="s">
        <v>55</v>
      </c>
      <c r="C8" s="214" t="s">
        <v>75</v>
      </c>
      <c r="D8" s="214"/>
      <c r="E8" s="214"/>
      <c r="F8" s="214"/>
      <c r="G8" s="214"/>
      <c r="H8" s="214"/>
      <c r="I8" s="214"/>
      <c r="J8" s="214"/>
      <c r="K8" s="214"/>
      <c r="L8" s="214"/>
      <c r="M8" s="214"/>
      <c r="N8" s="214"/>
      <c r="O8" s="214"/>
      <c r="P8" s="214"/>
      <c r="Q8" s="214"/>
      <c r="R8" s="214"/>
      <c r="S8" s="214"/>
      <c r="T8" s="214"/>
      <c r="U8" s="214"/>
      <c r="V8" s="214"/>
      <c r="W8" s="214"/>
      <c r="X8" s="214"/>
      <c r="Y8" s="214"/>
      <c r="Z8" s="98"/>
    </row>
    <row r="9" spans="2:26" s="94" customFormat="1" x14ac:dyDescent="0.3">
      <c r="B9" s="97" t="s">
        <v>57</v>
      </c>
      <c r="C9" s="214" t="s">
        <v>76</v>
      </c>
      <c r="D9" s="214"/>
      <c r="E9" s="214"/>
      <c r="F9" s="214"/>
      <c r="G9" s="214"/>
      <c r="H9" s="214"/>
      <c r="I9" s="214"/>
      <c r="J9" s="214"/>
      <c r="K9" s="214"/>
      <c r="L9" s="214"/>
      <c r="M9" s="214"/>
      <c r="N9" s="214"/>
      <c r="O9" s="214"/>
      <c r="P9" s="214"/>
      <c r="Q9" s="214"/>
      <c r="R9" s="214"/>
      <c r="S9" s="214"/>
      <c r="T9" s="214"/>
      <c r="U9" s="214"/>
      <c r="V9" s="214"/>
      <c r="W9" s="214"/>
      <c r="X9" s="214"/>
      <c r="Y9" s="214"/>
      <c r="Z9" s="98"/>
    </row>
    <row r="10" spans="2:26" s="94" customFormat="1" x14ac:dyDescent="0.3">
      <c r="B10" s="97" t="s">
        <v>58</v>
      </c>
      <c r="C10" s="98" t="s">
        <v>77</v>
      </c>
      <c r="D10" s="98"/>
      <c r="E10" s="98"/>
      <c r="F10" s="98"/>
      <c r="G10" s="98"/>
      <c r="H10" s="98"/>
      <c r="I10" s="98"/>
      <c r="J10" s="98"/>
      <c r="K10" s="98"/>
      <c r="L10" s="98"/>
      <c r="M10" s="98"/>
      <c r="N10" s="98"/>
      <c r="O10" s="98"/>
      <c r="P10" s="98"/>
      <c r="Q10" s="98"/>
      <c r="R10" s="98"/>
      <c r="S10" s="98"/>
      <c r="T10" s="98"/>
      <c r="U10" s="98"/>
      <c r="V10" s="98"/>
      <c r="W10" s="98"/>
      <c r="X10" s="98"/>
      <c r="Y10" s="98"/>
      <c r="Z10" s="98"/>
    </row>
    <row r="11" spans="2:26" s="94" customFormat="1" ht="30" customHeight="1" x14ac:dyDescent="0.3">
      <c r="B11" s="97" t="s">
        <v>59</v>
      </c>
      <c r="C11" s="214" t="s">
        <v>78</v>
      </c>
      <c r="D11" s="214"/>
      <c r="E11" s="214"/>
      <c r="F11" s="214"/>
      <c r="G11" s="214"/>
      <c r="H11" s="214"/>
      <c r="I11" s="214"/>
      <c r="J11" s="214"/>
      <c r="K11" s="214"/>
      <c r="L11" s="214"/>
      <c r="M11" s="214"/>
      <c r="N11" s="214"/>
      <c r="O11" s="214"/>
      <c r="P11" s="214"/>
      <c r="Q11" s="214"/>
      <c r="R11" s="214"/>
      <c r="S11" s="214"/>
      <c r="T11" s="214"/>
      <c r="U11" s="214"/>
      <c r="V11" s="214"/>
      <c r="W11" s="214"/>
      <c r="X11" s="214"/>
      <c r="Y11" s="214"/>
      <c r="Z11" s="214"/>
    </row>
    <row r="12" spans="2:26" s="94" customFormat="1" x14ac:dyDescent="0.3">
      <c r="B12" s="97" t="s">
        <v>60</v>
      </c>
      <c r="C12" s="95" t="s">
        <v>79</v>
      </c>
      <c r="D12" s="98"/>
      <c r="E12" s="98"/>
      <c r="F12" s="98"/>
      <c r="G12" s="98"/>
      <c r="H12" s="98"/>
      <c r="I12" s="98"/>
      <c r="J12" s="98"/>
      <c r="K12" s="98"/>
      <c r="L12" s="98"/>
      <c r="M12" s="98"/>
      <c r="N12" s="98"/>
      <c r="O12" s="98"/>
      <c r="P12" s="98"/>
      <c r="Q12" s="98"/>
      <c r="R12" s="98"/>
      <c r="S12" s="98"/>
      <c r="T12" s="98"/>
      <c r="U12" s="98"/>
      <c r="V12" s="98"/>
      <c r="W12" s="98"/>
      <c r="X12" s="98"/>
      <c r="Y12" s="98"/>
      <c r="Z12" s="98"/>
    </row>
    <row r="13" spans="2:26" s="94" customFormat="1" ht="32.4" customHeight="1" x14ac:dyDescent="0.3">
      <c r="B13" s="97" t="s">
        <v>61</v>
      </c>
      <c r="C13" s="213" t="s">
        <v>96</v>
      </c>
      <c r="D13" s="213"/>
      <c r="E13" s="213"/>
      <c r="F13" s="213"/>
      <c r="G13" s="213"/>
      <c r="H13" s="213"/>
      <c r="I13" s="213"/>
      <c r="J13" s="213"/>
      <c r="K13" s="213"/>
      <c r="L13" s="213"/>
      <c r="M13" s="213"/>
      <c r="N13" s="213"/>
      <c r="O13" s="213"/>
      <c r="P13" s="213"/>
      <c r="Q13" s="213"/>
      <c r="R13" s="213"/>
      <c r="S13" s="213"/>
      <c r="T13" s="213"/>
      <c r="U13" s="213"/>
      <c r="V13" s="213"/>
      <c r="W13" s="213"/>
      <c r="X13" s="213"/>
      <c r="Y13" s="213"/>
      <c r="Z13" s="213"/>
    </row>
    <row r="14" spans="2:26" s="94" customFormat="1" x14ac:dyDescent="0.3">
      <c r="B14" s="97" t="s">
        <v>62</v>
      </c>
      <c r="C14" s="215" t="s">
        <v>80</v>
      </c>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2:26" s="94" customFormat="1" x14ac:dyDescent="0.3">
      <c r="B15" s="97" t="s">
        <v>63</v>
      </c>
      <c r="C15" s="215" t="s">
        <v>81</v>
      </c>
      <c r="D15" s="215"/>
      <c r="E15" s="215"/>
      <c r="F15" s="215"/>
      <c r="G15" s="215"/>
      <c r="H15" s="215"/>
      <c r="I15" s="215"/>
      <c r="J15" s="215"/>
      <c r="K15" s="215"/>
      <c r="L15" s="215"/>
      <c r="M15" s="215"/>
      <c r="N15" s="215"/>
      <c r="O15" s="215"/>
      <c r="P15" s="215"/>
      <c r="Q15" s="215"/>
      <c r="R15" s="215"/>
      <c r="S15" s="215"/>
      <c r="T15" s="215"/>
      <c r="U15" s="215"/>
      <c r="V15" s="215"/>
      <c r="W15" s="215"/>
      <c r="X15" s="215"/>
      <c r="Y15" s="215"/>
      <c r="Z15" s="215"/>
    </row>
    <row r="16" spans="2:26" s="94" customFormat="1" ht="46.8" customHeight="1" x14ac:dyDescent="0.3">
      <c r="B16" s="97" t="s">
        <v>64</v>
      </c>
      <c r="C16" s="213" t="s">
        <v>100</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row>
    <row r="17" spans="2:26" s="94" customFormat="1" ht="43.8" customHeight="1" x14ac:dyDescent="0.3">
      <c r="B17" s="97" t="s">
        <v>82</v>
      </c>
      <c r="C17" s="213" t="s">
        <v>101</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row>
    <row r="18" spans="2:26" x14ac:dyDescent="0.3">
      <c r="Z18" s="98"/>
    </row>
    <row r="19" spans="2:26" s="25" customFormat="1" x14ac:dyDescent="0.3">
      <c r="C19" s="189"/>
      <c r="D19" s="190"/>
      <c r="E19" s="190"/>
      <c r="F19" s="190"/>
      <c r="G19" s="190"/>
      <c r="H19" s="190"/>
      <c r="I19" s="190"/>
      <c r="J19" s="190"/>
      <c r="K19" s="190"/>
      <c r="L19" s="190"/>
      <c r="M19" s="190"/>
      <c r="N19" s="190"/>
      <c r="O19" s="190"/>
      <c r="P19" s="190"/>
      <c r="Q19" s="190"/>
      <c r="R19" s="190"/>
      <c r="S19" s="190"/>
      <c r="T19" s="190"/>
      <c r="U19" s="190"/>
      <c r="V19" s="190"/>
      <c r="W19" s="190"/>
      <c r="X19" s="190"/>
      <c r="Y19" s="190"/>
      <c r="Z19" s="190"/>
    </row>
  </sheetData>
  <mergeCells count="12">
    <mergeCell ref="C17:Z17"/>
    <mergeCell ref="C3:Y3"/>
    <mergeCell ref="C4:Z4"/>
    <mergeCell ref="C5:Z5"/>
    <mergeCell ref="C6:Z6"/>
    <mergeCell ref="C8:Y8"/>
    <mergeCell ref="C9:Y9"/>
    <mergeCell ref="C11:Z11"/>
    <mergeCell ref="C15:Z15"/>
    <mergeCell ref="C13:Z13"/>
    <mergeCell ref="C14:Z14"/>
    <mergeCell ref="C16:Z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5576-C38F-44F6-8E59-5C0555A7D73B}">
  <dimension ref="A3:J81"/>
  <sheetViews>
    <sheetView tabSelected="1" workbookViewId="0">
      <selection activeCell="B61" sqref="B61:I61"/>
    </sheetView>
  </sheetViews>
  <sheetFormatPr defaultRowHeight="14.4" x14ac:dyDescent="0.3"/>
  <cols>
    <col min="1" max="1" width="41" customWidth="1"/>
    <col min="2" max="2" width="13.88671875" customWidth="1"/>
    <col min="3" max="4" width="15.6640625" customWidth="1"/>
    <col min="5" max="5" width="19.44140625" bestFit="1" customWidth="1"/>
    <col min="6" max="6" width="16.77734375" customWidth="1"/>
    <col min="7" max="8" width="20.5546875" customWidth="1"/>
    <col min="9" max="9" width="19.33203125" customWidth="1"/>
    <col min="10" max="11" width="11.88671875" bestFit="1" customWidth="1"/>
  </cols>
  <sheetData>
    <row r="3" spans="1:9" ht="18" x14ac:dyDescent="0.35">
      <c r="B3" s="216" t="s">
        <v>7</v>
      </c>
      <c r="C3" s="216"/>
      <c r="D3" s="216"/>
      <c r="E3" s="216"/>
      <c r="F3" s="216"/>
      <c r="G3" s="216"/>
      <c r="H3" s="11"/>
    </row>
    <row r="5" spans="1:9" ht="18" x14ac:dyDescent="0.35">
      <c r="B5" s="217" t="s">
        <v>65</v>
      </c>
      <c r="C5" s="217"/>
      <c r="D5" s="217"/>
      <c r="E5" s="217"/>
      <c r="F5" s="217"/>
      <c r="G5" s="217"/>
    </row>
    <row r="6" spans="1:9" x14ac:dyDescent="0.3">
      <c r="B6" s="14"/>
      <c r="C6" s="14"/>
      <c r="D6" s="14"/>
      <c r="E6" s="18"/>
      <c r="F6" s="18"/>
      <c r="G6" s="18"/>
      <c r="H6" s="18"/>
      <c r="I6" s="16"/>
    </row>
    <row r="7" spans="1:9" ht="46.8" x14ac:dyDescent="0.3">
      <c r="B7" s="12" t="s">
        <v>9</v>
      </c>
      <c r="C7" s="12" t="s">
        <v>8</v>
      </c>
      <c r="D7" s="218" t="s">
        <v>102</v>
      </c>
      <c r="E7" s="12" t="s">
        <v>46</v>
      </c>
      <c r="F7" s="12" t="s">
        <v>47</v>
      </c>
      <c r="G7" s="13" t="s">
        <v>11</v>
      </c>
      <c r="H7" s="13" t="s">
        <v>12</v>
      </c>
      <c r="I7" s="12" t="s">
        <v>30</v>
      </c>
    </row>
    <row r="8" spans="1:9" ht="15.6" x14ac:dyDescent="0.3">
      <c r="B8" s="12"/>
      <c r="C8" s="14" t="s">
        <v>10</v>
      </c>
      <c r="D8" s="218"/>
      <c r="E8" s="15">
        <v>1.43</v>
      </c>
      <c r="F8" s="15">
        <v>400</v>
      </c>
      <c r="G8" s="13"/>
      <c r="H8" s="13"/>
      <c r="I8" s="12"/>
    </row>
    <row r="9" spans="1:9" x14ac:dyDescent="0.3">
      <c r="A9" s="14" t="s">
        <v>38</v>
      </c>
      <c r="B9" s="12">
        <v>0</v>
      </c>
      <c r="C9" s="14">
        <v>830</v>
      </c>
      <c r="D9" s="14">
        <f>18*55</f>
        <v>990</v>
      </c>
      <c r="E9" s="18"/>
      <c r="F9" s="18">
        <f t="shared" ref="F9" si="0">F$8*C9*1000</f>
        <v>332000000</v>
      </c>
      <c r="G9" s="18">
        <f t="shared" ref="G9" si="1">E9+F9</f>
        <v>332000000</v>
      </c>
      <c r="H9" s="18">
        <f>+G9*0.89*0.89</f>
        <v>262977200</v>
      </c>
      <c r="I9" s="12"/>
    </row>
    <row r="10" spans="1:9" x14ac:dyDescent="0.3">
      <c r="B10" s="14">
        <v>90</v>
      </c>
      <c r="C10" s="14">
        <v>370</v>
      </c>
      <c r="D10" s="14"/>
      <c r="E10" s="18">
        <f t="shared" ref="E10:E17" si="2">E$8*1000000*B10</f>
        <v>128700000</v>
      </c>
      <c r="F10" s="18">
        <f t="shared" ref="F10:F17" si="3">F$8*C10*1000</f>
        <v>148000000</v>
      </c>
      <c r="G10" s="18">
        <f t="shared" ref="G10" si="4">E10+F10</f>
        <v>276700000</v>
      </c>
      <c r="H10" s="18">
        <f t="shared" ref="H10:H17" si="5">+G10*0.89*0.89</f>
        <v>219174070</v>
      </c>
      <c r="I10" s="16">
        <f t="shared" ref="I10:I27" si="6">+H10*0.7</f>
        <v>153421849</v>
      </c>
    </row>
    <row r="11" spans="1:9" x14ac:dyDescent="0.3">
      <c r="B11" s="14">
        <v>100</v>
      </c>
      <c r="C11" s="14">
        <v>325</v>
      </c>
      <c r="D11" s="14"/>
      <c r="E11" s="18">
        <f t="shared" si="2"/>
        <v>143000000</v>
      </c>
      <c r="F11" s="18">
        <f t="shared" si="3"/>
        <v>130000000</v>
      </c>
      <c r="G11" s="18">
        <f t="shared" ref="G11:G17" si="7">E11+F11</f>
        <v>273000000</v>
      </c>
      <c r="H11" s="18">
        <f t="shared" si="5"/>
        <v>216243300</v>
      </c>
      <c r="I11" s="16">
        <f t="shared" si="6"/>
        <v>151370310</v>
      </c>
    </row>
    <row r="12" spans="1:9" x14ac:dyDescent="0.3">
      <c r="B12" s="14">
        <v>110</v>
      </c>
      <c r="C12" s="14">
        <v>280</v>
      </c>
      <c r="D12" s="14"/>
      <c r="E12" s="18">
        <f t="shared" si="2"/>
        <v>157300000</v>
      </c>
      <c r="F12" s="18">
        <f t="shared" si="3"/>
        <v>112000000</v>
      </c>
      <c r="G12" s="18">
        <f t="shared" ref="G12" si="8">E12+F12</f>
        <v>269300000</v>
      </c>
      <c r="H12" s="18">
        <f t="shared" si="5"/>
        <v>213312530</v>
      </c>
      <c r="I12" s="16">
        <f t="shared" si="6"/>
        <v>149318771</v>
      </c>
    </row>
    <row r="13" spans="1:9" x14ac:dyDescent="0.3">
      <c r="B13" s="14">
        <v>120</v>
      </c>
      <c r="C13" s="14">
        <v>240</v>
      </c>
      <c r="D13" s="14"/>
      <c r="E13" s="18">
        <f t="shared" si="2"/>
        <v>171600000</v>
      </c>
      <c r="F13" s="18">
        <f t="shared" si="3"/>
        <v>96000000</v>
      </c>
      <c r="G13" s="18">
        <f t="shared" si="7"/>
        <v>267600000</v>
      </c>
      <c r="H13" s="18">
        <f t="shared" si="5"/>
        <v>211965960</v>
      </c>
      <c r="I13" s="16">
        <f t="shared" si="6"/>
        <v>148376172</v>
      </c>
    </row>
    <row r="14" spans="1:9" x14ac:dyDescent="0.3">
      <c r="B14" s="100">
        <v>130</v>
      </c>
      <c r="C14" s="100">
        <v>195</v>
      </c>
      <c r="D14" s="100"/>
      <c r="E14" s="101">
        <f t="shared" si="2"/>
        <v>185900000</v>
      </c>
      <c r="F14" s="101">
        <f t="shared" si="3"/>
        <v>78000000</v>
      </c>
      <c r="G14" s="101">
        <f t="shared" ref="G14:G15" si="9">E14+F14</f>
        <v>263900000</v>
      </c>
      <c r="H14" s="101">
        <f t="shared" si="5"/>
        <v>209035190</v>
      </c>
      <c r="I14" s="102">
        <f t="shared" si="6"/>
        <v>146324633</v>
      </c>
    </row>
    <row r="15" spans="1:9" x14ac:dyDescent="0.3">
      <c r="B15" s="14">
        <v>140</v>
      </c>
      <c r="C15" s="14">
        <v>160</v>
      </c>
      <c r="D15" s="14"/>
      <c r="E15" s="18">
        <f t="shared" si="2"/>
        <v>200200000</v>
      </c>
      <c r="F15" s="18">
        <f t="shared" si="3"/>
        <v>64000000</v>
      </c>
      <c r="G15" s="18">
        <f t="shared" si="9"/>
        <v>264200000</v>
      </c>
      <c r="H15" s="18">
        <f t="shared" si="5"/>
        <v>209272820</v>
      </c>
      <c r="I15" s="16">
        <f t="shared" si="6"/>
        <v>146490974</v>
      </c>
    </row>
    <row r="16" spans="1:9" x14ac:dyDescent="0.3">
      <c r="B16" s="14">
        <v>150</v>
      </c>
      <c r="C16" s="14">
        <v>135</v>
      </c>
      <c r="D16" s="14"/>
      <c r="E16" s="18">
        <f t="shared" si="2"/>
        <v>214500000</v>
      </c>
      <c r="F16" s="18">
        <f t="shared" si="3"/>
        <v>54000000</v>
      </c>
      <c r="G16" s="18">
        <f t="shared" si="7"/>
        <v>268500000</v>
      </c>
      <c r="H16" s="18">
        <f t="shared" si="5"/>
        <v>212678850</v>
      </c>
      <c r="I16" s="16">
        <f t="shared" si="6"/>
        <v>148875195</v>
      </c>
    </row>
    <row r="17" spans="1:10" x14ac:dyDescent="0.3">
      <c r="B17" s="14">
        <v>160</v>
      </c>
      <c r="C17" s="14">
        <v>120</v>
      </c>
      <c r="D17" s="14"/>
      <c r="E17" s="18">
        <f t="shared" si="2"/>
        <v>228800000</v>
      </c>
      <c r="F17" s="18">
        <f t="shared" si="3"/>
        <v>48000000</v>
      </c>
      <c r="G17" s="18">
        <f t="shared" si="7"/>
        <v>276800000</v>
      </c>
      <c r="H17" s="18">
        <f t="shared" si="5"/>
        <v>219253280</v>
      </c>
      <c r="I17" s="16">
        <f t="shared" si="6"/>
        <v>153477296</v>
      </c>
    </row>
    <row r="18" spans="1:10" x14ac:dyDescent="0.3">
      <c r="C18" s="14"/>
      <c r="D18" s="14"/>
      <c r="E18" s="18"/>
      <c r="F18" s="18"/>
      <c r="G18" s="18"/>
      <c r="H18" s="18"/>
      <c r="I18" s="16"/>
    </row>
    <row r="19" spans="1:10" x14ac:dyDescent="0.3">
      <c r="A19" s="14" t="s">
        <v>40</v>
      </c>
      <c r="B19" s="14">
        <v>0</v>
      </c>
      <c r="C19" s="14">
        <v>820</v>
      </c>
      <c r="D19" s="14">
        <f>18*55</f>
        <v>990</v>
      </c>
      <c r="E19" s="18">
        <f t="shared" ref="E19" si="10">E$8*1000000*B19</f>
        <v>0</v>
      </c>
      <c r="F19" s="18">
        <f t="shared" ref="F19" si="11">F$8*C19*1000</f>
        <v>328000000</v>
      </c>
      <c r="G19" s="18">
        <f t="shared" ref="G19" si="12">E19+F19</f>
        <v>328000000</v>
      </c>
      <c r="H19" s="18">
        <f>+G19*0.89*0.89</f>
        <v>259808800</v>
      </c>
      <c r="I19" s="16"/>
      <c r="J19" s="16"/>
    </row>
    <row r="20" spans="1:10" x14ac:dyDescent="0.3">
      <c r="B20" s="14">
        <v>95</v>
      </c>
      <c r="C20" s="14">
        <v>355</v>
      </c>
      <c r="D20" s="14"/>
      <c r="E20" s="18">
        <f t="shared" ref="E20:E27" si="13">E$8*1000000*B20</f>
        <v>135850000</v>
      </c>
      <c r="F20" s="18">
        <f t="shared" ref="F20:F27" si="14">F$8*C20*1000</f>
        <v>142000000</v>
      </c>
      <c r="G20" s="18">
        <f t="shared" ref="G20" si="15">E20+F20</f>
        <v>277850000</v>
      </c>
      <c r="H20" s="18">
        <f t="shared" ref="H20:H27" si="16">+G20*0.89*0.89</f>
        <v>220084985</v>
      </c>
      <c r="I20" s="16">
        <f t="shared" si="6"/>
        <v>154059489.5</v>
      </c>
      <c r="J20" s="16"/>
    </row>
    <row r="21" spans="1:10" x14ac:dyDescent="0.3">
      <c r="B21" s="105">
        <v>100</v>
      </c>
      <c r="C21" s="105">
        <v>335</v>
      </c>
      <c r="D21" s="105"/>
      <c r="E21" s="106">
        <f t="shared" si="13"/>
        <v>143000000</v>
      </c>
      <c r="F21" s="106">
        <f t="shared" si="14"/>
        <v>134000000</v>
      </c>
      <c r="G21" s="106">
        <f t="shared" ref="G21:G27" si="17">E21+F21</f>
        <v>277000000</v>
      </c>
      <c r="H21" s="106">
        <f t="shared" si="16"/>
        <v>219411700</v>
      </c>
      <c r="I21" s="107">
        <f t="shared" si="6"/>
        <v>153588190</v>
      </c>
      <c r="J21" s="16"/>
    </row>
    <row r="22" spans="1:10" x14ac:dyDescent="0.3">
      <c r="B22" s="108">
        <v>110</v>
      </c>
      <c r="C22" s="108">
        <v>290</v>
      </c>
      <c r="D22" s="108"/>
      <c r="E22" s="109">
        <f t="shared" si="13"/>
        <v>157300000</v>
      </c>
      <c r="F22" s="109">
        <f t="shared" si="14"/>
        <v>116000000</v>
      </c>
      <c r="G22" s="109">
        <f t="shared" si="17"/>
        <v>273300000</v>
      </c>
      <c r="H22" s="109">
        <f t="shared" si="16"/>
        <v>216480930</v>
      </c>
      <c r="I22" s="110">
        <f t="shared" si="6"/>
        <v>151536651</v>
      </c>
      <c r="J22" s="16">
        <f>+I22+$G$71</f>
        <v>267286651</v>
      </c>
    </row>
    <row r="23" spans="1:10" x14ac:dyDescent="0.3">
      <c r="B23" s="209">
        <v>120</v>
      </c>
      <c r="C23" s="210">
        <v>255</v>
      </c>
      <c r="D23" s="210"/>
      <c r="E23" s="211">
        <f t="shared" si="13"/>
        <v>171600000</v>
      </c>
      <c r="F23" s="211">
        <f t="shared" si="14"/>
        <v>102000000</v>
      </c>
      <c r="G23" s="211">
        <f t="shared" si="17"/>
        <v>273600000</v>
      </c>
      <c r="H23" s="211">
        <f t="shared" si="16"/>
        <v>216718560</v>
      </c>
      <c r="I23" s="211">
        <f t="shared" si="6"/>
        <v>151702992</v>
      </c>
      <c r="J23" s="212">
        <f>+I23+$G$71</f>
        <v>267452992</v>
      </c>
    </row>
    <row r="24" spans="1:10" x14ac:dyDescent="0.3">
      <c r="B24" s="232">
        <v>130</v>
      </c>
      <c r="C24" s="232">
        <v>220</v>
      </c>
      <c r="D24" s="232"/>
      <c r="E24" s="109">
        <f t="shared" si="13"/>
        <v>185900000</v>
      </c>
      <c r="F24" s="109">
        <f t="shared" si="14"/>
        <v>88000000</v>
      </c>
      <c r="G24" s="109">
        <f t="shared" si="17"/>
        <v>273900000</v>
      </c>
      <c r="H24" s="109">
        <f t="shared" si="16"/>
        <v>216956190</v>
      </c>
      <c r="I24" s="109">
        <f t="shared" si="6"/>
        <v>151869333</v>
      </c>
      <c r="J24" s="18">
        <f>+I24+$G$71</f>
        <v>267619333</v>
      </c>
    </row>
    <row r="25" spans="1:10" x14ac:dyDescent="0.3">
      <c r="B25" s="14">
        <v>140</v>
      </c>
      <c r="C25" s="14">
        <v>210</v>
      </c>
      <c r="D25" s="14"/>
      <c r="E25" s="18">
        <f t="shared" si="13"/>
        <v>200200000</v>
      </c>
      <c r="F25" s="18">
        <f t="shared" si="14"/>
        <v>84000000</v>
      </c>
      <c r="G25" s="18">
        <f t="shared" si="17"/>
        <v>284200000</v>
      </c>
      <c r="H25" s="18">
        <f t="shared" si="16"/>
        <v>225114820</v>
      </c>
      <c r="I25" s="16">
        <f t="shared" si="6"/>
        <v>157580374</v>
      </c>
    </row>
    <row r="26" spans="1:10" x14ac:dyDescent="0.3">
      <c r="B26" s="14">
        <v>150</v>
      </c>
      <c r="C26" s="14">
        <v>205</v>
      </c>
      <c r="D26" s="14"/>
      <c r="E26" s="18">
        <f t="shared" si="13"/>
        <v>214500000</v>
      </c>
      <c r="F26" s="18">
        <f t="shared" si="14"/>
        <v>82000000</v>
      </c>
      <c r="G26" s="18">
        <f t="shared" si="17"/>
        <v>296500000</v>
      </c>
      <c r="H26" s="18">
        <f t="shared" si="16"/>
        <v>234857650</v>
      </c>
      <c r="I26" s="16">
        <f t="shared" si="6"/>
        <v>164400355</v>
      </c>
    </row>
    <row r="27" spans="1:10" x14ac:dyDescent="0.3">
      <c r="B27" s="14">
        <v>160</v>
      </c>
      <c r="C27" s="14">
        <v>200</v>
      </c>
      <c r="D27" s="14"/>
      <c r="E27" s="18">
        <f t="shared" si="13"/>
        <v>228800000</v>
      </c>
      <c r="F27" s="18">
        <f t="shared" si="14"/>
        <v>80000000</v>
      </c>
      <c r="G27" s="18">
        <f t="shared" si="17"/>
        <v>308800000</v>
      </c>
      <c r="H27" s="18">
        <f t="shared" si="16"/>
        <v>244600480</v>
      </c>
      <c r="I27" s="16">
        <f t="shared" si="6"/>
        <v>171220336</v>
      </c>
    </row>
    <row r="28" spans="1:10" x14ac:dyDescent="0.3">
      <c r="B28" s="14"/>
      <c r="C28" s="14"/>
      <c r="D28" s="14"/>
      <c r="E28" s="18"/>
      <c r="F28" s="18"/>
      <c r="G28" s="18"/>
      <c r="H28" s="18"/>
      <c r="I28" s="16"/>
    </row>
    <row r="29" spans="1:10" x14ac:dyDescent="0.3">
      <c r="A29" s="14" t="s">
        <v>41</v>
      </c>
      <c r="B29" s="14">
        <v>0</v>
      </c>
      <c r="C29" s="14">
        <v>525</v>
      </c>
      <c r="D29" s="14">
        <f>18*55</f>
        <v>990</v>
      </c>
      <c r="E29" s="18">
        <f t="shared" ref="E29" si="18">E$8*1000000*B29</f>
        <v>0</v>
      </c>
      <c r="F29" s="18">
        <f t="shared" ref="F29" si="19">F$8*C29*1000</f>
        <v>210000000</v>
      </c>
      <c r="G29" s="18">
        <f t="shared" ref="G29" si="20">E29+F29</f>
        <v>210000000</v>
      </c>
      <c r="H29" s="18">
        <f>+G29*0.89*0.89</f>
        <v>166341000</v>
      </c>
      <c r="I29" s="16"/>
    </row>
    <row r="30" spans="1:10" x14ac:dyDescent="0.3">
      <c r="B30" s="14">
        <v>90</v>
      </c>
      <c r="C30" s="14">
        <v>190</v>
      </c>
      <c r="D30" s="14"/>
      <c r="E30" s="18">
        <f t="shared" ref="E30:E37" si="21">E$8*1000000*B30</f>
        <v>128700000</v>
      </c>
      <c r="F30" s="18">
        <f t="shared" ref="F30:F37" si="22">F$8*C30*1000</f>
        <v>76000000</v>
      </c>
      <c r="G30" s="18">
        <f t="shared" ref="G30" si="23">E30+F30</f>
        <v>204700000</v>
      </c>
      <c r="H30" s="18">
        <f t="shared" ref="H30:H37" si="24">+G30*0.89*0.89</f>
        <v>162142870</v>
      </c>
      <c r="I30" s="16">
        <f t="shared" ref="I30" si="25">+H30*0.7</f>
        <v>113500009</v>
      </c>
    </row>
    <row r="31" spans="1:10" x14ac:dyDescent="0.3">
      <c r="B31" s="14">
        <v>100</v>
      </c>
      <c r="C31" s="14">
        <v>170</v>
      </c>
      <c r="D31" s="14"/>
      <c r="E31" s="18">
        <f t="shared" si="21"/>
        <v>143000000</v>
      </c>
      <c r="F31" s="18">
        <f t="shared" si="22"/>
        <v>68000000</v>
      </c>
      <c r="G31" s="18">
        <f t="shared" ref="G31:G37" si="26">E31+F31</f>
        <v>211000000</v>
      </c>
      <c r="H31" s="18">
        <f t="shared" si="24"/>
        <v>167133100</v>
      </c>
      <c r="I31" s="16">
        <f t="shared" ref="I31:I37" si="27">+H31*0.7</f>
        <v>116993170</v>
      </c>
    </row>
    <row r="32" spans="1:10" x14ac:dyDescent="0.3">
      <c r="B32" s="14">
        <v>110</v>
      </c>
      <c r="C32" s="14">
        <v>155</v>
      </c>
      <c r="D32" s="14"/>
      <c r="E32" s="18">
        <f t="shared" si="21"/>
        <v>157300000</v>
      </c>
      <c r="F32" s="18">
        <f t="shared" si="22"/>
        <v>62000000</v>
      </c>
      <c r="G32" s="18">
        <f t="shared" si="26"/>
        <v>219300000</v>
      </c>
      <c r="H32" s="18">
        <f t="shared" si="24"/>
        <v>173707530</v>
      </c>
      <c r="I32" s="16">
        <f t="shared" si="27"/>
        <v>121595270.99999999</v>
      </c>
    </row>
    <row r="33" spans="1:10" x14ac:dyDescent="0.3">
      <c r="B33" s="100">
        <v>120</v>
      </c>
      <c r="C33" s="100">
        <v>140</v>
      </c>
      <c r="D33" s="100"/>
      <c r="E33" s="101">
        <f t="shared" si="21"/>
        <v>171600000</v>
      </c>
      <c r="F33" s="101">
        <f t="shared" si="22"/>
        <v>56000000</v>
      </c>
      <c r="G33" s="101">
        <f t="shared" si="26"/>
        <v>227600000</v>
      </c>
      <c r="H33" s="101">
        <f t="shared" si="24"/>
        <v>180281960</v>
      </c>
      <c r="I33" s="102">
        <f t="shared" si="27"/>
        <v>126197371.99999999</v>
      </c>
    </row>
    <row r="34" spans="1:10" x14ac:dyDescent="0.3">
      <c r="B34" s="14">
        <v>130</v>
      </c>
      <c r="C34" s="14">
        <v>125</v>
      </c>
      <c r="D34" s="14"/>
      <c r="E34" s="18">
        <f t="shared" si="21"/>
        <v>185900000</v>
      </c>
      <c r="F34" s="18">
        <f t="shared" si="22"/>
        <v>50000000</v>
      </c>
      <c r="G34" s="18">
        <f t="shared" si="26"/>
        <v>235900000</v>
      </c>
      <c r="H34" s="18">
        <f t="shared" si="24"/>
        <v>186856390</v>
      </c>
      <c r="I34" s="16">
        <f t="shared" si="27"/>
        <v>130799472.99999999</v>
      </c>
    </row>
    <row r="35" spans="1:10" x14ac:dyDescent="0.3">
      <c r="B35" s="14">
        <v>140</v>
      </c>
      <c r="C35" s="14">
        <v>120</v>
      </c>
      <c r="D35" s="14"/>
      <c r="E35" s="18">
        <f t="shared" si="21"/>
        <v>200200000</v>
      </c>
      <c r="F35" s="18">
        <f t="shared" si="22"/>
        <v>48000000</v>
      </c>
      <c r="G35" s="18">
        <f t="shared" si="26"/>
        <v>248200000</v>
      </c>
      <c r="H35" s="18">
        <f t="shared" si="24"/>
        <v>196599220</v>
      </c>
      <c r="I35" s="16">
        <f t="shared" si="27"/>
        <v>137619454</v>
      </c>
    </row>
    <row r="36" spans="1:10" x14ac:dyDescent="0.3">
      <c r="B36" s="14">
        <v>150</v>
      </c>
      <c r="C36" s="14">
        <v>115</v>
      </c>
      <c r="D36" s="14"/>
      <c r="E36" s="18">
        <f t="shared" si="21"/>
        <v>214500000</v>
      </c>
      <c r="F36" s="18">
        <f t="shared" si="22"/>
        <v>46000000</v>
      </c>
      <c r="G36" s="18">
        <f t="shared" si="26"/>
        <v>260500000</v>
      </c>
      <c r="H36" s="18">
        <f t="shared" si="24"/>
        <v>206342050</v>
      </c>
      <c r="I36" s="16">
        <f t="shared" si="27"/>
        <v>144439435</v>
      </c>
    </row>
    <row r="37" spans="1:10" x14ac:dyDescent="0.3">
      <c r="B37" s="14">
        <v>160</v>
      </c>
      <c r="C37" s="14">
        <v>105</v>
      </c>
      <c r="D37" s="14"/>
      <c r="E37" s="18">
        <f t="shared" si="21"/>
        <v>228800000</v>
      </c>
      <c r="F37" s="18">
        <f t="shared" si="22"/>
        <v>42000000</v>
      </c>
      <c r="G37" s="18">
        <f t="shared" si="26"/>
        <v>270800000</v>
      </c>
      <c r="H37" s="18">
        <f t="shared" si="24"/>
        <v>214500680</v>
      </c>
      <c r="I37" s="16">
        <f t="shared" si="27"/>
        <v>150150476</v>
      </c>
    </row>
    <row r="38" spans="1:10" x14ac:dyDescent="0.3">
      <c r="C38" s="14"/>
      <c r="D38" s="14"/>
      <c r="E38" s="18"/>
      <c r="F38" s="18"/>
      <c r="G38" s="18"/>
      <c r="H38" s="18"/>
      <c r="I38" s="16"/>
    </row>
    <row r="39" spans="1:10" x14ac:dyDescent="0.3">
      <c r="A39" s="14" t="s">
        <v>42</v>
      </c>
      <c r="B39" s="14">
        <v>0</v>
      </c>
      <c r="C39" s="14">
        <v>1645</v>
      </c>
      <c r="D39" s="14">
        <v>1760</v>
      </c>
      <c r="E39" s="18">
        <f t="shared" ref="E39" si="28">E$8*1000000*B39</f>
        <v>0</v>
      </c>
      <c r="F39" s="18">
        <f t="shared" ref="F39" si="29">F$8*C39*1000</f>
        <v>658000000</v>
      </c>
      <c r="G39" s="18">
        <f t="shared" ref="G39" si="30">E39+F39</f>
        <v>658000000</v>
      </c>
      <c r="H39" s="18">
        <f>+G39*0.89*0.89</f>
        <v>521201800</v>
      </c>
      <c r="I39" s="16"/>
    </row>
    <row r="40" spans="1:10" x14ac:dyDescent="0.3">
      <c r="B40" s="14">
        <v>175</v>
      </c>
      <c r="C40" s="14">
        <v>670</v>
      </c>
      <c r="D40" s="14"/>
      <c r="E40" s="18">
        <f t="shared" ref="E40:E46" si="31">E$8*1000000*B40</f>
        <v>250250000</v>
      </c>
      <c r="F40" s="18">
        <f t="shared" ref="F40:F46" si="32">F$8*C40*1000</f>
        <v>268000000</v>
      </c>
      <c r="G40" s="18">
        <f t="shared" ref="G40:G46" si="33">E40+F40</f>
        <v>518250000</v>
      </c>
      <c r="H40" s="18">
        <f t="shared" ref="H40:H46" si="34">+G40*0.89*0.89</f>
        <v>410505825</v>
      </c>
      <c r="I40" s="16">
        <f t="shared" ref="I40:I55" si="35">+H40*0.7</f>
        <v>287354077.5</v>
      </c>
    </row>
    <row r="41" spans="1:10" x14ac:dyDescent="0.3">
      <c r="B41" s="14">
        <v>185</v>
      </c>
      <c r="C41" s="14">
        <v>625</v>
      </c>
      <c r="D41" s="14"/>
      <c r="E41" s="18">
        <f t="shared" si="31"/>
        <v>264550000</v>
      </c>
      <c r="F41" s="18">
        <f t="shared" si="32"/>
        <v>250000000</v>
      </c>
      <c r="G41" s="18">
        <f t="shared" si="33"/>
        <v>514550000</v>
      </c>
      <c r="H41" s="18">
        <f t="shared" si="34"/>
        <v>407575055</v>
      </c>
      <c r="I41" s="16">
        <f t="shared" si="35"/>
        <v>285302538.5</v>
      </c>
    </row>
    <row r="42" spans="1:10" x14ac:dyDescent="0.3">
      <c r="B42" s="14">
        <v>200</v>
      </c>
      <c r="C42" s="14">
        <v>560</v>
      </c>
      <c r="D42" s="14"/>
      <c r="E42" s="18">
        <f t="shared" si="31"/>
        <v>286000000</v>
      </c>
      <c r="F42" s="18">
        <f t="shared" si="32"/>
        <v>224000000</v>
      </c>
      <c r="G42" s="18">
        <f t="shared" ref="G42" si="36">E42+F42</f>
        <v>510000000</v>
      </c>
      <c r="H42" s="18">
        <f>+G42*0.89*0.89</f>
        <v>403971000</v>
      </c>
      <c r="I42" s="16">
        <f t="shared" si="35"/>
        <v>282779700</v>
      </c>
    </row>
    <row r="43" spans="1:10" x14ac:dyDescent="0.3">
      <c r="B43" s="14">
        <v>210</v>
      </c>
      <c r="C43" s="14">
        <v>520</v>
      </c>
      <c r="D43" s="14"/>
      <c r="E43" s="18">
        <f t="shared" si="31"/>
        <v>300300000</v>
      </c>
      <c r="F43" s="18">
        <f t="shared" si="32"/>
        <v>208000000</v>
      </c>
      <c r="G43" s="18">
        <f t="shared" ref="G43" si="37">E43+F43</f>
        <v>508300000</v>
      </c>
      <c r="H43" s="18">
        <f t="shared" si="34"/>
        <v>402624430</v>
      </c>
      <c r="I43" s="16">
        <f t="shared" si="35"/>
        <v>281837101</v>
      </c>
    </row>
    <row r="44" spans="1:10" x14ac:dyDescent="0.3">
      <c r="B44" s="96">
        <v>220</v>
      </c>
      <c r="C44" s="96">
        <v>480</v>
      </c>
      <c r="D44" s="96"/>
      <c r="E44" s="147">
        <f t="shared" si="31"/>
        <v>314600000</v>
      </c>
      <c r="F44" s="147">
        <f t="shared" si="32"/>
        <v>192000000</v>
      </c>
      <c r="G44" s="147">
        <f t="shared" si="33"/>
        <v>506600000</v>
      </c>
      <c r="H44" s="147">
        <f t="shared" si="34"/>
        <v>401277860</v>
      </c>
      <c r="I44" s="148">
        <f t="shared" si="35"/>
        <v>280894502</v>
      </c>
    </row>
    <row r="45" spans="1:10" x14ac:dyDescent="0.3">
      <c r="B45" s="14">
        <v>230</v>
      </c>
      <c r="C45" s="14">
        <v>460</v>
      </c>
      <c r="D45" s="14"/>
      <c r="E45" s="18">
        <f t="shared" si="31"/>
        <v>328900000</v>
      </c>
      <c r="F45" s="18">
        <f t="shared" si="32"/>
        <v>184000000</v>
      </c>
      <c r="G45" s="18">
        <f t="shared" si="33"/>
        <v>512900000</v>
      </c>
      <c r="H45" s="18">
        <f t="shared" si="34"/>
        <v>406268090</v>
      </c>
      <c r="I45" s="16">
        <f t="shared" si="35"/>
        <v>284387663</v>
      </c>
    </row>
    <row r="46" spans="1:10" x14ac:dyDescent="0.3">
      <c r="B46" s="14">
        <v>250</v>
      </c>
      <c r="C46" s="14">
        <v>445</v>
      </c>
      <c r="D46" s="14"/>
      <c r="E46" s="18">
        <f t="shared" si="31"/>
        <v>357500000</v>
      </c>
      <c r="F46" s="18">
        <f t="shared" si="32"/>
        <v>178000000</v>
      </c>
      <c r="G46" s="18">
        <f t="shared" si="33"/>
        <v>535500000</v>
      </c>
      <c r="H46" s="18">
        <f t="shared" si="34"/>
        <v>424169550</v>
      </c>
      <c r="I46" s="16">
        <f t="shared" si="35"/>
        <v>296918685</v>
      </c>
    </row>
    <row r="47" spans="1:10" x14ac:dyDescent="0.3">
      <c r="B47" s="14"/>
      <c r="C47" s="14"/>
      <c r="D47" s="14"/>
      <c r="E47" s="18"/>
      <c r="F47" s="18"/>
      <c r="G47" s="18"/>
      <c r="H47" s="18"/>
      <c r="I47" s="16"/>
    </row>
    <row r="48" spans="1:10" x14ac:dyDescent="0.3">
      <c r="A48" s="14" t="s">
        <v>39</v>
      </c>
      <c r="B48" s="14">
        <v>0</v>
      </c>
      <c r="C48" s="14">
        <v>1660</v>
      </c>
      <c r="D48" s="14">
        <v>1760</v>
      </c>
      <c r="E48" s="18">
        <f t="shared" ref="E48" si="38">E$8*1000000*B48</f>
        <v>0</v>
      </c>
      <c r="F48" s="18">
        <f t="shared" ref="F48" si="39">F$8*C48*1000</f>
        <v>664000000</v>
      </c>
      <c r="G48" s="18">
        <f t="shared" ref="G48" si="40">E48+F48</f>
        <v>664000000</v>
      </c>
      <c r="H48" s="18">
        <f>+G48*0.89*0.89</f>
        <v>525954400</v>
      </c>
      <c r="I48" s="16"/>
      <c r="J48" s="231"/>
    </row>
    <row r="49" spans="1:10" x14ac:dyDescent="0.3">
      <c r="B49" s="14">
        <v>100</v>
      </c>
      <c r="C49" s="14">
        <v>1070</v>
      </c>
      <c r="D49" s="14"/>
      <c r="E49" s="18">
        <f t="shared" ref="E49:E55" si="41">E$8*1000000*B49</f>
        <v>143000000</v>
      </c>
      <c r="F49" s="18">
        <f t="shared" ref="F49:F55" si="42">F$8*C49*1000</f>
        <v>428000000</v>
      </c>
      <c r="G49" s="18">
        <f t="shared" ref="G49" si="43">E49+F49</f>
        <v>571000000</v>
      </c>
      <c r="H49" s="18">
        <f t="shared" ref="H49:H55" si="44">+G49*0.89*0.89</f>
        <v>452289100</v>
      </c>
      <c r="I49" s="16">
        <f t="shared" si="35"/>
        <v>316602370</v>
      </c>
      <c r="J49" s="231"/>
    </row>
    <row r="50" spans="1:10" x14ac:dyDescent="0.3">
      <c r="B50" s="14">
        <v>185</v>
      </c>
      <c r="C50" s="14">
        <v>660</v>
      </c>
      <c r="D50" s="14"/>
      <c r="E50" s="18">
        <f t="shared" si="41"/>
        <v>264550000</v>
      </c>
      <c r="F50" s="18">
        <f t="shared" si="42"/>
        <v>264000000</v>
      </c>
      <c r="G50" s="18">
        <f t="shared" ref="G50:G52" si="45">E50+F50</f>
        <v>528550000</v>
      </c>
      <c r="H50" s="18">
        <f t="shared" si="44"/>
        <v>418664455</v>
      </c>
      <c r="I50" s="16">
        <f t="shared" si="35"/>
        <v>293065118.5</v>
      </c>
    </row>
    <row r="51" spans="1:10" x14ac:dyDescent="0.3">
      <c r="B51" s="89">
        <v>200</v>
      </c>
      <c r="C51" s="89">
        <v>595</v>
      </c>
      <c r="D51" s="89"/>
      <c r="E51" s="90">
        <f t="shared" si="41"/>
        <v>286000000</v>
      </c>
      <c r="F51" s="90">
        <f t="shared" si="42"/>
        <v>238000000</v>
      </c>
      <c r="G51" s="90">
        <f t="shared" si="45"/>
        <v>524000000</v>
      </c>
      <c r="H51" s="90">
        <f t="shared" si="44"/>
        <v>415060400</v>
      </c>
      <c r="I51" s="91">
        <f t="shared" si="35"/>
        <v>290542280</v>
      </c>
      <c r="J51" s="91">
        <f>I51+G$71</f>
        <v>406292280</v>
      </c>
    </row>
    <row r="52" spans="1:10" x14ac:dyDescent="0.3">
      <c r="B52" s="205">
        <v>210</v>
      </c>
      <c r="C52" s="206">
        <v>560</v>
      </c>
      <c r="D52" s="206"/>
      <c r="E52" s="207">
        <f t="shared" si="41"/>
        <v>300300000</v>
      </c>
      <c r="F52" s="207">
        <f t="shared" si="42"/>
        <v>224000000</v>
      </c>
      <c r="G52" s="207">
        <f t="shared" si="45"/>
        <v>524300000</v>
      </c>
      <c r="H52" s="207">
        <f t="shared" si="44"/>
        <v>415298030</v>
      </c>
      <c r="I52" s="207">
        <f t="shared" si="35"/>
        <v>290708621</v>
      </c>
      <c r="J52" s="208">
        <f>I52+G$71</f>
        <v>406458621</v>
      </c>
    </row>
    <row r="53" spans="1:10" x14ac:dyDescent="0.3">
      <c r="B53" s="14">
        <v>220</v>
      </c>
      <c r="C53" s="14">
        <v>540</v>
      </c>
      <c r="D53" s="14"/>
      <c r="E53" s="18">
        <f t="shared" si="41"/>
        <v>314600000</v>
      </c>
      <c r="F53" s="18">
        <f t="shared" si="42"/>
        <v>216000000</v>
      </c>
      <c r="G53" s="18">
        <f t="shared" ref="G53:G55" si="46">E53+F53</f>
        <v>530600000</v>
      </c>
      <c r="H53" s="18">
        <f t="shared" si="44"/>
        <v>420288260</v>
      </c>
      <c r="I53" s="16">
        <f t="shared" si="35"/>
        <v>294201782</v>
      </c>
    </row>
    <row r="54" spans="1:10" x14ac:dyDescent="0.3">
      <c r="B54" s="14">
        <v>230</v>
      </c>
      <c r="C54" s="14">
        <v>530</v>
      </c>
      <c r="D54" s="14"/>
      <c r="E54" s="18">
        <f t="shared" si="41"/>
        <v>328900000</v>
      </c>
      <c r="F54" s="18">
        <f t="shared" si="42"/>
        <v>212000000</v>
      </c>
      <c r="G54" s="18">
        <f t="shared" si="46"/>
        <v>540900000</v>
      </c>
      <c r="H54" s="18">
        <f t="shared" si="44"/>
        <v>428446890</v>
      </c>
      <c r="I54" s="16">
        <f t="shared" si="35"/>
        <v>299912823</v>
      </c>
    </row>
    <row r="55" spans="1:10" x14ac:dyDescent="0.3">
      <c r="B55" s="14">
        <v>250</v>
      </c>
      <c r="C55" s="14">
        <v>520</v>
      </c>
      <c r="D55" s="14"/>
      <c r="E55" s="18">
        <f t="shared" si="41"/>
        <v>357500000</v>
      </c>
      <c r="F55" s="18">
        <f t="shared" si="42"/>
        <v>208000000</v>
      </c>
      <c r="G55" s="18">
        <f t="shared" si="46"/>
        <v>565500000</v>
      </c>
      <c r="H55" s="18">
        <f t="shared" si="44"/>
        <v>447932550</v>
      </c>
      <c r="I55" s="16">
        <f t="shared" si="35"/>
        <v>313552785</v>
      </c>
    </row>
    <row r="56" spans="1:10" x14ac:dyDescent="0.3">
      <c r="B56" s="14"/>
      <c r="C56" s="14"/>
      <c r="D56" s="14"/>
      <c r="E56" s="18"/>
      <c r="F56" s="18"/>
      <c r="G56" s="18"/>
      <c r="H56" s="18"/>
      <c r="I56" s="16"/>
    </row>
    <row r="57" spans="1:10" x14ac:dyDescent="0.3">
      <c r="A57" s="14" t="s">
        <v>43</v>
      </c>
      <c r="B57" s="14">
        <v>0</v>
      </c>
      <c r="C57" s="14">
        <v>1134</v>
      </c>
      <c r="D57" s="14">
        <v>1760</v>
      </c>
      <c r="E57" s="18">
        <f t="shared" ref="E57" si="47">E$8*1000000*B57</f>
        <v>0</v>
      </c>
      <c r="F57" s="18">
        <f t="shared" ref="F57" si="48">F$8*C57*1000</f>
        <v>453600000</v>
      </c>
      <c r="G57" s="18">
        <f t="shared" ref="G57" si="49">E57+F57</f>
        <v>453600000</v>
      </c>
      <c r="H57" s="18">
        <f>+G57*0.89*0.89</f>
        <v>359296560</v>
      </c>
      <c r="I57" s="16"/>
    </row>
    <row r="58" spans="1:10" x14ac:dyDescent="0.3">
      <c r="B58" s="14">
        <v>175</v>
      </c>
      <c r="C58" s="14">
        <v>460</v>
      </c>
      <c r="D58" s="14"/>
      <c r="E58" s="18">
        <f t="shared" ref="E58:E64" si="50">E$8*1000000*B58</f>
        <v>250250000</v>
      </c>
      <c r="F58" s="18">
        <f t="shared" ref="F58:F64" si="51">F$8*C58*1000</f>
        <v>184000000</v>
      </c>
      <c r="G58" s="18">
        <f t="shared" ref="G58" si="52">E58+F58</f>
        <v>434250000</v>
      </c>
      <c r="H58" s="18">
        <f t="shared" ref="H58:H64" si="53">+G58*0.89*0.89</f>
        <v>343969425</v>
      </c>
      <c r="I58" s="16">
        <f t="shared" ref="I58" si="54">+H58*0.7</f>
        <v>240778597.49999997</v>
      </c>
    </row>
    <row r="59" spans="1:10" x14ac:dyDescent="0.3">
      <c r="B59" s="14">
        <v>185</v>
      </c>
      <c r="C59" s="14">
        <v>445</v>
      </c>
      <c r="D59" s="14"/>
      <c r="E59" s="18">
        <f t="shared" si="50"/>
        <v>264550000</v>
      </c>
      <c r="F59" s="18">
        <f t="shared" si="51"/>
        <v>178000000</v>
      </c>
      <c r="G59" s="18">
        <f t="shared" ref="G59:G64" si="55">E59+F59</f>
        <v>442550000</v>
      </c>
      <c r="H59" s="18">
        <f t="shared" si="53"/>
        <v>350543855</v>
      </c>
      <c r="I59" s="16">
        <f t="shared" ref="I59:I64" si="56">+H59*0.7</f>
        <v>245380698.49999997</v>
      </c>
    </row>
    <row r="60" spans="1:10" x14ac:dyDescent="0.3">
      <c r="B60" s="14">
        <v>200</v>
      </c>
      <c r="C60" s="14">
        <v>423</v>
      </c>
      <c r="D60" s="14"/>
      <c r="E60" s="18">
        <f t="shared" si="50"/>
        <v>286000000</v>
      </c>
      <c r="F60" s="18">
        <f t="shared" si="51"/>
        <v>169200000</v>
      </c>
      <c r="G60" s="18">
        <f t="shared" si="55"/>
        <v>455200000</v>
      </c>
      <c r="H60" s="18">
        <f t="shared" si="53"/>
        <v>360563920</v>
      </c>
      <c r="I60" s="16">
        <f t="shared" si="56"/>
        <v>252394743.99999997</v>
      </c>
    </row>
    <row r="61" spans="1:10" x14ac:dyDescent="0.3">
      <c r="B61" s="100">
        <v>210</v>
      </c>
      <c r="C61" s="100">
        <v>410</v>
      </c>
      <c r="D61" s="100"/>
      <c r="E61" s="101">
        <f t="shared" si="50"/>
        <v>300300000</v>
      </c>
      <c r="F61" s="101">
        <f t="shared" si="51"/>
        <v>164000000</v>
      </c>
      <c r="G61" s="101">
        <f t="shared" si="55"/>
        <v>464300000</v>
      </c>
      <c r="H61" s="101">
        <f t="shared" si="53"/>
        <v>367772030</v>
      </c>
      <c r="I61" s="102">
        <f t="shared" si="56"/>
        <v>257440420.99999997</v>
      </c>
    </row>
    <row r="62" spans="1:10" x14ac:dyDescent="0.3">
      <c r="B62" s="14">
        <v>220</v>
      </c>
      <c r="C62" s="14">
        <v>395</v>
      </c>
      <c r="D62" s="14"/>
      <c r="E62" s="18">
        <f t="shared" si="50"/>
        <v>314600000</v>
      </c>
      <c r="F62" s="18">
        <f t="shared" si="51"/>
        <v>158000000</v>
      </c>
      <c r="G62" s="18">
        <f t="shared" si="55"/>
        <v>472600000</v>
      </c>
      <c r="H62" s="18">
        <f t="shared" si="53"/>
        <v>374346460</v>
      </c>
      <c r="I62" s="16">
        <f t="shared" si="56"/>
        <v>262042521.99999997</v>
      </c>
    </row>
    <row r="63" spans="1:10" x14ac:dyDescent="0.3">
      <c r="B63" s="14">
        <v>230</v>
      </c>
      <c r="C63" s="14">
        <v>390</v>
      </c>
      <c r="D63" s="14"/>
      <c r="E63" s="18">
        <f t="shared" si="50"/>
        <v>328900000</v>
      </c>
      <c r="F63" s="18">
        <f t="shared" si="51"/>
        <v>156000000</v>
      </c>
      <c r="G63" s="18">
        <f t="shared" si="55"/>
        <v>484900000</v>
      </c>
      <c r="H63" s="18">
        <f t="shared" si="53"/>
        <v>384089290</v>
      </c>
      <c r="I63" s="16">
        <f t="shared" si="56"/>
        <v>268862503</v>
      </c>
    </row>
    <row r="64" spans="1:10" x14ac:dyDescent="0.3">
      <c r="B64" s="14">
        <v>250</v>
      </c>
      <c r="C64" s="14">
        <v>380</v>
      </c>
      <c r="D64" s="14"/>
      <c r="E64" s="162">
        <f t="shared" si="50"/>
        <v>357500000</v>
      </c>
      <c r="F64" s="162">
        <f t="shared" si="51"/>
        <v>152000000</v>
      </c>
      <c r="G64" s="162">
        <f t="shared" si="55"/>
        <v>509500000</v>
      </c>
      <c r="H64" s="162">
        <f t="shared" si="53"/>
        <v>403574950</v>
      </c>
      <c r="I64" s="16">
        <f t="shared" si="56"/>
        <v>282502465</v>
      </c>
    </row>
    <row r="67" spans="1:8" ht="27.6" customHeight="1" thickBot="1" x14ac:dyDescent="0.35">
      <c r="A67" s="174" t="s">
        <v>66</v>
      </c>
      <c r="E67" t="s">
        <v>45</v>
      </c>
      <c r="F67" s="16">
        <f>100000</f>
        <v>100000</v>
      </c>
    </row>
    <row r="68" spans="1:8" ht="15" thickTop="1" x14ac:dyDescent="0.3">
      <c r="A68" s="175" t="s">
        <v>24</v>
      </c>
      <c r="B68" s="176">
        <v>25</v>
      </c>
      <c r="C68" s="176">
        <f>25*3</f>
        <v>75</v>
      </c>
      <c r="D68" s="176"/>
      <c r="E68" s="177">
        <f>E$8*1000000*B68</f>
        <v>35750000</v>
      </c>
      <c r="F68" s="178">
        <f>F$8*C68*1000</f>
        <v>30000000</v>
      </c>
      <c r="G68" s="179">
        <f t="shared" ref="G68:G70" si="57">E68+F68</f>
        <v>65750000</v>
      </c>
    </row>
    <row r="69" spans="1:8" x14ac:dyDescent="0.3">
      <c r="A69" s="36" t="s">
        <v>26</v>
      </c>
      <c r="B69" s="180">
        <v>80</v>
      </c>
      <c r="C69" s="85">
        <f>80*4</f>
        <v>320</v>
      </c>
      <c r="D69" s="85"/>
      <c r="E69" s="86"/>
      <c r="F69" s="18">
        <f>F$67*C69</f>
        <v>32000000</v>
      </c>
      <c r="G69" s="87">
        <f t="shared" si="57"/>
        <v>32000000</v>
      </c>
      <c r="H69" s="19"/>
    </row>
    <row r="70" spans="1:8" ht="15" thickBot="1" x14ac:dyDescent="0.35">
      <c r="A70" s="181" t="s">
        <v>27</v>
      </c>
      <c r="B70" s="182">
        <v>30</v>
      </c>
      <c r="C70" s="183">
        <f>+B70*6</f>
        <v>180</v>
      </c>
      <c r="D70" s="183"/>
      <c r="E70" s="184"/>
      <c r="F70" s="185">
        <f>F$67*C70</f>
        <v>18000000</v>
      </c>
      <c r="G70" s="186">
        <f t="shared" si="57"/>
        <v>18000000</v>
      </c>
      <c r="H70" s="19"/>
    </row>
    <row r="71" spans="1:8" ht="15" thickTop="1" x14ac:dyDescent="0.3">
      <c r="F71" t="s">
        <v>44</v>
      </c>
      <c r="G71" s="16">
        <f>SUM(G68:G70)</f>
        <v>115750000</v>
      </c>
    </row>
    <row r="72" spans="1:8" x14ac:dyDescent="0.3">
      <c r="A72" t="s">
        <v>98</v>
      </c>
    </row>
    <row r="73" spans="1:8" x14ac:dyDescent="0.3">
      <c r="A73" s="36" t="s">
        <v>99</v>
      </c>
    </row>
    <row r="75" spans="1:8" ht="14.4" customHeight="1" x14ac:dyDescent="0.3"/>
    <row r="76" spans="1:8" x14ac:dyDescent="0.3">
      <c r="A76" s="172"/>
    </row>
    <row r="77" spans="1:8" x14ac:dyDescent="0.3">
      <c r="A77" s="172"/>
    </row>
    <row r="78" spans="1:8" x14ac:dyDescent="0.3">
      <c r="A78" s="172"/>
    </row>
    <row r="79" spans="1:8" x14ac:dyDescent="0.3">
      <c r="A79" s="172"/>
    </row>
    <row r="80" spans="1:8" x14ac:dyDescent="0.3">
      <c r="A80" s="172"/>
    </row>
    <row r="81" spans="1:1" ht="15" thickBot="1" x14ac:dyDescent="0.35">
      <c r="A81" s="173"/>
    </row>
  </sheetData>
  <mergeCells count="3">
    <mergeCell ref="B3:G3"/>
    <mergeCell ref="B5:G5"/>
    <mergeCell ref="D7: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2D10-7DC7-479A-BCD6-6A9311505631}">
  <dimension ref="C8:I26"/>
  <sheetViews>
    <sheetView topLeftCell="A7" workbookViewId="0">
      <selection activeCell="D29" sqref="D29"/>
    </sheetView>
  </sheetViews>
  <sheetFormatPr defaultRowHeight="14.4" x14ac:dyDescent="0.3"/>
  <cols>
    <col min="4" max="4" width="31.77734375" customWidth="1"/>
    <col min="5" max="5" width="19.21875" customWidth="1"/>
    <col min="6" max="6" width="18.6640625" customWidth="1"/>
    <col min="9" max="9" width="13.5546875" bestFit="1" customWidth="1"/>
  </cols>
  <sheetData>
    <row r="8" spans="4:9" ht="15" thickBot="1" x14ac:dyDescent="0.35">
      <c r="E8" t="s">
        <v>88</v>
      </c>
      <c r="F8" t="s">
        <v>48</v>
      </c>
      <c r="H8" s="187"/>
      <c r="I8" s="19"/>
    </row>
    <row r="9" spans="4:9" x14ac:dyDescent="0.3">
      <c r="D9" t="s">
        <v>67</v>
      </c>
      <c r="E9" s="191">
        <v>299000000</v>
      </c>
      <c r="F9" s="192">
        <v>235869333</v>
      </c>
    </row>
    <row r="10" spans="4:9" ht="28.8" x14ac:dyDescent="0.3">
      <c r="D10" s="195" t="s">
        <v>91</v>
      </c>
      <c r="E10" s="193">
        <f>2.34+2.38</f>
        <v>4.72</v>
      </c>
      <c r="F10" s="194">
        <v>50</v>
      </c>
    </row>
    <row r="11" spans="4:9" ht="15" thickBot="1" x14ac:dyDescent="0.35">
      <c r="D11" t="s">
        <v>68</v>
      </c>
      <c r="E11" s="196">
        <v>28.22</v>
      </c>
      <c r="F11" s="197">
        <v>0</v>
      </c>
    </row>
    <row r="12" spans="4:9" ht="15.6" thickTop="1" thickBot="1" x14ac:dyDescent="0.35">
      <c r="E12" s="198"/>
      <c r="F12" s="198"/>
    </row>
    <row r="13" spans="4:9" ht="15" thickTop="1" x14ac:dyDescent="0.3">
      <c r="D13" t="s">
        <v>87</v>
      </c>
      <c r="E13" s="199">
        <v>262</v>
      </c>
      <c r="F13" s="200">
        <v>130</v>
      </c>
    </row>
    <row r="14" spans="4:9" x14ac:dyDescent="0.3">
      <c r="D14" t="s">
        <v>97</v>
      </c>
      <c r="E14" s="201">
        <f>0.25*24*365</f>
        <v>2190</v>
      </c>
      <c r="F14" s="202"/>
    </row>
    <row r="15" spans="4:9" x14ac:dyDescent="0.3">
      <c r="D15" t="s">
        <v>69</v>
      </c>
      <c r="E15" s="201">
        <f>E13*E14</f>
        <v>573780</v>
      </c>
      <c r="F15" s="202"/>
    </row>
    <row r="16" spans="4:9" ht="15" thickBot="1" x14ac:dyDescent="0.35">
      <c r="D16" t="s">
        <v>70</v>
      </c>
      <c r="E16" s="203">
        <f>(E11+E10)*E15</f>
        <v>18900313.199999999</v>
      </c>
      <c r="F16" s="204">
        <f>130000*50</f>
        <v>6500000</v>
      </c>
    </row>
    <row r="17" spans="3:6" ht="15" thickTop="1" x14ac:dyDescent="0.3">
      <c r="D17" t="s">
        <v>89</v>
      </c>
      <c r="E17" s="16">
        <f>E9+30*E16</f>
        <v>866009396</v>
      </c>
      <c r="F17" s="16">
        <f>F9+30*F16</f>
        <v>430869333</v>
      </c>
    </row>
    <row r="21" spans="3:6" x14ac:dyDescent="0.3">
      <c r="D21" t="s">
        <v>90</v>
      </c>
    </row>
    <row r="26" spans="3:6" x14ac:dyDescent="0.3">
      <c r="C26">
        <f>0.89^6</f>
        <v>0.49698129096100008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AE6CD-F696-415B-BB17-9AF26625A113}">
  <dimension ref="A2:AC25"/>
  <sheetViews>
    <sheetView workbookViewId="0">
      <selection activeCell="D17" sqref="D17"/>
    </sheetView>
  </sheetViews>
  <sheetFormatPr defaultRowHeight="14.4" x14ac:dyDescent="0.3"/>
  <cols>
    <col min="1" max="1" width="17.109375" customWidth="1"/>
    <col min="2" max="2" width="34.5546875" customWidth="1"/>
    <col min="3" max="3" width="14.109375" style="2" customWidth="1"/>
    <col min="4" max="4" width="8.88671875" style="2"/>
    <col min="5" max="5" width="6.21875" bestFit="1" customWidth="1"/>
    <col min="6" max="6" width="7.21875" customWidth="1"/>
    <col min="7" max="14" width="6.5546875" bestFit="1" customWidth="1"/>
    <col min="15" max="15" width="5.5546875" bestFit="1" customWidth="1"/>
    <col min="16" max="28" width="7.21875" bestFit="1" customWidth="1"/>
    <col min="29" max="29" width="15" customWidth="1"/>
  </cols>
  <sheetData>
    <row r="2" spans="1:29" ht="15" thickBot="1" x14ac:dyDescent="0.35"/>
    <row r="3" spans="1:29"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29" ht="18.600000000000001" thickBot="1" x14ac:dyDescent="0.4">
      <c r="B4" s="221" t="s">
        <v>16</v>
      </c>
      <c r="C4" s="222"/>
      <c r="D4" s="222"/>
      <c r="E4" s="152">
        <v>-13.3</v>
      </c>
      <c r="F4" s="153">
        <v>73.3</v>
      </c>
      <c r="G4" s="153">
        <v>140</v>
      </c>
      <c r="H4" s="153">
        <v>196.3</v>
      </c>
      <c r="I4" s="153">
        <v>232.5</v>
      </c>
      <c r="J4" s="153">
        <v>240.5</v>
      </c>
      <c r="K4" s="153">
        <v>211.2</v>
      </c>
      <c r="L4" s="153">
        <v>149.19999999999999</v>
      </c>
      <c r="M4" s="153">
        <v>116.1</v>
      </c>
      <c r="N4" s="153">
        <v>116.2</v>
      </c>
      <c r="O4" s="153">
        <v>16.2</v>
      </c>
      <c r="P4" s="153">
        <v>-143.69999999999999</v>
      </c>
      <c r="Q4" s="153">
        <v>-310.39999999999998</v>
      </c>
      <c r="R4" s="153">
        <v>-437.5</v>
      </c>
      <c r="S4" s="153">
        <v>-512.5</v>
      </c>
      <c r="T4" s="153">
        <v>-565.5</v>
      </c>
      <c r="U4" s="153">
        <v>-598.79999999999995</v>
      </c>
      <c r="V4" s="153">
        <v>-609</v>
      </c>
      <c r="W4" s="153">
        <v>-591.70000000000005</v>
      </c>
      <c r="X4" s="153">
        <v>-515.6</v>
      </c>
      <c r="Y4" s="153">
        <v>-432.3</v>
      </c>
      <c r="Z4" s="153">
        <v>-346.8</v>
      </c>
      <c r="AA4" s="153">
        <v>-223.4</v>
      </c>
      <c r="AB4" s="154">
        <v>-110.3</v>
      </c>
      <c r="AC4" s="27"/>
    </row>
    <row r="5" spans="1:29" s="25" customFormat="1" ht="16.2" thickBot="1" x14ac:dyDescent="0.35">
      <c r="B5" s="27"/>
      <c r="C5" s="27"/>
      <c r="D5" s="27" t="s">
        <v>22</v>
      </c>
      <c r="E5" s="157"/>
      <c r="F5" s="158"/>
      <c r="G5" s="158"/>
      <c r="H5" s="158"/>
      <c r="I5" s="158"/>
      <c r="J5" s="158"/>
      <c r="K5" s="158"/>
      <c r="L5" s="158"/>
      <c r="M5" s="158"/>
      <c r="N5" s="158"/>
      <c r="O5" s="158"/>
      <c r="P5" s="158"/>
      <c r="Q5" s="158"/>
      <c r="R5" s="158"/>
      <c r="S5" s="158"/>
      <c r="T5" s="158"/>
      <c r="U5" s="158"/>
      <c r="V5" s="158"/>
      <c r="W5" s="158"/>
      <c r="X5" s="158"/>
      <c r="Y5" s="158"/>
      <c r="Z5" s="158"/>
      <c r="AA5" s="158"/>
      <c r="AB5" s="159"/>
      <c r="AC5" s="27"/>
    </row>
    <row r="6" spans="1:29" s="25" customFormat="1" ht="16.2" thickTop="1" x14ac:dyDescent="0.3">
      <c r="A6" s="223" t="s">
        <v>19</v>
      </c>
      <c r="B6" s="41" t="s">
        <v>23</v>
      </c>
      <c r="C6" s="26" t="s">
        <v>21</v>
      </c>
      <c r="D6" s="26">
        <v>0.5</v>
      </c>
      <c r="E6" s="160"/>
      <c r="F6" s="161"/>
      <c r="G6" s="161"/>
      <c r="H6" s="161">
        <v>0.5</v>
      </c>
      <c r="I6" s="161">
        <v>0.5</v>
      </c>
      <c r="J6" s="161">
        <v>0.5</v>
      </c>
      <c r="K6" s="161">
        <v>0.5</v>
      </c>
      <c r="L6" s="161"/>
      <c r="M6" s="161"/>
      <c r="N6" s="161"/>
      <c r="O6" s="161"/>
      <c r="P6" s="161"/>
      <c r="Q6" s="161"/>
      <c r="R6" s="161"/>
      <c r="S6" s="161"/>
      <c r="T6" s="161"/>
      <c r="U6" s="161"/>
      <c r="V6" s="161"/>
      <c r="W6" s="161"/>
      <c r="X6" s="161"/>
      <c r="Y6" s="161"/>
      <c r="Z6" s="161"/>
      <c r="AA6" s="161"/>
      <c r="AB6" s="159"/>
      <c r="AC6" s="229"/>
    </row>
    <row r="7" spans="1:29" x14ac:dyDescent="0.3">
      <c r="A7" s="224"/>
      <c r="B7" s="36" t="s">
        <v>24</v>
      </c>
      <c r="C7" s="27" t="s">
        <v>20</v>
      </c>
      <c r="D7" s="27">
        <v>25</v>
      </c>
      <c r="E7" s="48">
        <f t="shared" ref="E7:AB7" si="0">+$D7*E25</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230"/>
    </row>
    <row r="8" spans="1:29"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34"/>
    </row>
    <row r="9" spans="1:29" ht="15" thickBot="1" x14ac:dyDescent="0.35">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8"/>
    </row>
    <row r="10" spans="1:29" ht="15" thickTop="1" x14ac:dyDescent="0.3">
      <c r="A10" s="224"/>
      <c r="B10" s="36" t="s">
        <v>25</v>
      </c>
      <c r="C10" s="27"/>
      <c r="D10" s="27">
        <v>18.100000000000001</v>
      </c>
      <c r="E10" s="54"/>
      <c r="F10" s="55"/>
      <c r="G10" s="59"/>
      <c r="H10" s="59"/>
      <c r="I10" s="59">
        <v>18.100000000000001</v>
      </c>
      <c r="J10" s="59">
        <v>18.100000000000001</v>
      </c>
      <c r="K10" s="59">
        <v>18.100000000000001</v>
      </c>
      <c r="L10" s="59">
        <v>18.100000000000001</v>
      </c>
      <c r="M10" s="55">
        <v>18.100000000000001</v>
      </c>
      <c r="N10" s="55">
        <v>18.100000000000001</v>
      </c>
      <c r="O10" s="55"/>
      <c r="P10" s="55"/>
      <c r="Q10" s="55">
        <v>-18.100000000000001</v>
      </c>
      <c r="R10" s="55">
        <v>-18.100000000000001</v>
      </c>
      <c r="S10" s="55">
        <v>-18.100000000000001</v>
      </c>
      <c r="T10" s="55">
        <v>-18.100000000000001</v>
      </c>
      <c r="U10" s="55">
        <v>-18.100000000000001</v>
      </c>
      <c r="V10" s="55">
        <v>-18.100000000000001</v>
      </c>
      <c r="W10" s="55"/>
      <c r="X10" s="55"/>
      <c r="Y10" s="55"/>
      <c r="Z10" s="55"/>
      <c r="AA10" s="55"/>
      <c r="AB10" s="6"/>
      <c r="AC10" s="37"/>
    </row>
    <row r="11" spans="1:29"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29"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29" ht="15" thickBot="1" x14ac:dyDescent="0.35">
      <c r="A13" s="67"/>
      <c r="B13" s="36" t="s">
        <v>31</v>
      </c>
      <c r="C13" s="27"/>
      <c r="D13" s="27"/>
      <c r="E13" s="149">
        <f>E4-SUM(E6:E12)</f>
        <v>-13.298799951998081</v>
      </c>
      <c r="F13" s="150">
        <f t="shared" ref="F13:AB13" si="1">F4-SUM(F6:F12)</f>
        <v>50.799099963998557</v>
      </c>
      <c r="G13" s="150">
        <f t="shared" si="1"/>
        <v>116.14904596183848</v>
      </c>
      <c r="H13" s="150">
        <f t="shared" si="1"/>
        <v>145.89900396015841</v>
      </c>
      <c r="I13" s="150">
        <f t="shared" si="1"/>
        <v>133.9</v>
      </c>
      <c r="J13" s="150">
        <f t="shared" si="1"/>
        <v>91.901200048001925</v>
      </c>
      <c r="K13" s="150">
        <f t="shared" si="1"/>
        <v>70.101500060002394</v>
      </c>
      <c r="L13" s="150">
        <f t="shared" si="1"/>
        <v>18.600900036001434</v>
      </c>
      <c r="M13" s="150">
        <f t="shared" si="1"/>
        <v>-12</v>
      </c>
      <c r="N13" s="150">
        <f t="shared" si="1"/>
        <v>43.100000000000009</v>
      </c>
      <c r="O13" s="150">
        <f t="shared" si="1"/>
        <v>16.2</v>
      </c>
      <c r="P13" s="150">
        <f t="shared" si="1"/>
        <v>-63.699999999999989</v>
      </c>
      <c r="Q13" s="150">
        <f t="shared" si="1"/>
        <v>-182.2</v>
      </c>
      <c r="R13" s="150">
        <f t="shared" si="1"/>
        <v>-309.3</v>
      </c>
      <c r="S13" s="150">
        <f t="shared" si="1"/>
        <v>-384.3</v>
      </c>
      <c r="T13" s="150">
        <f t="shared" si="1"/>
        <v>-494.8</v>
      </c>
      <c r="U13" s="150">
        <f t="shared" si="1"/>
        <v>-550.59999999999991</v>
      </c>
      <c r="V13" s="150">
        <f t="shared" si="1"/>
        <v>-560.79999999999995</v>
      </c>
      <c r="W13" s="150">
        <f t="shared" si="1"/>
        <v>-591.70000000000005</v>
      </c>
      <c r="X13" s="150">
        <f t="shared" si="1"/>
        <v>-515.6</v>
      </c>
      <c r="Y13" s="150">
        <f t="shared" si="1"/>
        <v>-432.3</v>
      </c>
      <c r="Z13" s="150">
        <f t="shared" si="1"/>
        <v>-346.79909996399857</v>
      </c>
      <c r="AA13" s="150">
        <f t="shared" si="1"/>
        <v>-223.39849993999761</v>
      </c>
      <c r="AB13" s="151">
        <f t="shared" si="1"/>
        <v>-110.29969998799952</v>
      </c>
      <c r="AC13" s="37"/>
    </row>
    <row r="14" spans="1:29"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29" x14ac:dyDescent="0.3">
      <c r="A15" s="227"/>
      <c r="B15" s="3" t="s">
        <v>28</v>
      </c>
      <c r="C15" s="3" t="s">
        <v>20</v>
      </c>
      <c r="D15" s="93">
        <v>130</v>
      </c>
      <c r="E15" s="29">
        <f t="shared" ref="E15:AB15" si="2">$D15*E25</f>
        <v>103.99375975039003</v>
      </c>
      <c r="F15" s="30">
        <f t="shared" si="2"/>
        <v>117.00468018720748</v>
      </c>
      <c r="G15" s="30">
        <f t="shared" si="2"/>
        <v>124.02496099843994</v>
      </c>
      <c r="H15" s="30">
        <f t="shared" si="2"/>
        <v>129.4851794071763</v>
      </c>
      <c r="I15" s="30">
        <f t="shared" si="2"/>
        <v>130</v>
      </c>
      <c r="J15" s="30">
        <f t="shared" si="2"/>
        <v>103.99375975039003</v>
      </c>
      <c r="K15" s="30">
        <f t="shared" si="2"/>
        <v>64.992199687987522</v>
      </c>
      <c r="L15" s="30">
        <f t="shared" si="2"/>
        <v>12.995319812792511</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12.995319812792511</v>
      </c>
      <c r="AA15" s="30">
        <f t="shared" si="2"/>
        <v>64.992199687987522</v>
      </c>
      <c r="AB15" s="33">
        <f t="shared" si="2"/>
        <v>90.99843993759751</v>
      </c>
      <c r="AC15" s="230"/>
    </row>
    <row r="16" spans="1:29" hidden="1" x14ac:dyDescent="0.3">
      <c r="A16" s="227"/>
      <c r="B16" s="3"/>
      <c r="C16" s="3" t="s">
        <v>56</v>
      </c>
      <c r="D16" s="3"/>
      <c r="E16" s="73">
        <f>E13-E15</f>
        <v>-117.2925597023881</v>
      </c>
      <c r="F16" s="75">
        <f t="shared" ref="F16:AB16" si="3">F13-F15</f>
        <v>-66.205580223208926</v>
      </c>
      <c r="G16" s="75">
        <f t="shared" si="3"/>
        <v>-7.8759150366014552</v>
      </c>
      <c r="H16" s="75">
        <f t="shared" si="3"/>
        <v>16.413824552982106</v>
      </c>
      <c r="I16" s="75">
        <f t="shared" si="3"/>
        <v>3.9000000000000057</v>
      </c>
      <c r="J16" s="75">
        <f t="shared" si="3"/>
        <v>-12.092559702388101</v>
      </c>
      <c r="K16" s="75">
        <f t="shared" si="3"/>
        <v>5.1093003720148715</v>
      </c>
      <c r="L16" s="75">
        <f t="shared" si="3"/>
        <v>5.6055802232089231</v>
      </c>
      <c r="M16" s="75">
        <f t="shared" si="3"/>
        <v>-12</v>
      </c>
      <c r="N16" s="75">
        <f t="shared" si="3"/>
        <v>43.100000000000009</v>
      </c>
      <c r="O16" s="75">
        <f t="shared" si="3"/>
        <v>16.2</v>
      </c>
      <c r="P16" s="75">
        <f t="shared" si="3"/>
        <v>-63.699999999999989</v>
      </c>
      <c r="Q16" s="75">
        <f t="shared" si="3"/>
        <v>-182.2</v>
      </c>
      <c r="R16" s="75">
        <f t="shared" si="3"/>
        <v>-309.3</v>
      </c>
      <c r="S16" s="75">
        <f t="shared" si="3"/>
        <v>-384.3</v>
      </c>
      <c r="T16" s="75">
        <f t="shared" si="3"/>
        <v>-494.8</v>
      </c>
      <c r="U16" s="75">
        <f t="shared" si="3"/>
        <v>-550.59999999999991</v>
      </c>
      <c r="V16" s="75">
        <f t="shared" si="3"/>
        <v>-560.79999999999995</v>
      </c>
      <c r="W16" s="75">
        <f t="shared" si="3"/>
        <v>-591.70000000000005</v>
      </c>
      <c r="X16" s="75">
        <f t="shared" si="3"/>
        <v>-515.6</v>
      </c>
      <c r="Y16" s="75">
        <f t="shared" si="3"/>
        <v>-432.3</v>
      </c>
      <c r="Z16" s="75">
        <f t="shared" si="3"/>
        <v>-359.79441977679107</v>
      </c>
      <c r="AA16" s="75">
        <f t="shared" si="3"/>
        <v>-288.3906996279851</v>
      </c>
      <c r="AB16" s="76">
        <f t="shared" si="3"/>
        <v>-201.29813992559701</v>
      </c>
      <c r="AC16" s="72"/>
    </row>
    <row r="17" spans="1:29" x14ac:dyDescent="0.3">
      <c r="A17" s="227"/>
      <c r="B17" s="27"/>
      <c r="C17" s="27" t="s">
        <v>34</v>
      </c>
      <c r="D17" s="3">
        <f>CEILING(MAX(E17:AB17),5)</f>
        <v>60</v>
      </c>
      <c r="E17" s="29">
        <f t="shared" ref="E17:F17" si="4">IF(E21&gt;-15,E21+15,0)</f>
        <v>0</v>
      </c>
      <c r="F17" s="30">
        <f t="shared" si="4"/>
        <v>0</v>
      </c>
      <c r="G17" s="30">
        <f>IF(G21&gt;-15,G21+15,0)</f>
        <v>7.1240849633985306</v>
      </c>
      <c r="H17" s="30">
        <f t="shared" ref="H17:AA17" si="5">IF(H21&gt;-15,H21+15,0)</f>
        <v>31.413824552982106</v>
      </c>
      <c r="I17" s="30">
        <f t="shared" si="5"/>
        <v>18.900000000000006</v>
      </c>
      <c r="J17" s="30">
        <f t="shared" si="5"/>
        <v>2.9074402976119131</v>
      </c>
      <c r="K17" s="30">
        <f t="shared" si="5"/>
        <v>20.109300372014872</v>
      </c>
      <c r="L17" s="30">
        <f t="shared" si="5"/>
        <v>20.605580223208932</v>
      </c>
      <c r="M17" s="30">
        <f t="shared" si="5"/>
        <v>3</v>
      </c>
      <c r="N17" s="30">
        <f t="shared" si="5"/>
        <v>58.100000000000009</v>
      </c>
      <c r="O17" s="30">
        <f t="shared" si="5"/>
        <v>31.2</v>
      </c>
      <c r="P17" s="30">
        <f t="shared" si="5"/>
        <v>0</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92">
        <f>SUMIF(E17:AB17,"&gt;0",E17:AB17)</f>
        <v>193.36023040921634</v>
      </c>
    </row>
    <row r="18" spans="1:29" ht="15" thickBot="1" x14ac:dyDescent="0.35">
      <c r="A18" s="228"/>
      <c r="B18" s="70"/>
      <c r="C18" s="70" t="s">
        <v>95</v>
      </c>
      <c r="D18" s="71"/>
      <c r="E18" s="28">
        <f>IF(E21&lt;-15,MAX(-E15,E21+15),0)</f>
        <v>-102.2925597023881</v>
      </c>
      <c r="F18" s="31">
        <f t="shared" ref="F18" si="6">IF(F21&lt;-15,MAX(-F15,F21+15),0)</f>
        <v>-51.205580223208941</v>
      </c>
      <c r="G18" s="31">
        <f>IF(G21&lt;-15,MAX(-G15,G21+15),0)</f>
        <v>0</v>
      </c>
      <c r="H18" s="31">
        <f t="shared" ref="H18:AB18" si="7">IF(H21&lt;-15,MAX(-H15,H21+15),0)</f>
        <v>0</v>
      </c>
      <c r="I18" s="31">
        <f t="shared" si="7"/>
        <v>0</v>
      </c>
      <c r="J18" s="31">
        <f t="shared" si="7"/>
        <v>0</v>
      </c>
      <c r="K18" s="31">
        <f t="shared" si="7"/>
        <v>0</v>
      </c>
      <c r="L18" s="31">
        <f t="shared" si="7"/>
        <v>0</v>
      </c>
      <c r="M18" s="31">
        <f t="shared" si="7"/>
        <v>0</v>
      </c>
      <c r="N18" s="31">
        <f t="shared" si="7"/>
        <v>0</v>
      </c>
      <c r="O18" s="31">
        <f t="shared" si="7"/>
        <v>0</v>
      </c>
      <c r="P18" s="31">
        <f t="shared" si="7"/>
        <v>0</v>
      </c>
      <c r="Q18" s="31">
        <f t="shared" si="7"/>
        <v>0</v>
      </c>
      <c r="R18" s="31">
        <f t="shared" si="7"/>
        <v>0</v>
      </c>
      <c r="S18" s="31">
        <f t="shared" si="7"/>
        <v>0</v>
      </c>
      <c r="T18" s="31">
        <f t="shared" si="7"/>
        <v>0</v>
      </c>
      <c r="U18" s="31">
        <f t="shared" si="7"/>
        <v>0</v>
      </c>
      <c r="V18" s="31">
        <f t="shared" si="7"/>
        <v>0</v>
      </c>
      <c r="W18" s="31">
        <f t="shared" si="7"/>
        <v>0</v>
      </c>
      <c r="X18" s="31">
        <f t="shared" si="7"/>
        <v>0</v>
      </c>
      <c r="Y18" s="31">
        <f t="shared" si="7"/>
        <v>0</v>
      </c>
      <c r="Z18" s="31">
        <f t="shared" si="7"/>
        <v>-12.995319812792511</v>
      </c>
      <c r="AA18" s="31">
        <f t="shared" si="7"/>
        <v>-64.992199687987522</v>
      </c>
      <c r="AB18" s="32">
        <f t="shared" si="7"/>
        <v>-90.99843993759751</v>
      </c>
      <c r="AC18" s="4">
        <f>SUMIF(E18:AB18,"&lt;0",E18:AB18)</f>
        <v>-322.48409936397456</v>
      </c>
    </row>
    <row r="19" spans="1:29"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29" x14ac:dyDescent="0.3">
      <c r="B20" s="35" t="s">
        <v>36</v>
      </c>
      <c r="C20" s="27"/>
      <c r="D20" s="27"/>
      <c r="E20" s="48">
        <f t="shared" ref="E20:AB20" si="8">SUM(E6:E12)+E15</f>
        <v>103.99255970238811</v>
      </c>
      <c r="F20" s="49">
        <f t="shared" si="8"/>
        <v>139.50558022320894</v>
      </c>
      <c r="G20" s="49">
        <f t="shared" si="8"/>
        <v>147.87591503660147</v>
      </c>
      <c r="H20" s="49">
        <f t="shared" si="8"/>
        <v>179.88617544701791</v>
      </c>
      <c r="I20" s="49">
        <f t="shared" si="8"/>
        <v>228.6</v>
      </c>
      <c r="J20" s="49">
        <f t="shared" si="8"/>
        <v>252.59255970238809</v>
      </c>
      <c r="K20" s="49">
        <f t="shared" si="8"/>
        <v>206.09069962798512</v>
      </c>
      <c r="L20" s="49">
        <f t="shared" si="8"/>
        <v>143.59441977679106</v>
      </c>
      <c r="M20" s="49">
        <f t="shared" si="8"/>
        <v>128.1</v>
      </c>
      <c r="N20" s="49">
        <f t="shared" si="8"/>
        <v>73.099999999999994</v>
      </c>
      <c r="O20" s="49">
        <f t="shared" si="8"/>
        <v>0</v>
      </c>
      <c r="P20" s="49">
        <f t="shared" si="8"/>
        <v>-80</v>
      </c>
      <c r="Q20" s="49">
        <f t="shared" si="8"/>
        <v>-128.19999999999999</v>
      </c>
      <c r="R20" s="49">
        <f t="shared" si="8"/>
        <v>-128.19999999999999</v>
      </c>
      <c r="S20" s="49">
        <f t="shared" si="8"/>
        <v>-128.19999999999999</v>
      </c>
      <c r="T20" s="49">
        <f t="shared" si="8"/>
        <v>-70.7</v>
      </c>
      <c r="U20" s="49">
        <f t="shared" si="8"/>
        <v>-48.2</v>
      </c>
      <c r="V20" s="49">
        <f t="shared" si="8"/>
        <v>-48.2</v>
      </c>
      <c r="W20" s="49">
        <f t="shared" si="8"/>
        <v>0</v>
      </c>
      <c r="X20" s="49">
        <f t="shared" si="8"/>
        <v>0</v>
      </c>
      <c r="Y20" s="49">
        <f t="shared" si="8"/>
        <v>0</v>
      </c>
      <c r="Z20" s="49">
        <f t="shared" si="8"/>
        <v>12.994419776791071</v>
      </c>
      <c r="AA20" s="49">
        <f t="shared" si="8"/>
        <v>64.990699627985123</v>
      </c>
      <c r="AB20" s="50">
        <f t="shared" si="8"/>
        <v>90.99813992559703</v>
      </c>
      <c r="AC20" s="35"/>
    </row>
    <row r="21" spans="1:29" x14ac:dyDescent="0.3">
      <c r="B21" s="35" t="s">
        <v>37</v>
      </c>
      <c r="C21" s="27"/>
      <c r="D21" s="27"/>
      <c r="E21" s="48">
        <f t="shared" ref="E21:AB21" si="9">E4-E20</f>
        <v>-117.2925597023881</v>
      </c>
      <c r="F21" s="49">
        <f t="shared" si="9"/>
        <v>-66.205580223208941</v>
      </c>
      <c r="G21" s="49">
        <f t="shared" si="9"/>
        <v>-7.8759150366014694</v>
      </c>
      <c r="H21" s="49">
        <f t="shared" si="9"/>
        <v>16.413824552982106</v>
      </c>
      <c r="I21" s="49">
        <f t="shared" si="9"/>
        <v>3.9000000000000057</v>
      </c>
      <c r="J21" s="49">
        <f t="shared" si="9"/>
        <v>-12.092559702388087</v>
      </c>
      <c r="K21" s="49">
        <f t="shared" si="9"/>
        <v>5.1093003720148715</v>
      </c>
      <c r="L21" s="49">
        <f t="shared" si="9"/>
        <v>5.605580223208932</v>
      </c>
      <c r="M21" s="49">
        <f t="shared" si="9"/>
        <v>-12</v>
      </c>
      <c r="N21" s="49">
        <f t="shared" si="9"/>
        <v>43.100000000000009</v>
      </c>
      <c r="O21" s="49">
        <f t="shared" si="9"/>
        <v>16.2</v>
      </c>
      <c r="P21" s="49">
        <f t="shared" si="9"/>
        <v>-63.699999999999989</v>
      </c>
      <c r="Q21" s="49">
        <f t="shared" si="9"/>
        <v>-182.2</v>
      </c>
      <c r="R21" s="49">
        <f t="shared" si="9"/>
        <v>-309.3</v>
      </c>
      <c r="S21" s="49">
        <f t="shared" si="9"/>
        <v>-384.3</v>
      </c>
      <c r="T21" s="49">
        <f t="shared" si="9"/>
        <v>-494.8</v>
      </c>
      <c r="U21" s="49">
        <f t="shared" si="9"/>
        <v>-550.59999999999991</v>
      </c>
      <c r="V21" s="49">
        <f t="shared" si="9"/>
        <v>-560.79999999999995</v>
      </c>
      <c r="W21" s="49">
        <f t="shared" si="9"/>
        <v>-591.70000000000005</v>
      </c>
      <c r="X21" s="49">
        <f t="shared" si="9"/>
        <v>-515.6</v>
      </c>
      <c r="Y21" s="49">
        <f t="shared" si="9"/>
        <v>-432.3</v>
      </c>
      <c r="Z21" s="49">
        <f t="shared" si="9"/>
        <v>-359.79441977679107</v>
      </c>
      <c r="AA21" s="49">
        <f t="shared" si="9"/>
        <v>-288.3906996279851</v>
      </c>
      <c r="AB21" s="50">
        <f t="shared" si="9"/>
        <v>-201.29813992559701</v>
      </c>
      <c r="AC21" s="35"/>
    </row>
    <row r="22" spans="1:29" ht="15" thickBot="1" x14ac:dyDescent="0.35">
      <c r="B22" s="111" t="s">
        <v>29</v>
      </c>
      <c r="C22" s="112"/>
      <c r="D22" s="112"/>
      <c r="E22" s="113">
        <f t="shared" ref="E22:AB22" si="10">E21-E17+E18</f>
        <v>-219.58511940477621</v>
      </c>
      <c r="F22" s="114">
        <f t="shared" si="10"/>
        <v>-117.41116044641788</v>
      </c>
      <c r="G22" s="114">
        <f t="shared" si="10"/>
        <v>-15</v>
      </c>
      <c r="H22" s="114">
        <f t="shared" si="10"/>
        <v>-15</v>
      </c>
      <c r="I22" s="114">
        <f t="shared" si="10"/>
        <v>-15</v>
      </c>
      <c r="J22" s="114">
        <f t="shared" si="10"/>
        <v>-15</v>
      </c>
      <c r="K22" s="114">
        <f t="shared" si="10"/>
        <v>-15</v>
      </c>
      <c r="L22" s="114">
        <f t="shared" si="10"/>
        <v>-15</v>
      </c>
      <c r="M22" s="114">
        <f t="shared" si="10"/>
        <v>-15</v>
      </c>
      <c r="N22" s="114">
        <f t="shared" si="10"/>
        <v>-15</v>
      </c>
      <c r="O22" s="114">
        <f t="shared" si="10"/>
        <v>-15</v>
      </c>
      <c r="P22" s="114">
        <f t="shared" si="10"/>
        <v>-63.699999999999989</v>
      </c>
      <c r="Q22" s="114">
        <f t="shared" si="10"/>
        <v>-182.2</v>
      </c>
      <c r="R22" s="114">
        <f t="shared" si="10"/>
        <v>-309.3</v>
      </c>
      <c r="S22" s="114">
        <f t="shared" si="10"/>
        <v>-384.3</v>
      </c>
      <c r="T22" s="114">
        <f t="shared" si="10"/>
        <v>-494.8</v>
      </c>
      <c r="U22" s="114">
        <f t="shared" si="10"/>
        <v>-550.59999999999991</v>
      </c>
      <c r="V22" s="114">
        <f t="shared" si="10"/>
        <v>-560.79999999999995</v>
      </c>
      <c r="W22" s="114">
        <f t="shared" si="10"/>
        <v>-591.70000000000005</v>
      </c>
      <c r="X22" s="114">
        <f t="shared" si="10"/>
        <v>-515.6</v>
      </c>
      <c r="Y22" s="114">
        <f t="shared" si="10"/>
        <v>-432.3</v>
      </c>
      <c r="Z22" s="114">
        <f t="shared" si="10"/>
        <v>-372.78973958958358</v>
      </c>
      <c r="AA22" s="114">
        <f t="shared" si="10"/>
        <v>-353.38289931597262</v>
      </c>
      <c r="AB22" s="115">
        <f t="shared" si="10"/>
        <v>-292.29657986319455</v>
      </c>
      <c r="AC22" s="35"/>
    </row>
    <row r="23" spans="1:29" ht="15.6" thickTop="1" thickBot="1" x14ac:dyDescent="0.35">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29" x14ac:dyDescent="0.3">
      <c r="B24" s="38" t="s">
        <v>17</v>
      </c>
      <c r="C24" s="26"/>
      <c r="D24" s="26"/>
      <c r="E24" s="60">
        <v>6666</v>
      </c>
      <c r="F24" s="61">
        <v>7500</v>
      </c>
      <c r="G24" s="61">
        <v>7950</v>
      </c>
      <c r="H24" s="61">
        <v>8300</v>
      </c>
      <c r="I24" s="61">
        <v>8333</v>
      </c>
      <c r="J24" s="61">
        <v>6666</v>
      </c>
      <c r="K24" s="61">
        <v>4166</v>
      </c>
      <c r="L24" s="61">
        <v>833</v>
      </c>
      <c r="M24" s="61">
        <v>0</v>
      </c>
      <c r="N24" s="61">
        <v>0</v>
      </c>
      <c r="O24" s="61">
        <v>0</v>
      </c>
      <c r="P24" s="61">
        <v>0</v>
      </c>
      <c r="Q24" s="61">
        <v>0</v>
      </c>
      <c r="R24" s="61">
        <v>0</v>
      </c>
      <c r="S24" s="61">
        <v>0</v>
      </c>
      <c r="T24" s="61">
        <v>0</v>
      </c>
      <c r="U24" s="61">
        <v>0</v>
      </c>
      <c r="V24" s="61">
        <v>0</v>
      </c>
      <c r="W24" s="61">
        <v>0</v>
      </c>
      <c r="X24" s="61">
        <v>0</v>
      </c>
      <c r="Y24" s="61">
        <v>0</v>
      </c>
      <c r="Z24" s="61">
        <v>833</v>
      </c>
      <c r="AA24" s="61">
        <v>4166</v>
      </c>
      <c r="AB24" s="62">
        <v>5833</v>
      </c>
    </row>
    <row r="25" spans="1:29" ht="15" thickBot="1" x14ac:dyDescent="0.35">
      <c r="B25" s="39" t="s">
        <v>18</v>
      </c>
      <c r="C25" s="40"/>
      <c r="D25" s="40"/>
      <c r="E25" s="56">
        <f t="shared" ref="E25:AB25" si="11">E24/MAX($B$24:$P$24)</f>
        <v>0.79995199807992323</v>
      </c>
      <c r="F25" s="57">
        <f t="shared" si="11"/>
        <v>0.90003600144005758</v>
      </c>
      <c r="G25" s="57">
        <f t="shared" si="11"/>
        <v>0.95403816152646104</v>
      </c>
      <c r="H25" s="57">
        <f t="shared" si="11"/>
        <v>0.99603984159366377</v>
      </c>
      <c r="I25" s="57">
        <f t="shared" si="11"/>
        <v>1</v>
      </c>
      <c r="J25" s="57">
        <f t="shared" si="11"/>
        <v>0.79995199807992323</v>
      </c>
      <c r="K25" s="57">
        <f t="shared" si="11"/>
        <v>0.49993999759990398</v>
      </c>
      <c r="L25" s="57">
        <f t="shared" si="11"/>
        <v>9.9963998559942396E-2</v>
      </c>
      <c r="M25" s="57">
        <f t="shared" si="11"/>
        <v>0</v>
      </c>
      <c r="N25" s="57">
        <f t="shared" si="11"/>
        <v>0</v>
      </c>
      <c r="O25" s="57">
        <f t="shared" si="11"/>
        <v>0</v>
      </c>
      <c r="P25" s="57">
        <f t="shared" si="11"/>
        <v>0</v>
      </c>
      <c r="Q25" s="57">
        <f t="shared" si="11"/>
        <v>0</v>
      </c>
      <c r="R25" s="57">
        <f t="shared" si="11"/>
        <v>0</v>
      </c>
      <c r="S25" s="57">
        <f t="shared" si="11"/>
        <v>0</v>
      </c>
      <c r="T25" s="57">
        <f t="shared" si="11"/>
        <v>0</v>
      </c>
      <c r="U25" s="57">
        <f t="shared" si="11"/>
        <v>0</v>
      </c>
      <c r="V25" s="57">
        <f t="shared" si="11"/>
        <v>0</v>
      </c>
      <c r="W25" s="57">
        <f t="shared" si="11"/>
        <v>0</v>
      </c>
      <c r="X25" s="57">
        <f t="shared" si="11"/>
        <v>0</v>
      </c>
      <c r="Y25" s="57">
        <f t="shared" si="11"/>
        <v>0</v>
      </c>
      <c r="Z25" s="57">
        <f t="shared" si="11"/>
        <v>9.9963998559942396E-2</v>
      </c>
      <c r="AA25" s="57">
        <f t="shared" si="11"/>
        <v>0.49993999759990398</v>
      </c>
      <c r="AB25" s="58">
        <f t="shared" si="11"/>
        <v>0.69998799951998081</v>
      </c>
    </row>
  </sheetData>
  <mergeCells count="6">
    <mergeCell ref="B3:D3"/>
    <mergeCell ref="B4:D4"/>
    <mergeCell ref="A6:A12"/>
    <mergeCell ref="A14:A18"/>
    <mergeCell ref="AC14:AC15"/>
    <mergeCell ref="AC6:A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3627-504D-43C9-B06A-9F1B72CCD42E}">
  <dimension ref="A2:AD25"/>
  <sheetViews>
    <sheetView workbookViewId="0">
      <selection activeCell="G25" sqref="G25"/>
    </sheetView>
  </sheetViews>
  <sheetFormatPr defaultRowHeight="14.4" x14ac:dyDescent="0.3"/>
  <cols>
    <col min="1" max="1" width="17.109375" customWidth="1"/>
    <col min="2" max="2" width="34.5546875" customWidth="1"/>
    <col min="3" max="3" width="14.109375" style="2" customWidth="1"/>
    <col min="4" max="4" width="8.88671875" style="2"/>
    <col min="5" max="6" width="6.21875" bestFit="1" customWidth="1"/>
    <col min="7" max="14" width="6.5546875" bestFit="1" customWidth="1"/>
    <col min="15" max="15" width="5.5546875" bestFit="1" customWidth="1"/>
    <col min="16" max="28" width="7.21875" bestFit="1" customWidth="1"/>
    <col min="29" max="29" width="15" customWidth="1"/>
  </cols>
  <sheetData>
    <row r="2" spans="1:30" ht="15" thickBot="1" x14ac:dyDescent="0.35"/>
    <row r="3" spans="1:30"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30" ht="18.600000000000001" thickBot="1" x14ac:dyDescent="0.4">
      <c r="B4" s="221" t="s">
        <v>16</v>
      </c>
      <c r="C4" s="222"/>
      <c r="D4" s="222"/>
      <c r="E4" s="152">
        <v>-22.7</v>
      </c>
      <c r="F4" s="153">
        <v>58.5</v>
      </c>
      <c r="G4" s="153">
        <v>133.69999999999999</v>
      </c>
      <c r="H4" s="153">
        <v>181.8</v>
      </c>
      <c r="I4" s="153">
        <v>215.5</v>
      </c>
      <c r="J4" s="153">
        <v>240.5</v>
      </c>
      <c r="K4" s="153">
        <v>241.5</v>
      </c>
      <c r="L4" s="153">
        <v>168</v>
      </c>
      <c r="M4" s="153">
        <v>101.6</v>
      </c>
      <c r="N4" s="153">
        <v>113</v>
      </c>
      <c r="O4" s="153">
        <v>30.1</v>
      </c>
      <c r="P4" s="153">
        <v>-117.5</v>
      </c>
      <c r="Q4" s="153">
        <v>-317</v>
      </c>
      <c r="R4" s="153">
        <v>-409</v>
      </c>
      <c r="S4" s="153">
        <v>-492.6</v>
      </c>
      <c r="T4" s="153">
        <v>-547</v>
      </c>
      <c r="U4" s="153">
        <v>-580.1</v>
      </c>
      <c r="V4" s="153">
        <v>-597.4</v>
      </c>
      <c r="W4" s="153">
        <v>-580.1</v>
      </c>
      <c r="X4" s="153">
        <v>-507.8</v>
      </c>
      <c r="Y4" s="153">
        <v>-417.2</v>
      </c>
      <c r="Z4" s="153">
        <v>-323.3</v>
      </c>
      <c r="AA4" s="153">
        <v>-232.6</v>
      </c>
      <c r="AB4" s="154">
        <v>-139.19999999999999</v>
      </c>
      <c r="AC4" s="27"/>
    </row>
    <row r="5" spans="1:30" s="25" customFormat="1" ht="15" thickBot="1" x14ac:dyDescent="0.35">
      <c r="B5" s="27"/>
      <c r="C5" s="27"/>
      <c r="D5" s="27" t="s">
        <v>22</v>
      </c>
      <c r="E5" s="155"/>
      <c r="F5" s="156"/>
      <c r="G5" s="156"/>
      <c r="H5" s="156"/>
      <c r="I5" s="156"/>
      <c r="J5" s="156"/>
      <c r="K5" s="156"/>
      <c r="L5" s="156"/>
      <c r="M5" s="156"/>
      <c r="N5" s="156"/>
      <c r="O5" s="156"/>
      <c r="P5" s="156"/>
      <c r="Q5" s="156"/>
      <c r="R5" s="156"/>
      <c r="S5" s="156"/>
      <c r="T5" s="156"/>
      <c r="U5" s="156"/>
      <c r="V5" s="156"/>
      <c r="W5" s="156"/>
      <c r="X5" s="156"/>
      <c r="Y5" s="156"/>
      <c r="Z5" s="156"/>
      <c r="AA5" s="156"/>
      <c r="AB5" s="137"/>
      <c r="AC5" s="27"/>
    </row>
    <row r="6" spans="1:30" s="25" customFormat="1" x14ac:dyDescent="0.3">
      <c r="A6" s="223" t="s">
        <v>19</v>
      </c>
      <c r="B6" s="41" t="s">
        <v>23</v>
      </c>
      <c r="C6" s="26" t="s">
        <v>21</v>
      </c>
      <c r="D6" s="26">
        <v>0.5</v>
      </c>
      <c r="E6" s="135"/>
      <c r="F6" s="136"/>
      <c r="G6" s="136"/>
      <c r="H6" s="136">
        <v>0.5</v>
      </c>
      <c r="I6" s="136">
        <v>0.5</v>
      </c>
      <c r="J6" s="136">
        <v>0.5</v>
      </c>
      <c r="K6" s="136">
        <v>0.5</v>
      </c>
      <c r="L6" s="136"/>
      <c r="M6" s="136"/>
      <c r="N6" s="136"/>
      <c r="O6" s="136"/>
      <c r="P6" s="136"/>
      <c r="Q6" s="136"/>
      <c r="R6" s="136"/>
      <c r="S6" s="136"/>
      <c r="T6" s="136"/>
      <c r="U6" s="136"/>
      <c r="V6" s="136"/>
      <c r="W6" s="136"/>
      <c r="X6" s="136"/>
      <c r="Y6" s="136"/>
      <c r="Z6" s="136"/>
      <c r="AA6" s="136"/>
      <c r="AB6" s="137"/>
      <c r="AC6" s="27"/>
    </row>
    <row r="7" spans="1:30" x14ac:dyDescent="0.3">
      <c r="A7" s="224"/>
      <c r="B7" s="36" t="s">
        <v>24</v>
      </c>
      <c r="C7" s="27" t="s">
        <v>20</v>
      </c>
      <c r="D7" s="27">
        <v>25</v>
      </c>
      <c r="E7" s="48">
        <f t="shared" ref="E7:AB7" si="0">+$D7*E25</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35"/>
    </row>
    <row r="8" spans="1:30"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168"/>
      <c r="AD8" s="171"/>
    </row>
    <row r="9" spans="1:30" x14ac:dyDescent="0.3">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6"/>
      <c r="AD9" s="171"/>
    </row>
    <row r="10" spans="1:30" x14ac:dyDescent="0.3">
      <c r="A10" s="224"/>
      <c r="B10" s="36" t="s">
        <v>25</v>
      </c>
      <c r="C10" s="27"/>
      <c r="D10" s="27">
        <v>18.100000000000001</v>
      </c>
      <c r="E10" s="54"/>
      <c r="F10" s="55"/>
      <c r="G10">
        <v>18.100000000000001</v>
      </c>
      <c r="H10" s="59">
        <v>18.100000000000001</v>
      </c>
      <c r="I10" s="59">
        <v>18.100000000000001</v>
      </c>
      <c r="J10" s="59">
        <v>18.100000000000001</v>
      </c>
      <c r="K10" s="59">
        <v>18.100000000000001</v>
      </c>
      <c r="L10" s="59">
        <v>18.100000000000001</v>
      </c>
      <c r="M10" s="59">
        <v>0</v>
      </c>
      <c r="N10" s="55"/>
      <c r="O10" s="55"/>
      <c r="P10" s="55"/>
      <c r="Q10" s="55"/>
      <c r="R10" s="55"/>
      <c r="S10" s="55"/>
      <c r="T10" s="55"/>
      <c r="U10" s="55"/>
      <c r="V10" s="55"/>
      <c r="W10" s="55"/>
      <c r="X10" s="55"/>
      <c r="Y10" s="55"/>
      <c r="Z10" s="55"/>
      <c r="AA10" s="55"/>
      <c r="AB10" s="6"/>
      <c r="AC10" s="37"/>
    </row>
    <row r="11" spans="1:30"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30"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30" ht="15" thickBot="1" x14ac:dyDescent="0.35">
      <c r="A13" s="67"/>
      <c r="B13" s="36" t="s">
        <v>31</v>
      </c>
      <c r="C13" s="27"/>
      <c r="D13" s="27"/>
      <c r="E13" s="149">
        <f>E4-SUM(E6:E12)</f>
        <v>-22.69879995199808</v>
      </c>
      <c r="F13" s="150">
        <f t="shared" ref="F13:AB13" si="1">F4-SUM(F6:F12)</f>
        <v>35.99909996399856</v>
      </c>
      <c r="G13" s="150">
        <f t="shared" si="1"/>
        <v>91.749045961838462</v>
      </c>
      <c r="H13" s="150">
        <f t="shared" si="1"/>
        <v>113.29900396015842</v>
      </c>
      <c r="I13" s="150">
        <f t="shared" si="1"/>
        <v>116.9</v>
      </c>
      <c r="J13" s="150">
        <f t="shared" si="1"/>
        <v>91.901200048001925</v>
      </c>
      <c r="K13" s="150">
        <f t="shared" si="1"/>
        <v>100.40150006000241</v>
      </c>
      <c r="L13" s="150">
        <f t="shared" si="1"/>
        <v>37.400900036001445</v>
      </c>
      <c r="M13" s="150">
        <f t="shared" si="1"/>
        <v>-8.4000000000000057</v>
      </c>
      <c r="N13" s="150">
        <f t="shared" si="1"/>
        <v>58</v>
      </c>
      <c r="O13" s="150">
        <f>O4-SUM(O6:O12)</f>
        <v>30.1</v>
      </c>
      <c r="P13" s="150">
        <f t="shared" si="1"/>
        <v>-37.5</v>
      </c>
      <c r="Q13" s="150">
        <f t="shared" si="1"/>
        <v>-206.9</v>
      </c>
      <c r="R13" s="150">
        <f t="shared" si="1"/>
        <v>-298.89999999999998</v>
      </c>
      <c r="S13" s="150">
        <f t="shared" si="1"/>
        <v>-382.5</v>
      </c>
      <c r="T13" s="150">
        <f t="shared" si="1"/>
        <v>-494.4</v>
      </c>
      <c r="U13" s="150">
        <f t="shared" si="1"/>
        <v>-550</v>
      </c>
      <c r="V13" s="150">
        <f t="shared" si="1"/>
        <v>-567.29999999999995</v>
      </c>
      <c r="W13" s="150">
        <f t="shared" si="1"/>
        <v>-580.1</v>
      </c>
      <c r="X13" s="150">
        <f t="shared" si="1"/>
        <v>-507.8</v>
      </c>
      <c r="Y13" s="150">
        <f t="shared" si="1"/>
        <v>-417.2</v>
      </c>
      <c r="Z13" s="150">
        <f t="shared" si="1"/>
        <v>-323.29909996399857</v>
      </c>
      <c r="AA13" s="150">
        <f t="shared" si="1"/>
        <v>-232.59849993999759</v>
      </c>
      <c r="AB13" s="151">
        <f t="shared" si="1"/>
        <v>-139.19969998799951</v>
      </c>
      <c r="AC13" s="37"/>
    </row>
    <row r="14" spans="1:30"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30" x14ac:dyDescent="0.3">
      <c r="A15" s="227"/>
      <c r="B15" s="3" t="s">
        <v>28</v>
      </c>
      <c r="C15" s="3" t="s">
        <v>20</v>
      </c>
      <c r="D15" s="103">
        <v>120</v>
      </c>
      <c r="E15" s="29">
        <f t="shared" ref="E15:AB15" si="2">$D15*E25</f>
        <v>95.994239769590791</v>
      </c>
      <c r="F15" s="30">
        <f t="shared" si="2"/>
        <v>108.00432017280691</v>
      </c>
      <c r="G15" s="30">
        <f t="shared" si="2"/>
        <v>114.48457938317533</v>
      </c>
      <c r="H15" s="30">
        <f t="shared" si="2"/>
        <v>119.52478099123965</v>
      </c>
      <c r="I15" s="30">
        <f t="shared" si="2"/>
        <v>120</v>
      </c>
      <c r="J15" s="30">
        <f t="shared" si="2"/>
        <v>95.994239769590791</v>
      </c>
      <c r="K15" s="30">
        <f t="shared" si="2"/>
        <v>59.992799711988475</v>
      </c>
      <c r="L15" s="30">
        <f t="shared" si="2"/>
        <v>11.995679827193088</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11.995679827193088</v>
      </c>
      <c r="AA15" s="30">
        <f t="shared" si="2"/>
        <v>59.992799711988475</v>
      </c>
      <c r="AB15" s="33">
        <f t="shared" si="2"/>
        <v>83.998559942397691</v>
      </c>
      <c r="AC15" s="230"/>
    </row>
    <row r="16" spans="1:30" hidden="1" x14ac:dyDescent="0.3">
      <c r="A16" s="227"/>
      <c r="B16" s="3"/>
      <c r="C16" s="3"/>
      <c r="D16" s="3"/>
      <c r="E16" s="73">
        <f>E13-E15</f>
        <v>-118.69303972158887</v>
      </c>
      <c r="F16" s="75">
        <f t="shared" ref="F16:AB16" si="3">F13-F15</f>
        <v>-72.005220208808353</v>
      </c>
      <c r="G16" s="75">
        <f t="shared" si="3"/>
        <v>-22.735533421336868</v>
      </c>
      <c r="H16" s="75">
        <f t="shared" si="3"/>
        <v>-6.2257770310812361</v>
      </c>
      <c r="I16" s="75">
        <f t="shared" si="3"/>
        <v>-3.0999999999999943</v>
      </c>
      <c r="J16" s="75">
        <f t="shared" si="3"/>
        <v>-4.0930397215888661</v>
      </c>
      <c r="K16" s="75">
        <f t="shared" si="3"/>
        <v>40.40870034801393</v>
      </c>
      <c r="L16" s="75">
        <f t="shared" si="3"/>
        <v>25.405220208808359</v>
      </c>
      <c r="M16" s="75">
        <f t="shared" si="3"/>
        <v>-8.4000000000000057</v>
      </c>
      <c r="N16" s="75">
        <f t="shared" si="3"/>
        <v>58</v>
      </c>
      <c r="O16" s="75">
        <f t="shared" si="3"/>
        <v>30.1</v>
      </c>
      <c r="P16" s="75">
        <f t="shared" si="3"/>
        <v>-37.5</v>
      </c>
      <c r="Q16" s="75">
        <f t="shared" si="3"/>
        <v>-206.9</v>
      </c>
      <c r="R16" s="75">
        <f t="shared" si="3"/>
        <v>-298.89999999999998</v>
      </c>
      <c r="S16" s="75">
        <f t="shared" si="3"/>
        <v>-382.5</v>
      </c>
      <c r="T16" s="75">
        <f t="shared" si="3"/>
        <v>-494.4</v>
      </c>
      <c r="U16" s="75">
        <f t="shared" si="3"/>
        <v>-550</v>
      </c>
      <c r="V16" s="75">
        <f t="shared" si="3"/>
        <v>-567.29999999999995</v>
      </c>
      <c r="W16" s="75">
        <f t="shared" si="3"/>
        <v>-580.1</v>
      </c>
      <c r="X16" s="75">
        <f t="shared" si="3"/>
        <v>-507.8</v>
      </c>
      <c r="Y16" s="75">
        <f t="shared" si="3"/>
        <v>-417.2</v>
      </c>
      <c r="Z16" s="75">
        <f t="shared" si="3"/>
        <v>-335.29477979119167</v>
      </c>
      <c r="AA16" s="75">
        <f t="shared" si="3"/>
        <v>-292.59129965198605</v>
      </c>
      <c r="AB16" s="76">
        <f t="shared" si="3"/>
        <v>-223.1982599303972</v>
      </c>
      <c r="AC16" s="72"/>
    </row>
    <row r="17" spans="1:30" x14ac:dyDescent="0.3">
      <c r="A17" s="227"/>
      <c r="B17" s="27"/>
      <c r="C17" s="27" t="s">
        <v>34</v>
      </c>
      <c r="D17" s="3">
        <f>CEILING(MAX(E17:AB17),5)</f>
        <v>75</v>
      </c>
      <c r="E17" s="29">
        <f t="shared" ref="E17:F17" si="4">IF(E21&gt;-15,E21+15,0)</f>
        <v>0</v>
      </c>
      <c r="F17" s="30">
        <f t="shared" si="4"/>
        <v>0</v>
      </c>
      <c r="G17" s="30">
        <f>IF(G21&gt;-15,G21+15,0)</f>
        <v>0</v>
      </c>
      <c r="H17" s="30">
        <f t="shared" ref="H17:AA17" si="5">IF(H21&gt;-15,H21+15,0)</f>
        <v>8.7742229689187639</v>
      </c>
      <c r="I17" s="30">
        <f t="shared" si="5"/>
        <v>11.900000000000006</v>
      </c>
      <c r="J17" s="30">
        <f t="shared" si="5"/>
        <v>10.906960278411134</v>
      </c>
      <c r="K17" s="30">
        <f t="shared" si="5"/>
        <v>55.408700348013923</v>
      </c>
      <c r="L17" s="30">
        <f t="shared" si="5"/>
        <v>40.405220208808345</v>
      </c>
      <c r="M17" s="30">
        <f t="shared" si="5"/>
        <v>6.5999999999999943</v>
      </c>
      <c r="N17" s="30">
        <f t="shared" si="5"/>
        <v>73</v>
      </c>
      <c r="O17" s="30">
        <f t="shared" si="5"/>
        <v>45.1</v>
      </c>
      <c r="P17" s="30">
        <f t="shared" si="5"/>
        <v>0</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104">
        <f>SUMIF(E17:AB17,"&gt;0",E17:AB17)</f>
        <v>252.09510380415216</v>
      </c>
      <c r="AD17" s="3">
        <f>-AC18/AC17</f>
        <v>1.2563593187726905</v>
      </c>
    </row>
    <row r="18" spans="1:30" ht="15" thickBot="1" x14ac:dyDescent="0.35">
      <c r="A18" s="228"/>
      <c r="B18" s="70"/>
      <c r="C18" s="70" t="s">
        <v>95</v>
      </c>
      <c r="D18" s="71"/>
      <c r="E18" s="28">
        <f>IF(E21&lt;-15,MAX(-E15,E21+15),0)</f>
        <v>-95.994239769590791</v>
      </c>
      <c r="F18" s="31">
        <f t="shared" ref="F18" si="6">IF(F21&lt;-15,MAX(-F15,F21+15),0)</f>
        <v>-57.005220208808339</v>
      </c>
      <c r="G18" s="31">
        <f>IF(G21&lt;-15,MAX(-G15,G21+15),0)</f>
        <v>-7.7355334213368678</v>
      </c>
      <c r="H18" s="31">
        <f t="shared" ref="H18:AB18" si="7">IF(H21&lt;-15,MAX(-H15,H21+15),0)</f>
        <v>0</v>
      </c>
      <c r="I18" s="31">
        <f t="shared" si="7"/>
        <v>0</v>
      </c>
      <c r="J18" s="31">
        <f t="shared" si="7"/>
        <v>0</v>
      </c>
      <c r="K18" s="31">
        <f t="shared" si="7"/>
        <v>0</v>
      </c>
      <c r="L18" s="31">
        <f t="shared" si="7"/>
        <v>0</v>
      </c>
      <c r="M18" s="31">
        <f t="shared" si="7"/>
        <v>0</v>
      </c>
      <c r="N18" s="31">
        <f t="shared" si="7"/>
        <v>0</v>
      </c>
      <c r="O18" s="31">
        <f t="shared" si="7"/>
        <v>0</v>
      </c>
      <c r="P18" s="31">
        <f t="shared" si="7"/>
        <v>0</v>
      </c>
      <c r="Q18" s="31">
        <f t="shared" si="7"/>
        <v>0</v>
      </c>
      <c r="R18" s="31">
        <f t="shared" si="7"/>
        <v>0</v>
      </c>
      <c r="S18" s="31">
        <f t="shared" si="7"/>
        <v>0</v>
      </c>
      <c r="T18" s="31">
        <f t="shared" si="7"/>
        <v>0</v>
      </c>
      <c r="U18" s="31">
        <f t="shared" si="7"/>
        <v>0</v>
      </c>
      <c r="V18" s="31">
        <f t="shared" si="7"/>
        <v>0</v>
      </c>
      <c r="W18" s="31">
        <f t="shared" si="7"/>
        <v>0</v>
      </c>
      <c r="X18" s="31">
        <f t="shared" si="7"/>
        <v>0</v>
      </c>
      <c r="Y18" s="31">
        <f t="shared" si="7"/>
        <v>0</v>
      </c>
      <c r="Z18" s="31">
        <f t="shared" si="7"/>
        <v>-11.995679827193088</v>
      </c>
      <c r="AA18" s="31">
        <f t="shared" si="7"/>
        <v>-59.992799711988475</v>
      </c>
      <c r="AB18" s="32">
        <f t="shared" si="7"/>
        <v>-83.998559942397691</v>
      </c>
      <c r="AC18" s="4">
        <f>SUMIF(E18:AB18,"&lt;0",E18:AB18)</f>
        <v>-316.72203288131527</v>
      </c>
    </row>
    <row r="19" spans="1:30"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30" x14ac:dyDescent="0.3">
      <c r="B20" s="35" t="s">
        <v>36</v>
      </c>
      <c r="C20" s="27"/>
      <c r="D20" s="27"/>
      <c r="E20" s="48">
        <f t="shared" ref="E20:AB20" si="8">SUM(E6:E12)+E15</f>
        <v>95.993039721588872</v>
      </c>
      <c r="F20" s="49">
        <f t="shared" si="8"/>
        <v>130.50522020880834</v>
      </c>
      <c r="G20" s="49">
        <f t="shared" si="8"/>
        <v>156.43553342133686</v>
      </c>
      <c r="H20" s="49">
        <f t="shared" si="8"/>
        <v>188.02577703108125</v>
      </c>
      <c r="I20" s="49">
        <f t="shared" si="8"/>
        <v>218.6</v>
      </c>
      <c r="J20" s="49">
        <f t="shared" si="8"/>
        <v>244.59303972158887</v>
      </c>
      <c r="K20" s="49">
        <f t="shared" si="8"/>
        <v>201.09129965198608</v>
      </c>
      <c r="L20" s="49">
        <f t="shared" si="8"/>
        <v>142.59477979119166</v>
      </c>
      <c r="M20" s="49">
        <f t="shared" si="8"/>
        <v>110</v>
      </c>
      <c r="N20" s="49">
        <f t="shared" si="8"/>
        <v>55</v>
      </c>
      <c r="O20" s="49">
        <f t="shared" si="8"/>
        <v>0</v>
      </c>
      <c r="P20" s="49">
        <f t="shared" si="8"/>
        <v>-80</v>
      </c>
      <c r="Q20" s="49">
        <f t="shared" si="8"/>
        <v>-110.1</v>
      </c>
      <c r="R20" s="49">
        <f t="shared" si="8"/>
        <v>-110.1</v>
      </c>
      <c r="S20" s="49">
        <f t="shared" si="8"/>
        <v>-110.1</v>
      </c>
      <c r="T20" s="49">
        <f t="shared" si="8"/>
        <v>-52.6</v>
      </c>
      <c r="U20" s="49">
        <f t="shared" si="8"/>
        <v>-30.1</v>
      </c>
      <c r="V20" s="49">
        <f t="shared" si="8"/>
        <v>-30.1</v>
      </c>
      <c r="W20" s="49">
        <f t="shared" si="8"/>
        <v>0</v>
      </c>
      <c r="X20" s="49">
        <f t="shared" si="8"/>
        <v>0</v>
      </c>
      <c r="Y20" s="49">
        <f t="shared" si="8"/>
        <v>0</v>
      </c>
      <c r="Z20" s="49">
        <f t="shared" si="8"/>
        <v>11.994779791191648</v>
      </c>
      <c r="AA20" s="49">
        <f t="shared" si="8"/>
        <v>59.991299651986076</v>
      </c>
      <c r="AB20" s="50">
        <f t="shared" si="8"/>
        <v>83.998259930397211</v>
      </c>
      <c r="AC20" s="35"/>
    </row>
    <row r="21" spans="1:30" x14ac:dyDescent="0.3">
      <c r="B21" s="35" t="s">
        <v>37</v>
      </c>
      <c r="C21" s="27"/>
      <c r="D21" s="27"/>
      <c r="E21" s="48">
        <f t="shared" ref="E21:AB21" si="9">E4-E20</f>
        <v>-118.69303972158887</v>
      </c>
      <c r="F21" s="49">
        <f t="shared" si="9"/>
        <v>-72.005220208808339</v>
      </c>
      <c r="G21" s="49">
        <f t="shared" si="9"/>
        <v>-22.735533421336868</v>
      </c>
      <c r="H21" s="49">
        <f t="shared" si="9"/>
        <v>-6.2257770310812361</v>
      </c>
      <c r="I21" s="49">
        <f t="shared" si="9"/>
        <v>-3.0999999999999943</v>
      </c>
      <c r="J21" s="49">
        <f t="shared" si="9"/>
        <v>-4.0930397215888661</v>
      </c>
      <c r="K21" s="49">
        <f t="shared" si="9"/>
        <v>40.408700348013923</v>
      </c>
      <c r="L21" s="49">
        <f t="shared" si="9"/>
        <v>25.405220208808345</v>
      </c>
      <c r="M21" s="49">
        <f t="shared" si="9"/>
        <v>-8.4000000000000057</v>
      </c>
      <c r="N21" s="49">
        <f t="shared" si="9"/>
        <v>58</v>
      </c>
      <c r="O21" s="49">
        <f t="shared" si="9"/>
        <v>30.1</v>
      </c>
      <c r="P21" s="49">
        <f t="shared" si="9"/>
        <v>-37.5</v>
      </c>
      <c r="Q21" s="49">
        <f t="shared" si="9"/>
        <v>-206.9</v>
      </c>
      <c r="R21" s="49">
        <f t="shared" si="9"/>
        <v>-298.89999999999998</v>
      </c>
      <c r="S21" s="49">
        <f t="shared" si="9"/>
        <v>-382.5</v>
      </c>
      <c r="T21" s="49">
        <f t="shared" si="9"/>
        <v>-494.4</v>
      </c>
      <c r="U21" s="49">
        <f t="shared" si="9"/>
        <v>-550</v>
      </c>
      <c r="V21" s="49">
        <f t="shared" si="9"/>
        <v>-567.29999999999995</v>
      </c>
      <c r="W21" s="49">
        <f t="shared" si="9"/>
        <v>-580.1</v>
      </c>
      <c r="X21" s="49">
        <f t="shared" si="9"/>
        <v>-507.8</v>
      </c>
      <c r="Y21" s="49">
        <f t="shared" si="9"/>
        <v>-417.2</v>
      </c>
      <c r="Z21" s="49">
        <f t="shared" si="9"/>
        <v>-335.29477979119167</v>
      </c>
      <c r="AA21" s="49">
        <f t="shared" si="9"/>
        <v>-292.59129965198605</v>
      </c>
      <c r="AB21" s="50">
        <f t="shared" si="9"/>
        <v>-223.1982599303972</v>
      </c>
      <c r="AC21" s="35"/>
    </row>
    <row r="22" spans="1:30" ht="15" thickBot="1" x14ac:dyDescent="0.35">
      <c r="B22" s="166" t="s">
        <v>29</v>
      </c>
      <c r="C22" s="167"/>
      <c r="D22" s="167"/>
      <c r="E22" s="163">
        <f t="shared" ref="E22:AB22" si="10">E21-E17+E18</f>
        <v>-214.68727949117965</v>
      </c>
      <c r="F22" s="164">
        <f t="shared" si="10"/>
        <v>-129.01044041761668</v>
      </c>
      <c r="G22" s="164">
        <f t="shared" si="10"/>
        <v>-30.471066842673736</v>
      </c>
      <c r="H22" s="164">
        <f t="shared" si="10"/>
        <v>-15</v>
      </c>
      <c r="I22" s="164">
        <f t="shared" si="10"/>
        <v>-15</v>
      </c>
      <c r="J22" s="164">
        <f t="shared" si="10"/>
        <v>-15</v>
      </c>
      <c r="K22" s="164">
        <f t="shared" si="10"/>
        <v>-15</v>
      </c>
      <c r="L22" s="164">
        <f t="shared" si="10"/>
        <v>-15</v>
      </c>
      <c r="M22" s="164">
        <f t="shared" si="10"/>
        <v>-15</v>
      </c>
      <c r="N22" s="164">
        <f t="shared" si="10"/>
        <v>-15</v>
      </c>
      <c r="O22" s="164">
        <f t="shared" si="10"/>
        <v>-15</v>
      </c>
      <c r="P22" s="164">
        <f t="shared" si="10"/>
        <v>-37.5</v>
      </c>
      <c r="Q22" s="164">
        <f t="shared" si="10"/>
        <v>-206.9</v>
      </c>
      <c r="R22" s="164">
        <f t="shared" si="10"/>
        <v>-298.89999999999998</v>
      </c>
      <c r="S22" s="164">
        <f t="shared" si="10"/>
        <v>-382.5</v>
      </c>
      <c r="T22" s="164">
        <f t="shared" si="10"/>
        <v>-494.4</v>
      </c>
      <c r="U22" s="164">
        <f t="shared" si="10"/>
        <v>-550</v>
      </c>
      <c r="V22" s="164">
        <f t="shared" si="10"/>
        <v>-567.29999999999995</v>
      </c>
      <c r="W22" s="164">
        <f t="shared" si="10"/>
        <v>-580.1</v>
      </c>
      <c r="X22" s="164">
        <f t="shared" si="10"/>
        <v>-507.8</v>
      </c>
      <c r="Y22" s="164">
        <f t="shared" si="10"/>
        <v>-417.2</v>
      </c>
      <c r="Z22" s="164">
        <f t="shared" si="10"/>
        <v>-347.29045961838477</v>
      </c>
      <c r="AA22" s="164">
        <f t="shared" si="10"/>
        <v>-352.58409936397453</v>
      </c>
      <c r="AB22" s="165">
        <f t="shared" si="10"/>
        <v>-307.19681987279489</v>
      </c>
      <c r="AC22" s="35"/>
    </row>
    <row r="23" spans="1:30" ht="15.6" thickTop="1" thickBot="1" x14ac:dyDescent="0.35">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30" x14ac:dyDescent="0.3">
      <c r="B24" s="38" t="s">
        <v>17</v>
      </c>
      <c r="C24" s="26"/>
      <c r="D24" s="26"/>
      <c r="E24" s="60">
        <v>6666</v>
      </c>
      <c r="F24" s="61">
        <v>7500</v>
      </c>
      <c r="G24" s="61">
        <v>7950</v>
      </c>
      <c r="H24" s="61">
        <v>8300</v>
      </c>
      <c r="I24" s="61">
        <v>8333</v>
      </c>
      <c r="J24" s="61">
        <v>6666</v>
      </c>
      <c r="K24" s="61">
        <v>4166</v>
      </c>
      <c r="L24" s="61">
        <v>833</v>
      </c>
      <c r="M24" s="61">
        <v>0</v>
      </c>
      <c r="N24" s="61">
        <v>0</v>
      </c>
      <c r="O24" s="61">
        <v>0</v>
      </c>
      <c r="P24" s="61">
        <v>0</v>
      </c>
      <c r="Q24" s="61">
        <v>0</v>
      </c>
      <c r="R24" s="61">
        <v>0</v>
      </c>
      <c r="S24" s="61">
        <v>0</v>
      </c>
      <c r="T24" s="61">
        <v>0</v>
      </c>
      <c r="U24" s="61">
        <v>0</v>
      </c>
      <c r="V24" s="61">
        <v>0</v>
      </c>
      <c r="W24" s="61">
        <v>0</v>
      </c>
      <c r="X24" s="61">
        <v>0</v>
      </c>
      <c r="Y24" s="61">
        <v>0</v>
      </c>
      <c r="Z24" s="61">
        <v>833</v>
      </c>
      <c r="AA24" s="61">
        <v>4166</v>
      </c>
      <c r="AB24" s="62">
        <v>5833</v>
      </c>
    </row>
    <row r="25" spans="1:30" ht="15" thickBot="1" x14ac:dyDescent="0.35">
      <c r="B25" s="39" t="s">
        <v>18</v>
      </c>
      <c r="C25" s="40"/>
      <c r="D25" s="40"/>
      <c r="E25" s="56">
        <f t="shared" ref="E25:AB25" si="11">E24/MAX($B$24:$P$24)</f>
        <v>0.79995199807992323</v>
      </c>
      <c r="F25" s="57">
        <f t="shared" si="11"/>
        <v>0.90003600144005758</v>
      </c>
      <c r="G25" s="57">
        <f t="shared" si="11"/>
        <v>0.95403816152646104</v>
      </c>
      <c r="H25" s="57">
        <f t="shared" si="11"/>
        <v>0.99603984159366377</v>
      </c>
      <c r="I25" s="57">
        <f t="shared" si="11"/>
        <v>1</v>
      </c>
      <c r="J25" s="57">
        <f t="shared" si="11"/>
        <v>0.79995199807992323</v>
      </c>
      <c r="K25" s="57">
        <f t="shared" si="11"/>
        <v>0.49993999759990398</v>
      </c>
      <c r="L25" s="57">
        <f t="shared" si="11"/>
        <v>9.9963998559942396E-2</v>
      </c>
      <c r="M25" s="57">
        <f t="shared" si="11"/>
        <v>0</v>
      </c>
      <c r="N25" s="57">
        <f t="shared" si="11"/>
        <v>0</v>
      </c>
      <c r="O25" s="57">
        <f t="shared" si="11"/>
        <v>0</v>
      </c>
      <c r="P25" s="57">
        <f t="shared" si="11"/>
        <v>0</v>
      </c>
      <c r="Q25" s="57">
        <f t="shared" si="11"/>
        <v>0</v>
      </c>
      <c r="R25" s="57">
        <f t="shared" si="11"/>
        <v>0</v>
      </c>
      <c r="S25" s="57">
        <f t="shared" si="11"/>
        <v>0</v>
      </c>
      <c r="T25" s="57">
        <f t="shared" si="11"/>
        <v>0</v>
      </c>
      <c r="U25" s="57">
        <f t="shared" si="11"/>
        <v>0</v>
      </c>
      <c r="V25" s="57">
        <f t="shared" si="11"/>
        <v>0</v>
      </c>
      <c r="W25" s="57">
        <f t="shared" si="11"/>
        <v>0</v>
      </c>
      <c r="X25" s="57">
        <f t="shared" si="11"/>
        <v>0</v>
      </c>
      <c r="Y25" s="57">
        <f t="shared" si="11"/>
        <v>0</v>
      </c>
      <c r="Z25" s="57">
        <f t="shared" si="11"/>
        <v>9.9963998559942396E-2</v>
      </c>
      <c r="AA25" s="57">
        <f t="shared" si="11"/>
        <v>0.49993999759990398</v>
      </c>
      <c r="AB25" s="58">
        <f t="shared" si="11"/>
        <v>0.69998799951998081</v>
      </c>
      <c r="AC25" s="99">
        <f>SUM(E25:AB25)</f>
        <v>7.3498139925597021</v>
      </c>
    </row>
  </sheetData>
  <mergeCells count="5">
    <mergeCell ref="B3:D3"/>
    <mergeCell ref="B4:D4"/>
    <mergeCell ref="A6:A12"/>
    <mergeCell ref="A14:A18"/>
    <mergeCell ref="AC14:A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156C-025D-45A2-8469-7E4E993748CF}">
  <dimension ref="A2:AD25"/>
  <sheetViews>
    <sheetView workbookViewId="0">
      <selection activeCell="D17" sqref="D17"/>
    </sheetView>
  </sheetViews>
  <sheetFormatPr defaultRowHeight="14.4" x14ac:dyDescent="0.3"/>
  <cols>
    <col min="1" max="1" width="17.109375" customWidth="1"/>
    <col min="2" max="2" width="34.5546875" customWidth="1"/>
    <col min="3" max="3" width="14.109375" style="2" customWidth="1"/>
    <col min="4" max="4" width="8.88671875" style="2"/>
    <col min="5" max="5" width="7.21875" bestFit="1" customWidth="1"/>
    <col min="6" max="6" width="6.21875" bestFit="1" customWidth="1"/>
    <col min="7" max="14" width="6.5546875" bestFit="1" customWidth="1"/>
    <col min="15" max="15" width="5.5546875" bestFit="1" customWidth="1"/>
    <col min="16" max="28" width="7.21875" bestFit="1" customWidth="1"/>
    <col min="29" max="29" width="15" customWidth="1"/>
  </cols>
  <sheetData>
    <row r="2" spans="1:30" ht="15" thickBot="1" x14ac:dyDescent="0.35"/>
    <row r="3" spans="1:30"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30" ht="18.600000000000001" thickBot="1" x14ac:dyDescent="0.4">
      <c r="B4" s="221" t="s">
        <v>16</v>
      </c>
      <c r="C4" s="222"/>
      <c r="D4" s="222"/>
      <c r="E4" s="138">
        <v>-162</v>
      </c>
      <c r="F4" s="139">
        <v>-65.900000000000006</v>
      </c>
      <c r="G4" s="139">
        <v>42</v>
      </c>
      <c r="H4" s="139">
        <v>120</v>
      </c>
      <c r="I4" s="139">
        <v>181.9</v>
      </c>
      <c r="J4" s="139">
        <v>237.6</v>
      </c>
      <c r="K4" s="139">
        <v>242.1</v>
      </c>
      <c r="L4" s="139">
        <v>191.9</v>
      </c>
      <c r="M4" s="139">
        <v>110.3</v>
      </c>
      <c r="N4" s="139">
        <v>67</v>
      </c>
      <c r="O4" s="139">
        <v>-46.7</v>
      </c>
      <c r="P4" s="139">
        <v>-212.5</v>
      </c>
      <c r="Q4" s="139">
        <v>-381.3</v>
      </c>
      <c r="R4" s="139">
        <v>-485.7</v>
      </c>
      <c r="S4" s="139">
        <v>-560.5</v>
      </c>
      <c r="T4" s="139">
        <v>-616.1</v>
      </c>
      <c r="U4" s="139">
        <v>-645.29999999999995</v>
      </c>
      <c r="V4" s="139">
        <v>-656.6</v>
      </c>
      <c r="W4" s="139">
        <v>-638.29999999999995</v>
      </c>
      <c r="X4" s="139">
        <v>-549.1</v>
      </c>
      <c r="Y4" s="139">
        <v>-468.4</v>
      </c>
      <c r="Z4" s="139">
        <v>-401.5</v>
      </c>
      <c r="AA4" s="139">
        <v>-304.2</v>
      </c>
      <c r="AB4" s="140">
        <v>-214.2</v>
      </c>
      <c r="AC4" s="27"/>
    </row>
    <row r="5" spans="1:30" s="25" customFormat="1" ht="15.6" thickBot="1" x14ac:dyDescent="0.35">
      <c r="B5" s="27"/>
      <c r="C5" s="27"/>
      <c r="D5" s="27" t="s">
        <v>22</v>
      </c>
      <c r="E5" s="43"/>
      <c r="F5" s="44"/>
      <c r="G5" s="44"/>
      <c r="H5" s="44"/>
      <c r="I5" s="44"/>
      <c r="J5" s="44"/>
      <c r="K5" s="44"/>
      <c r="L5" s="44"/>
      <c r="M5" s="44"/>
      <c r="N5" s="44"/>
      <c r="O5" s="44"/>
      <c r="P5" s="44"/>
      <c r="Q5" s="44"/>
      <c r="R5" s="44"/>
      <c r="S5" s="44"/>
      <c r="T5" s="44"/>
      <c r="U5" s="44"/>
      <c r="V5" s="44"/>
      <c r="W5" s="44"/>
      <c r="X5" s="44"/>
      <c r="Y5" s="44"/>
      <c r="Z5" s="44"/>
      <c r="AA5" s="44"/>
      <c r="AB5" s="129"/>
      <c r="AC5" s="27"/>
    </row>
    <row r="6" spans="1:30" s="25" customFormat="1" ht="15" x14ac:dyDescent="0.3">
      <c r="A6" s="223" t="s">
        <v>19</v>
      </c>
      <c r="B6" s="41" t="s">
        <v>23</v>
      </c>
      <c r="C6" s="26" t="s">
        <v>21</v>
      </c>
      <c r="D6" s="26">
        <v>0.5</v>
      </c>
      <c r="E6" s="45"/>
      <c r="F6" s="46"/>
      <c r="G6" s="46"/>
      <c r="H6" s="136">
        <v>0.5</v>
      </c>
      <c r="I6" s="136">
        <v>0.5</v>
      </c>
      <c r="J6" s="136">
        <v>0.5</v>
      </c>
      <c r="K6" s="136">
        <v>0.5</v>
      </c>
      <c r="L6" s="46"/>
      <c r="M6" s="46"/>
      <c r="N6" s="46"/>
      <c r="O6" s="46"/>
      <c r="P6" s="46"/>
      <c r="Q6" s="46"/>
      <c r="R6" s="46"/>
      <c r="S6" s="46"/>
      <c r="T6" s="46"/>
      <c r="U6" s="46"/>
      <c r="V6" s="46"/>
      <c r="W6" s="46"/>
      <c r="X6" s="46"/>
      <c r="Y6" s="46"/>
      <c r="Z6" s="46"/>
      <c r="AA6" s="46"/>
      <c r="AB6" s="47"/>
      <c r="AC6" s="27"/>
    </row>
    <row r="7" spans="1:30" x14ac:dyDescent="0.3">
      <c r="A7" s="224"/>
      <c r="B7" s="36" t="s">
        <v>24</v>
      </c>
      <c r="C7" s="27" t="s">
        <v>20</v>
      </c>
      <c r="D7" s="27">
        <v>25</v>
      </c>
      <c r="E7" s="48">
        <f t="shared" ref="E7:AB7" si="0">+$D7*E25</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35"/>
    </row>
    <row r="8" spans="1:30"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168"/>
      <c r="AD8" s="171"/>
    </row>
    <row r="9" spans="1:30" x14ac:dyDescent="0.3">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6"/>
      <c r="AD9" s="171"/>
    </row>
    <row r="10" spans="1:30" x14ac:dyDescent="0.3">
      <c r="A10" s="224"/>
      <c r="B10" s="36" t="s">
        <v>25</v>
      </c>
      <c r="C10" s="27"/>
      <c r="D10" s="27">
        <v>18.100000000000001</v>
      </c>
      <c r="E10" s="54"/>
      <c r="F10" s="55"/>
      <c r="H10" s="59"/>
      <c r="I10" s="59">
        <v>18.100000000000001</v>
      </c>
      <c r="J10" s="59">
        <v>18.100000000000001</v>
      </c>
      <c r="K10" s="59">
        <v>18.100000000000001</v>
      </c>
      <c r="L10" s="59">
        <v>18.100000000000001</v>
      </c>
      <c r="M10" s="59">
        <v>18.100000000000001</v>
      </c>
      <c r="N10" s="55">
        <v>18.100000000000001</v>
      </c>
      <c r="O10" s="55"/>
      <c r="P10" s="55"/>
      <c r="Q10" s="55"/>
      <c r="R10" s="55"/>
      <c r="S10" s="55"/>
      <c r="T10" s="55"/>
      <c r="U10" s="55"/>
      <c r="V10" s="55"/>
      <c r="W10" s="55"/>
      <c r="X10" s="55"/>
      <c r="Y10" s="55"/>
      <c r="Z10" s="55"/>
      <c r="AA10" s="55"/>
      <c r="AB10" s="6"/>
      <c r="AC10" s="37"/>
    </row>
    <row r="11" spans="1:30"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30"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30" ht="15" thickBot="1" x14ac:dyDescent="0.35">
      <c r="A13" s="67"/>
      <c r="B13" s="36" t="s">
        <v>31</v>
      </c>
      <c r="C13" s="27"/>
      <c r="D13" s="27"/>
      <c r="E13" s="144">
        <f>E4-SUM(E6:E12)</f>
        <v>-161.99879995199808</v>
      </c>
      <c r="F13" s="145">
        <f t="shared" ref="F13:AB13" si="1">F4-SUM(F6:F12)</f>
        <v>-88.400900036001445</v>
      </c>
      <c r="G13" s="145">
        <f t="shared" si="1"/>
        <v>18.149045961838475</v>
      </c>
      <c r="H13" s="145">
        <f t="shared" si="1"/>
        <v>69.599003960158399</v>
      </c>
      <c r="I13" s="145">
        <f t="shared" si="1"/>
        <v>83.300000000000011</v>
      </c>
      <c r="J13" s="145">
        <f t="shared" si="1"/>
        <v>89.00120004800192</v>
      </c>
      <c r="K13" s="145">
        <f t="shared" si="1"/>
        <v>101.0015000600024</v>
      </c>
      <c r="L13" s="145">
        <f t="shared" si="1"/>
        <v>61.300900036001451</v>
      </c>
      <c r="M13" s="145">
        <f t="shared" si="1"/>
        <v>-17.799999999999997</v>
      </c>
      <c r="N13" s="145">
        <f t="shared" si="1"/>
        <v>-6.0999999999999943</v>
      </c>
      <c r="O13" s="145">
        <f>O4-SUM(O6:O12)</f>
        <v>-46.7</v>
      </c>
      <c r="P13" s="145">
        <f t="shared" si="1"/>
        <v>-132.5</v>
      </c>
      <c r="Q13" s="145">
        <f t="shared" si="1"/>
        <v>-271.20000000000005</v>
      </c>
      <c r="R13" s="145">
        <f t="shared" si="1"/>
        <v>-375.6</v>
      </c>
      <c r="S13" s="145">
        <f t="shared" si="1"/>
        <v>-450.4</v>
      </c>
      <c r="T13" s="145">
        <f t="shared" si="1"/>
        <v>-563.5</v>
      </c>
      <c r="U13" s="145">
        <f t="shared" si="1"/>
        <v>-615.19999999999993</v>
      </c>
      <c r="V13" s="145">
        <f t="shared" si="1"/>
        <v>-626.5</v>
      </c>
      <c r="W13" s="145">
        <f t="shared" si="1"/>
        <v>-638.29999999999995</v>
      </c>
      <c r="X13" s="145">
        <f t="shared" si="1"/>
        <v>-549.1</v>
      </c>
      <c r="Y13" s="145">
        <f t="shared" si="1"/>
        <v>-468.4</v>
      </c>
      <c r="Z13" s="145">
        <f t="shared" si="1"/>
        <v>-401.49909996399856</v>
      </c>
      <c r="AA13" s="145">
        <f t="shared" si="1"/>
        <v>-304.19849993999759</v>
      </c>
      <c r="AB13" s="146">
        <f t="shared" si="1"/>
        <v>-214.19969998799951</v>
      </c>
      <c r="AC13" s="37"/>
    </row>
    <row r="14" spans="1:30"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30" x14ac:dyDescent="0.3">
      <c r="A15" s="227"/>
      <c r="B15" s="3" t="s">
        <v>28</v>
      </c>
      <c r="C15" s="3" t="s">
        <v>20</v>
      </c>
      <c r="D15" s="93">
        <v>120</v>
      </c>
      <c r="E15" s="29">
        <f t="shared" ref="E15:AB15" si="2">$D15*E25</f>
        <v>95.994239769590791</v>
      </c>
      <c r="F15" s="30">
        <f t="shared" si="2"/>
        <v>108.00432017280691</v>
      </c>
      <c r="G15" s="30">
        <f t="shared" si="2"/>
        <v>114.48457938317533</v>
      </c>
      <c r="H15" s="30">
        <f t="shared" si="2"/>
        <v>119.52478099123965</v>
      </c>
      <c r="I15" s="30">
        <f t="shared" si="2"/>
        <v>120</v>
      </c>
      <c r="J15" s="30">
        <f t="shared" si="2"/>
        <v>95.994239769590791</v>
      </c>
      <c r="K15" s="30">
        <f t="shared" si="2"/>
        <v>59.992799711988475</v>
      </c>
      <c r="L15" s="30">
        <f t="shared" si="2"/>
        <v>11.995679827193088</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11.995679827193088</v>
      </c>
      <c r="AA15" s="30">
        <f t="shared" si="2"/>
        <v>59.992799711988475</v>
      </c>
      <c r="AB15" s="33">
        <f t="shared" si="2"/>
        <v>83.998559942397691</v>
      </c>
      <c r="AC15" s="230"/>
    </row>
    <row r="16" spans="1:30" hidden="1" x14ac:dyDescent="0.3">
      <c r="A16" s="227"/>
      <c r="B16" s="3"/>
      <c r="C16" s="3"/>
      <c r="D16" s="3"/>
      <c r="E16" s="73">
        <f>E13-E15</f>
        <v>-257.99303972158884</v>
      </c>
      <c r="F16" s="75">
        <f t="shared" ref="F16:AB16" si="3">F13-F15</f>
        <v>-196.40522020880837</v>
      </c>
      <c r="G16" s="75">
        <f t="shared" si="3"/>
        <v>-96.335533421336862</v>
      </c>
      <c r="H16" s="75">
        <f t="shared" si="3"/>
        <v>-49.925777031081253</v>
      </c>
      <c r="I16" s="75">
        <f t="shared" si="3"/>
        <v>-36.699999999999989</v>
      </c>
      <c r="J16" s="75">
        <f t="shared" si="3"/>
        <v>-6.9930397215888718</v>
      </c>
      <c r="K16" s="75">
        <f t="shared" si="3"/>
        <v>41.008700348013924</v>
      </c>
      <c r="L16" s="75">
        <f t="shared" si="3"/>
        <v>49.305220208808365</v>
      </c>
      <c r="M16" s="75">
        <f t="shared" si="3"/>
        <v>-17.799999999999997</v>
      </c>
      <c r="N16" s="75">
        <f t="shared" si="3"/>
        <v>-6.0999999999999943</v>
      </c>
      <c r="O16" s="75">
        <f t="shared" si="3"/>
        <v>-46.7</v>
      </c>
      <c r="P16" s="75">
        <f t="shared" si="3"/>
        <v>-132.5</v>
      </c>
      <c r="Q16" s="75">
        <f t="shared" si="3"/>
        <v>-271.20000000000005</v>
      </c>
      <c r="R16" s="75">
        <f t="shared" si="3"/>
        <v>-375.6</v>
      </c>
      <c r="S16" s="75">
        <f t="shared" si="3"/>
        <v>-450.4</v>
      </c>
      <c r="T16" s="75">
        <f t="shared" si="3"/>
        <v>-563.5</v>
      </c>
      <c r="U16" s="75">
        <f t="shared" si="3"/>
        <v>-615.19999999999993</v>
      </c>
      <c r="V16" s="75">
        <f t="shared" si="3"/>
        <v>-626.5</v>
      </c>
      <c r="W16" s="75">
        <f t="shared" si="3"/>
        <v>-638.29999999999995</v>
      </c>
      <c r="X16" s="75">
        <f t="shared" si="3"/>
        <v>-549.1</v>
      </c>
      <c r="Y16" s="75">
        <f t="shared" si="3"/>
        <v>-468.4</v>
      </c>
      <c r="Z16" s="75">
        <f t="shared" si="3"/>
        <v>-413.49477979119166</v>
      </c>
      <c r="AA16" s="75">
        <f t="shared" si="3"/>
        <v>-364.19129965198607</v>
      </c>
      <c r="AB16" s="76">
        <f t="shared" si="3"/>
        <v>-298.19825993039717</v>
      </c>
      <c r="AC16" s="72"/>
    </row>
    <row r="17" spans="1:29" x14ac:dyDescent="0.3">
      <c r="A17" s="227"/>
      <c r="B17" s="27"/>
      <c r="C17" s="27" t="s">
        <v>34</v>
      </c>
      <c r="D17" s="3">
        <f>CEILING(MAX(E17:AB17),5)</f>
        <v>65</v>
      </c>
      <c r="E17" s="29">
        <f t="shared" ref="E17:F17" si="4">IF(E21&gt;-15,E21+15,0)</f>
        <v>0</v>
      </c>
      <c r="F17" s="30">
        <f t="shared" si="4"/>
        <v>0</v>
      </c>
      <c r="G17" s="30">
        <f>IF(G21&gt;-15,G21+15,0)</f>
        <v>0</v>
      </c>
      <c r="H17" s="30">
        <f t="shared" ref="H17:AA17" si="5">IF(H21&gt;-15,H21+15,0)</f>
        <v>0</v>
      </c>
      <c r="I17" s="30">
        <f t="shared" si="5"/>
        <v>0</v>
      </c>
      <c r="J17" s="30">
        <f t="shared" si="5"/>
        <v>8.0069602784111282</v>
      </c>
      <c r="K17" s="30">
        <f t="shared" si="5"/>
        <v>56.008700348013917</v>
      </c>
      <c r="L17" s="30">
        <f t="shared" si="5"/>
        <v>64.30522020880835</v>
      </c>
      <c r="M17" s="30">
        <f t="shared" si="5"/>
        <v>0</v>
      </c>
      <c r="N17" s="30">
        <f t="shared" si="5"/>
        <v>8.9000000000000057</v>
      </c>
      <c r="O17" s="30">
        <f t="shared" si="5"/>
        <v>0</v>
      </c>
      <c r="P17" s="30">
        <f t="shared" si="5"/>
        <v>0</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92">
        <f>SUMIF(E17:AB17,"&gt;0",E17:AB17)</f>
        <v>137.2208808352334</v>
      </c>
    </row>
    <row r="18" spans="1:29" ht="15" thickBot="1" x14ac:dyDescent="0.35">
      <c r="A18" s="228"/>
      <c r="B18" s="70"/>
      <c r="C18" s="70" t="s">
        <v>95</v>
      </c>
      <c r="D18" s="71"/>
      <c r="E18" s="28">
        <f t="shared" ref="E18:AB18" si="6">IF(E21&lt;-15,MAX(-E15,E21+15),0)</f>
        <v>-95.994239769590791</v>
      </c>
      <c r="F18" s="31">
        <f t="shared" si="6"/>
        <v>-108.00432017280691</v>
      </c>
      <c r="G18" s="31">
        <f t="shared" si="6"/>
        <v>-81.335533421336862</v>
      </c>
      <c r="H18" s="31">
        <f t="shared" si="6"/>
        <v>-34.925777031081253</v>
      </c>
      <c r="I18" s="31">
        <f t="shared" si="6"/>
        <v>-21.699999999999989</v>
      </c>
      <c r="J18" s="31">
        <f t="shared" si="6"/>
        <v>0</v>
      </c>
      <c r="K18" s="31">
        <f t="shared" si="6"/>
        <v>0</v>
      </c>
      <c r="L18" s="31">
        <f t="shared" si="6"/>
        <v>0</v>
      </c>
      <c r="M18" s="31">
        <f t="shared" si="6"/>
        <v>0</v>
      </c>
      <c r="N18" s="31">
        <f t="shared" si="6"/>
        <v>0</v>
      </c>
      <c r="O18" s="31">
        <f t="shared" si="6"/>
        <v>0</v>
      </c>
      <c r="P18" s="31">
        <f t="shared" si="6"/>
        <v>0</v>
      </c>
      <c r="Q18" s="31">
        <f t="shared" si="6"/>
        <v>0</v>
      </c>
      <c r="R18" s="31">
        <f t="shared" si="6"/>
        <v>0</v>
      </c>
      <c r="S18" s="31">
        <f t="shared" si="6"/>
        <v>0</v>
      </c>
      <c r="T18" s="31">
        <f t="shared" si="6"/>
        <v>0</v>
      </c>
      <c r="U18" s="31">
        <f t="shared" si="6"/>
        <v>0</v>
      </c>
      <c r="V18" s="31">
        <f t="shared" si="6"/>
        <v>0</v>
      </c>
      <c r="W18" s="31">
        <f t="shared" si="6"/>
        <v>0</v>
      </c>
      <c r="X18" s="31">
        <f t="shared" si="6"/>
        <v>0</v>
      </c>
      <c r="Y18" s="31">
        <f t="shared" si="6"/>
        <v>0</v>
      </c>
      <c r="Z18" s="31">
        <f t="shared" si="6"/>
        <v>-11.995679827193088</v>
      </c>
      <c r="AA18" s="31">
        <f t="shared" si="6"/>
        <v>-59.992799711988475</v>
      </c>
      <c r="AB18" s="32">
        <f t="shared" si="6"/>
        <v>-83.998559942397691</v>
      </c>
      <c r="AC18" s="4">
        <f>SUMIF(E18:AB18,"&lt;0",E18:AB18)</f>
        <v>-497.94690987639513</v>
      </c>
    </row>
    <row r="19" spans="1:29"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29" x14ac:dyDescent="0.3">
      <c r="B20" s="35" t="s">
        <v>36</v>
      </c>
      <c r="C20" s="27"/>
      <c r="D20" s="27"/>
      <c r="E20" s="48">
        <f t="shared" ref="E20:AB20" si="7">SUM(E6:E12)+E15</f>
        <v>95.993039721588872</v>
      </c>
      <c r="F20" s="49">
        <f t="shared" si="7"/>
        <v>130.50522020880834</v>
      </c>
      <c r="G20" s="49">
        <f t="shared" si="7"/>
        <v>138.33553342133686</v>
      </c>
      <c r="H20" s="49">
        <f t="shared" si="7"/>
        <v>169.92577703108125</v>
      </c>
      <c r="I20" s="49">
        <f t="shared" si="7"/>
        <v>218.6</v>
      </c>
      <c r="J20" s="49">
        <f t="shared" si="7"/>
        <v>244.59303972158887</v>
      </c>
      <c r="K20" s="49">
        <f t="shared" si="7"/>
        <v>201.09129965198608</v>
      </c>
      <c r="L20" s="49">
        <f t="shared" si="7"/>
        <v>142.59477979119166</v>
      </c>
      <c r="M20" s="49">
        <f t="shared" si="7"/>
        <v>128.1</v>
      </c>
      <c r="N20" s="49">
        <f t="shared" si="7"/>
        <v>73.099999999999994</v>
      </c>
      <c r="O20" s="49">
        <f t="shared" si="7"/>
        <v>0</v>
      </c>
      <c r="P20" s="49">
        <f t="shared" si="7"/>
        <v>-80</v>
      </c>
      <c r="Q20" s="49">
        <f t="shared" si="7"/>
        <v>-110.1</v>
      </c>
      <c r="R20" s="49">
        <f t="shared" si="7"/>
        <v>-110.1</v>
      </c>
      <c r="S20" s="49">
        <f t="shared" si="7"/>
        <v>-110.1</v>
      </c>
      <c r="T20" s="49">
        <f t="shared" si="7"/>
        <v>-52.6</v>
      </c>
      <c r="U20" s="49">
        <f t="shared" si="7"/>
        <v>-30.1</v>
      </c>
      <c r="V20" s="49">
        <f t="shared" si="7"/>
        <v>-30.1</v>
      </c>
      <c r="W20" s="49">
        <f t="shared" si="7"/>
        <v>0</v>
      </c>
      <c r="X20" s="49">
        <f t="shared" si="7"/>
        <v>0</v>
      </c>
      <c r="Y20" s="49">
        <f t="shared" si="7"/>
        <v>0</v>
      </c>
      <c r="Z20" s="49">
        <f t="shared" si="7"/>
        <v>11.994779791191648</v>
      </c>
      <c r="AA20" s="49">
        <f t="shared" si="7"/>
        <v>59.991299651986076</v>
      </c>
      <c r="AB20" s="50">
        <f t="shared" si="7"/>
        <v>83.998259930397211</v>
      </c>
      <c r="AC20" s="35"/>
    </row>
    <row r="21" spans="1:29" x14ac:dyDescent="0.3">
      <c r="B21" s="35" t="s">
        <v>37</v>
      </c>
      <c r="C21" s="27"/>
      <c r="D21" s="27"/>
      <c r="E21" s="48">
        <f t="shared" ref="E21:AB21" si="8">E4-E20</f>
        <v>-257.99303972158884</v>
      </c>
      <c r="F21" s="49">
        <f t="shared" si="8"/>
        <v>-196.40522020880834</v>
      </c>
      <c r="G21" s="49">
        <f t="shared" si="8"/>
        <v>-96.335533421336862</v>
      </c>
      <c r="H21" s="49">
        <f t="shared" si="8"/>
        <v>-49.925777031081253</v>
      </c>
      <c r="I21" s="49">
        <f t="shared" si="8"/>
        <v>-36.699999999999989</v>
      </c>
      <c r="J21" s="49">
        <f t="shared" si="8"/>
        <v>-6.9930397215888718</v>
      </c>
      <c r="K21" s="49">
        <f t="shared" si="8"/>
        <v>41.008700348013917</v>
      </c>
      <c r="L21" s="49">
        <f t="shared" si="8"/>
        <v>49.30522020880835</v>
      </c>
      <c r="M21" s="49">
        <f t="shared" si="8"/>
        <v>-17.799999999999997</v>
      </c>
      <c r="N21" s="49">
        <f t="shared" si="8"/>
        <v>-6.0999999999999943</v>
      </c>
      <c r="O21" s="49">
        <f t="shared" si="8"/>
        <v>-46.7</v>
      </c>
      <c r="P21" s="49">
        <f t="shared" si="8"/>
        <v>-132.5</v>
      </c>
      <c r="Q21" s="49">
        <f t="shared" si="8"/>
        <v>-271.20000000000005</v>
      </c>
      <c r="R21" s="49">
        <f t="shared" si="8"/>
        <v>-375.6</v>
      </c>
      <c r="S21" s="49">
        <f t="shared" si="8"/>
        <v>-450.4</v>
      </c>
      <c r="T21" s="49">
        <f t="shared" si="8"/>
        <v>-563.5</v>
      </c>
      <c r="U21" s="49">
        <f t="shared" si="8"/>
        <v>-615.19999999999993</v>
      </c>
      <c r="V21" s="49">
        <f t="shared" si="8"/>
        <v>-626.5</v>
      </c>
      <c r="W21" s="49">
        <f t="shared" si="8"/>
        <v>-638.29999999999995</v>
      </c>
      <c r="X21" s="49">
        <f t="shared" si="8"/>
        <v>-549.1</v>
      </c>
      <c r="Y21" s="49">
        <f t="shared" si="8"/>
        <v>-468.4</v>
      </c>
      <c r="Z21" s="49">
        <f t="shared" si="8"/>
        <v>-413.49477979119166</v>
      </c>
      <c r="AA21" s="49">
        <f t="shared" si="8"/>
        <v>-364.19129965198607</v>
      </c>
      <c r="AB21" s="50">
        <f t="shared" si="8"/>
        <v>-298.19825993039717</v>
      </c>
      <c r="AC21" s="35"/>
    </row>
    <row r="22" spans="1:29" ht="15" thickBot="1" x14ac:dyDescent="0.35">
      <c r="B22" s="111" t="s">
        <v>29</v>
      </c>
      <c r="C22" s="112"/>
      <c r="D22" s="112"/>
      <c r="E22" s="163">
        <f t="shared" ref="E22:AB22" si="9">E21-E17+E18</f>
        <v>-353.98727949117961</v>
      </c>
      <c r="F22" s="164">
        <f t="shared" si="9"/>
        <v>-304.40954038161527</v>
      </c>
      <c r="G22" s="164">
        <f t="shared" si="9"/>
        <v>-177.67106684267372</v>
      </c>
      <c r="H22" s="164">
        <f t="shared" si="9"/>
        <v>-84.851554062162506</v>
      </c>
      <c r="I22" s="164">
        <f t="shared" si="9"/>
        <v>-58.399999999999977</v>
      </c>
      <c r="J22" s="164">
        <f t="shared" si="9"/>
        <v>-15</v>
      </c>
      <c r="K22" s="164">
        <f t="shared" si="9"/>
        <v>-15</v>
      </c>
      <c r="L22" s="164">
        <f t="shared" si="9"/>
        <v>-15</v>
      </c>
      <c r="M22" s="164">
        <f t="shared" si="9"/>
        <v>-17.799999999999997</v>
      </c>
      <c r="N22" s="164">
        <f t="shared" si="9"/>
        <v>-15</v>
      </c>
      <c r="O22" s="164">
        <f t="shared" si="9"/>
        <v>-46.7</v>
      </c>
      <c r="P22" s="164">
        <f t="shared" si="9"/>
        <v>-132.5</v>
      </c>
      <c r="Q22" s="164">
        <f t="shared" si="9"/>
        <v>-271.20000000000005</v>
      </c>
      <c r="R22" s="164">
        <f t="shared" si="9"/>
        <v>-375.6</v>
      </c>
      <c r="S22" s="164">
        <f t="shared" si="9"/>
        <v>-450.4</v>
      </c>
      <c r="T22" s="164">
        <f t="shared" si="9"/>
        <v>-563.5</v>
      </c>
      <c r="U22" s="164">
        <f t="shared" si="9"/>
        <v>-615.19999999999993</v>
      </c>
      <c r="V22" s="164">
        <f t="shared" si="9"/>
        <v>-626.5</v>
      </c>
      <c r="W22" s="164">
        <f t="shared" si="9"/>
        <v>-638.29999999999995</v>
      </c>
      <c r="X22" s="164">
        <f t="shared" si="9"/>
        <v>-549.1</v>
      </c>
      <c r="Y22" s="164">
        <f t="shared" si="9"/>
        <v>-468.4</v>
      </c>
      <c r="Z22" s="164">
        <f t="shared" si="9"/>
        <v>-425.49045961838476</v>
      </c>
      <c r="AA22" s="164">
        <f t="shared" si="9"/>
        <v>-424.18409936397455</v>
      </c>
      <c r="AB22" s="165">
        <f t="shared" si="9"/>
        <v>-382.19681987279489</v>
      </c>
      <c r="AC22" s="35"/>
    </row>
    <row r="23" spans="1:29" ht="15.6" thickTop="1" thickBot="1" x14ac:dyDescent="0.35">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29" x14ac:dyDescent="0.3">
      <c r="B24" s="38" t="s">
        <v>17</v>
      </c>
      <c r="C24" s="26"/>
      <c r="D24" s="26"/>
      <c r="E24" s="60">
        <v>6666</v>
      </c>
      <c r="F24" s="61">
        <v>7500</v>
      </c>
      <c r="G24" s="61">
        <v>7950</v>
      </c>
      <c r="H24" s="61">
        <v>8300</v>
      </c>
      <c r="I24" s="61">
        <v>8333</v>
      </c>
      <c r="J24" s="61">
        <v>6666</v>
      </c>
      <c r="K24" s="61">
        <v>4166</v>
      </c>
      <c r="L24" s="61">
        <v>833</v>
      </c>
      <c r="M24" s="61">
        <v>0</v>
      </c>
      <c r="N24" s="61">
        <v>0</v>
      </c>
      <c r="O24" s="61">
        <v>0</v>
      </c>
      <c r="P24" s="61">
        <v>0</v>
      </c>
      <c r="Q24" s="61">
        <v>0</v>
      </c>
      <c r="R24" s="61">
        <v>0</v>
      </c>
      <c r="S24" s="61">
        <v>0</v>
      </c>
      <c r="T24" s="61">
        <v>0</v>
      </c>
      <c r="U24" s="61">
        <v>0</v>
      </c>
      <c r="V24" s="61">
        <v>0</v>
      </c>
      <c r="W24" s="61">
        <v>0</v>
      </c>
      <c r="X24" s="61">
        <v>0</v>
      </c>
      <c r="Y24" s="61">
        <v>0</v>
      </c>
      <c r="Z24" s="61">
        <v>833</v>
      </c>
      <c r="AA24" s="61">
        <v>4166</v>
      </c>
      <c r="AB24" s="62">
        <v>5833</v>
      </c>
    </row>
    <row r="25" spans="1:29" ht="15" thickBot="1" x14ac:dyDescent="0.35">
      <c r="B25" s="39" t="s">
        <v>18</v>
      </c>
      <c r="C25" s="40"/>
      <c r="D25" s="40"/>
      <c r="E25" s="56">
        <f t="shared" ref="E25:AB25" si="10">E24/MAX($B$24:$P$24)</f>
        <v>0.79995199807992323</v>
      </c>
      <c r="F25" s="57">
        <f t="shared" si="10"/>
        <v>0.90003600144005758</v>
      </c>
      <c r="G25" s="57">
        <f t="shared" si="10"/>
        <v>0.95403816152646104</v>
      </c>
      <c r="H25" s="57">
        <f t="shared" si="10"/>
        <v>0.99603984159366377</v>
      </c>
      <c r="I25" s="57">
        <f t="shared" si="10"/>
        <v>1</v>
      </c>
      <c r="J25" s="57">
        <f t="shared" si="10"/>
        <v>0.79995199807992323</v>
      </c>
      <c r="K25" s="57">
        <f t="shared" si="10"/>
        <v>0.49993999759990398</v>
      </c>
      <c r="L25" s="57">
        <f t="shared" si="10"/>
        <v>9.9963998559942396E-2</v>
      </c>
      <c r="M25" s="57">
        <f t="shared" si="10"/>
        <v>0</v>
      </c>
      <c r="N25" s="57">
        <f t="shared" si="10"/>
        <v>0</v>
      </c>
      <c r="O25" s="57">
        <f t="shared" si="10"/>
        <v>0</v>
      </c>
      <c r="P25" s="57">
        <f t="shared" si="10"/>
        <v>0</v>
      </c>
      <c r="Q25" s="57">
        <f t="shared" si="10"/>
        <v>0</v>
      </c>
      <c r="R25" s="57">
        <f t="shared" si="10"/>
        <v>0</v>
      </c>
      <c r="S25" s="57">
        <f t="shared" si="10"/>
        <v>0</v>
      </c>
      <c r="T25" s="57">
        <f t="shared" si="10"/>
        <v>0</v>
      </c>
      <c r="U25" s="57">
        <f t="shared" si="10"/>
        <v>0</v>
      </c>
      <c r="V25" s="57">
        <f t="shared" si="10"/>
        <v>0</v>
      </c>
      <c r="W25" s="57">
        <f t="shared" si="10"/>
        <v>0</v>
      </c>
      <c r="X25" s="57">
        <f t="shared" si="10"/>
        <v>0</v>
      </c>
      <c r="Y25" s="57">
        <f t="shared" si="10"/>
        <v>0</v>
      </c>
      <c r="Z25" s="57">
        <f t="shared" si="10"/>
        <v>9.9963998559942396E-2</v>
      </c>
      <c r="AA25" s="57">
        <f t="shared" si="10"/>
        <v>0.49993999759990398</v>
      </c>
      <c r="AB25" s="58">
        <f t="shared" si="10"/>
        <v>0.69998799951998081</v>
      </c>
    </row>
  </sheetData>
  <mergeCells count="5">
    <mergeCell ref="B3:D3"/>
    <mergeCell ref="B4:D4"/>
    <mergeCell ref="A6:A12"/>
    <mergeCell ref="A14:A18"/>
    <mergeCell ref="AC14:AC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2F64-C035-468C-9464-4C90258011F2}">
  <dimension ref="A2:AD25"/>
  <sheetViews>
    <sheetView workbookViewId="0">
      <selection activeCell="C18" sqref="C18"/>
    </sheetView>
  </sheetViews>
  <sheetFormatPr defaultRowHeight="14.4" x14ac:dyDescent="0.3"/>
  <cols>
    <col min="1" max="1" width="17.109375" customWidth="1"/>
    <col min="2" max="2" width="34.5546875" customWidth="1"/>
    <col min="3" max="3" width="14.109375" style="2" customWidth="1"/>
    <col min="4" max="4" width="8.88671875" style="2"/>
    <col min="5" max="5" width="7.21875" bestFit="1" customWidth="1"/>
    <col min="6" max="6" width="6.21875" bestFit="1" customWidth="1"/>
    <col min="7" max="14" width="6.5546875" bestFit="1" customWidth="1"/>
    <col min="15" max="15" width="5.5546875" bestFit="1" customWidth="1"/>
    <col min="16" max="28" width="7.21875" bestFit="1" customWidth="1"/>
    <col min="29" max="29" width="15" customWidth="1"/>
  </cols>
  <sheetData>
    <row r="2" spans="1:30" ht="15" thickBot="1" x14ac:dyDescent="0.35"/>
    <row r="3" spans="1:30"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30" ht="18.600000000000001" thickBot="1" x14ac:dyDescent="0.4">
      <c r="B4" s="221" t="s">
        <v>16</v>
      </c>
      <c r="C4" s="222"/>
      <c r="D4" s="222"/>
      <c r="E4" s="20">
        <v>58.7</v>
      </c>
      <c r="F4" s="20">
        <v>145.30000000000001</v>
      </c>
      <c r="G4" s="20">
        <v>212</v>
      </c>
      <c r="H4" s="20">
        <v>268.3</v>
      </c>
      <c r="I4" s="20">
        <v>304.5</v>
      </c>
      <c r="J4" s="20">
        <v>312.5</v>
      </c>
      <c r="K4" s="20">
        <v>283.2</v>
      </c>
      <c r="L4" s="20">
        <v>221.2</v>
      </c>
      <c r="M4" s="20">
        <v>188.1</v>
      </c>
      <c r="N4" s="20">
        <v>188.2</v>
      </c>
      <c r="O4" s="20">
        <v>88.2</v>
      </c>
      <c r="P4" s="20">
        <v>-71.7</v>
      </c>
      <c r="Q4" s="20">
        <v>-238.4</v>
      </c>
      <c r="R4" s="20">
        <v>-365.5</v>
      </c>
      <c r="S4" s="20">
        <v>-440.5</v>
      </c>
      <c r="T4" s="20">
        <v>-493.5</v>
      </c>
      <c r="U4" s="20">
        <v>-526.79999999999995</v>
      </c>
      <c r="V4" s="20">
        <v>-537</v>
      </c>
      <c r="W4" s="20">
        <v>-519.70000000000005</v>
      </c>
      <c r="X4" s="20">
        <v>-443.6</v>
      </c>
      <c r="Y4" s="20">
        <v>-360.3</v>
      </c>
      <c r="Z4" s="20">
        <v>-274.8</v>
      </c>
      <c r="AA4" s="20">
        <v>-151.4</v>
      </c>
      <c r="AB4" s="20">
        <v>-38.299999999999997</v>
      </c>
      <c r="AC4" s="27"/>
    </row>
    <row r="5" spans="1:30" s="25" customFormat="1" ht="15.6" thickBot="1" x14ac:dyDescent="0.35">
      <c r="B5" s="27"/>
      <c r="C5" s="27"/>
      <c r="D5" s="27" t="s">
        <v>22</v>
      </c>
      <c r="E5" s="43"/>
      <c r="F5" s="44"/>
      <c r="G5" s="44"/>
      <c r="H5" s="44"/>
      <c r="I5" s="44"/>
      <c r="J5" s="44"/>
      <c r="K5" s="44"/>
      <c r="L5" s="44"/>
      <c r="M5" s="44"/>
      <c r="N5" s="44"/>
      <c r="O5" s="44"/>
      <c r="P5" s="44"/>
      <c r="Q5" s="44"/>
      <c r="R5" s="44"/>
      <c r="S5" s="44"/>
      <c r="T5" s="44"/>
      <c r="U5" s="44"/>
      <c r="V5" s="44"/>
      <c r="W5" s="44"/>
      <c r="X5" s="44"/>
      <c r="Y5" s="44"/>
      <c r="Z5" s="44"/>
      <c r="AA5" s="44"/>
      <c r="AB5" s="47"/>
      <c r="AC5" s="27"/>
    </row>
    <row r="6" spans="1:30" s="25" customFormat="1" ht="15" x14ac:dyDescent="0.3">
      <c r="A6" s="223" t="s">
        <v>19</v>
      </c>
      <c r="B6" s="41" t="s">
        <v>23</v>
      </c>
      <c r="C6" s="26" t="s">
        <v>21</v>
      </c>
      <c r="D6" s="26">
        <v>0.5</v>
      </c>
      <c r="E6" s="45"/>
      <c r="F6" s="46"/>
      <c r="G6" s="46">
        <v>0.5</v>
      </c>
      <c r="H6" s="46">
        <v>0.5</v>
      </c>
      <c r="I6" s="46">
        <v>0.5</v>
      </c>
      <c r="J6" s="46">
        <v>0.5</v>
      </c>
      <c r="K6" s="46"/>
      <c r="L6" s="46"/>
      <c r="M6" s="46"/>
      <c r="N6" s="46"/>
      <c r="O6" s="46"/>
      <c r="P6" s="46"/>
      <c r="Q6" s="46"/>
      <c r="R6" s="46"/>
      <c r="S6" s="46"/>
      <c r="T6" s="46"/>
      <c r="U6" s="46"/>
      <c r="V6" s="46"/>
      <c r="W6" s="46"/>
      <c r="X6" s="46"/>
      <c r="Y6" s="46"/>
      <c r="Z6" s="46"/>
      <c r="AA6" s="46"/>
      <c r="AB6" s="47"/>
      <c r="AC6" s="27"/>
    </row>
    <row r="7" spans="1:30" x14ac:dyDescent="0.3">
      <c r="A7" s="224"/>
      <c r="B7" s="36" t="s">
        <v>24</v>
      </c>
      <c r="C7" s="27" t="s">
        <v>20</v>
      </c>
      <c r="D7" s="27">
        <v>25</v>
      </c>
      <c r="E7" s="48">
        <f t="shared" ref="E7:AB7" si="0">+$D7*E25</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35"/>
    </row>
    <row r="8" spans="1:30"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168"/>
      <c r="AD8" s="171"/>
    </row>
    <row r="9" spans="1:30" x14ac:dyDescent="0.3">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6"/>
      <c r="AD9" s="171"/>
    </row>
    <row r="10" spans="1:30" x14ac:dyDescent="0.3">
      <c r="A10" s="224"/>
      <c r="B10" s="36" t="s">
        <v>25</v>
      </c>
      <c r="C10" s="27"/>
      <c r="D10" s="27">
        <v>18.100000000000001</v>
      </c>
      <c r="E10" s="54"/>
      <c r="F10" s="55"/>
      <c r="H10" s="59"/>
      <c r="I10" s="59">
        <v>18.100000000000001</v>
      </c>
      <c r="J10" s="59">
        <v>18.100000000000001</v>
      </c>
      <c r="K10" s="59">
        <v>18.100000000000001</v>
      </c>
      <c r="L10" s="59">
        <v>18.100000000000001</v>
      </c>
      <c r="M10" s="59">
        <v>18.100000000000001</v>
      </c>
      <c r="N10" s="55">
        <v>18.100000000000001</v>
      </c>
      <c r="O10" s="55"/>
      <c r="P10" s="55"/>
      <c r="Q10" s="55"/>
      <c r="R10" s="55"/>
      <c r="S10" s="55"/>
      <c r="T10" s="55"/>
      <c r="U10" s="55"/>
      <c r="V10" s="55"/>
      <c r="W10" s="55"/>
      <c r="X10" s="55"/>
      <c r="Y10" s="55"/>
      <c r="Z10" s="55"/>
      <c r="AA10" s="55"/>
      <c r="AB10" s="6"/>
      <c r="AC10" s="37"/>
    </row>
    <row r="11" spans="1:30"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30"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30" ht="15" thickBot="1" x14ac:dyDescent="0.35">
      <c r="A13" s="67"/>
      <c r="B13" s="36" t="s">
        <v>31</v>
      </c>
      <c r="C13" s="27"/>
      <c r="D13" s="27"/>
      <c r="E13" s="144">
        <f>E4-SUM(E6:E12)</f>
        <v>58.701200048001922</v>
      </c>
      <c r="F13" s="145">
        <f t="shared" ref="F13:AB13" si="1">F4-SUM(F6:F12)</f>
        <v>122.79909996399857</v>
      </c>
      <c r="G13" s="145">
        <f t="shared" si="1"/>
        <v>187.64904596183848</v>
      </c>
      <c r="H13" s="145">
        <f t="shared" si="1"/>
        <v>217.89900396015841</v>
      </c>
      <c r="I13" s="145">
        <f t="shared" si="1"/>
        <v>205.9</v>
      </c>
      <c r="J13" s="145">
        <f t="shared" si="1"/>
        <v>163.90120004800193</v>
      </c>
      <c r="K13" s="145">
        <f t="shared" si="1"/>
        <v>142.60150006000239</v>
      </c>
      <c r="L13" s="145">
        <f t="shared" si="1"/>
        <v>90.600900036001434</v>
      </c>
      <c r="M13" s="145">
        <f t="shared" si="1"/>
        <v>60</v>
      </c>
      <c r="N13" s="145">
        <f t="shared" si="1"/>
        <v>115.1</v>
      </c>
      <c r="O13" s="145">
        <f>O4-SUM(O6:O12)</f>
        <v>88.2</v>
      </c>
      <c r="P13" s="145">
        <f t="shared" si="1"/>
        <v>8.2999999999999972</v>
      </c>
      <c r="Q13" s="145">
        <f t="shared" si="1"/>
        <v>-128.30000000000001</v>
      </c>
      <c r="R13" s="145">
        <f t="shared" si="1"/>
        <v>-255.4</v>
      </c>
      <c r="S13" s="145">
        <f t="shared" si="1"/>
        <v>-330.4</v>
      </c>
      <c r="T13" s="145">
        <f t="shared" si="1"/>
        <v>-440.9</v>
      </c>
      <c r="U13" s="145">
        <f t="shared" si="1"/>
        <v>-496.69999999999993</v>
      </c>
      <c r="V13" s="145">
        <f t="shared" si="1"/>
        <v>-506.9</v>
      </c>
      <c r="W13" s="145">
        <f t="shared" si="1"/>
        <v>-519.70000000000005</v>
      </c>
      <c r="X13" s="145">
        <f t="shared" si="1"/>
        <v>-443.6</v>
      </c>
      <c r="Y13" s="145">
        <f t="shared" si="1"/>
        <v>-360.3</v>
      </c>
      <c r="Z13" s="145">
        <f t="shared" si="1"/>
        <v>-274.79909996399857</v>
      </c>
      <c r="AA13" s="145">
        <f t="shared" si="1"/>
        <v>-151.39849993999761</v>
      </c>
      <c r="AB13" s="146">
        <f t="shared" si="1"/>
        <v>-38.299699987999517</v>
      </c>
      <c r="AC13" s="37"/>
    </row>
    <row r="14" spans="1:30"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30" x14ac:dyDescent="0.3">
      <c r="A15" s="227"/>
      <c r="B15" s="3" t="s">
        <v>28</v>
      </c>
      <c r="C15" s="3" t="s">
        <v>20</v>
      </c>
      <c r="D15" s="93">
        <v>210</v>
      </c>
      <c r="E15" s="29">
        <f t="shared" ref="E15:AB15" si="2">$D15*E25</f>
        <v>167.98991959678389</v>
      </c>
      <c r="F15" s="30">
        <f t="shared" si="2"/>
        <v>189.00756030241209</v>
      </c>
      <c r="G15" s="30">
        <f t="shared" si="2"/>
        <v>200.34801392055681</v>
      </c>
      <c r="H15" s="30">
        <f t="shared" si="2"/>
        <v>209.16836673466941</v>
      </c>
      <c r="I15" s="30">
        <f t="shared" si="2"/>
        <v>210</v>
      </c>
      <c r="J15" s="30">
        <f t="shared" si="2"/>
        <v>167.98991959678389</v>
      </c>
      <c r="K15" s="30">
        <f t="shared" si="2"/>
        <v>104.98739949597984</v>
      </c>
      <c r="L15" s="30">
        <f t="shared" si="2"/>
        <v>20.992439697587905</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20.992439697587905</v>
      </c>
      <c r="AA15" s="30">
        <f t="shared" si="2"/>
        <v>104.98739949597984</v>
      </c>
      <c r="AB15" s="33">
        <f t="shared" si="2"/>
        <v>146.99747989919598</v>
      </c>
      <c r="AC15" s="230"/>
    </row>
    <row r="16" spans="1:30" hidden="1" x14ac:dyDescent="0.3">
      <c r="A16" s="227"/>
      <c r="B16" s="3"/>
      <c r="C16" s="3"/>
      <c r="D16" s="3"/>
      <c r="E16" s="73">
        <f>E13-E15</f>
        <v>-109.28871954878197</v>
      </c>
      <c r="F16" s="75">
        <f t="shared" ref="F16:AB16" si="3">F13-F15</f>
        <v>-66.208460338413516</v>
      </c>
      <c r="G16" s="75">
        <f t="shared" si="3"/>
        <v>-12.698967958718328</v>
      </c>
      <c r="H16" s="75">
        <f t="shared" si="3"/>
        <v>8.730637225489005</v>
      </c>
      <c r="I16" s="75">
        <f t="shared" si="3"/>
        <v>-4.0999999999999943</v>
      </c>
      <c r="J16" s="75">
        <f t="shared" si="3"/>
        <v>-4.0887195487819668</v>
      </c>
      <c r="K16" s="75">
        <f t="shared" si="3"/>
        <v>37.61410056402255</v>
      </c>
      <c r="L16" s="75">
        <f t="shared" si="3"/>
        <v>69.608460338413522</v>
      </c>
      <c r="M16" s="75">
        <f t="shared" si="3"/>
        <v>60</v>
      </c>
      <c r="N16" s="75">
        <f t="shared" si="3"/>
        <v>115.1</v>
      </c>
      <c r="O16" s="75">
        <f t="shared" si="3"/>
        <v>88.2</v>
      </c>
      <c r="P16" s="75">
        <f t="shared" si="3"/>
        <v>8.2999999999999972</v>
      </c>
      <c r="Q16" s="75">
        <f t="shared" si="3"/>
        <v>-128.30000000000001</v>
      </c>
      <c r="R16" s="75">
        <f t="shared" si="3"/>
        <v>-255.4</v>
      </c>
      <c r="S16" s="75">
        <f t="shared" si="3"/>
        <v>-330.4</v>
      </c>
      <c r="T16" s="75">
        <f t="shared" si="3"/>
        <v>-440.9</v>
      </c>
      <c r="U16" s="75">
        <f t="shared" si="3"/>
        <v>-496.69999999999993</v>
      </c>
      <c r="V16" s="75">
        <f t="shared" si="3"/>
        <v>-506.9</v>
      </c>
      <c r="W16" s="75">
        <f t="shared" si="3"/>
        <v>-519.70000000000005</v>
      </c>
      <c r="X16" s="75">
        <f t="shared" si="3"/>
        <v>-443.6</v>
      </c>
      <c r="Y16" s="75">
        <f t="shared" si="3"/>
        <v>-360.3</v>
      </c>
      <c r="Z16" s="75">
        <f t="shared" si="3"/>
        <v>-295.79153966158646</v>
      </c>
      <c r="AA16" s="75">
        <f t="shared" si="3"/>
        <v>-256.38589943597742</v>
      </c>
      <c r="AB16" s="76">
        <f t="shared" si="3"/>
        <v>-185.29717988719551</v>
      </c>
      <c r="AC16" s="72"/>
    </row>
    <row r="17" spans="1:29" x14ac:dyDescent="0.3">
      <c r="A17" s="227"/>
      <c r="B17" s="27"/>
      <c r="C17" s="27" t="s">
        <v>34</v>
      </c>
      <c r="D17" s="3">
        <f>CEILING(MAX(E17:AB17),5)</f>
        <v>135</v>
      </c>
      <c r="E17" s="29">
        <f t="shared" ref="E17:F17" si="4">IF(E21&gt;-15,E21+15,0)</f>
        <v>0</v>
      </c>
      <c r="F17" s="30">
        <f t="shared" si="4"/>
        <v>0</v>
      </c>
      <c r="G17" s="30">
        <f>IF(G21&gt;-15,G21+15,0)</f>
        <v>2.3010320412816725</v>
      </c>
      <c r="H17" s="30">
        <f t="shared" ref="H17:AA17" si="5">IF(H21&gt;-15,H21+15,0)</f>
        <v>23.730637225489033</v>
      </c>
      <c r="I17" s="30">
        <f t="shared" si="5"/>
        <v>10.899999999999977</v>
      </c>
      <c r="J17" s="30">
        <f t="shared" si="5"/>
        <v>10.911280451218033</v>
      </c>
      <c r="K17" s="30">
        <f t="shared" si="5"/>
        <v>52.61410056402255</v>
      </c>
      <c r="L17" s="30">
        <f t="shared" si="5"/>
        <v>84.608460338413522</v>
      </c>
      <c r="M17" s="30">
        <f t="shared" si="5"/>
        <v>75</v>
      </c>
      <c r="N17" s="30">
        <f t="shared" si="5"/>
        <v>130.1</v>
      </c>
      <c r="O17" s="30">
        <f t="shared" si="5"/>
        <v>103.2</v>
      </c>
      <c r="P17" s="30">
        <f t="shared" si="5"/>
        <v>23.299999999999997</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92">
        <f>SUMIF(E17:AB17,"&gt;0",E17:AB17)</f>
        <v>516.66551062042481</v>
      </c>
    </row>
    <row r="18" spans="1:29" ht="15" thickBot="1" x14ac:dyDescent="0.35">
      <c r="A18" s="228"/>
      <c r="B18" s="70"/>
      <c r="C18" s="70" t="s">
        <v>95</v>
      </c>
      <c r="D18" s="71"/>
      <c r="E18" s="28">
        <f>IF(E21&lt;-15,MAX(-E15,E21+15),0)</f>
        <v>-94.28871954878197</v>
      </c>
      <c r="F18" s="31">
        <f t="shared" ref="F18" si="6">IF(F21&lt;-15,MAX(-F15,F21+15),0)</f>
        <v>-51.208460338413516</v>
      </c>
      <c r="G18" s="31">
        <f>IF(G21&lt;-15,MAX(-G15,G21+15),0)</f>
        <v>0</v>
      </c>
      <c r="H18" s="31">
        <f t="shared" ref="H18:AB18" si="7">IF(H21&lt;-15,MAX(-H15,H21+15),0)</f>
        <v>0</v>
      </c>
      <c r="I18" s="31">
        <f t="shared" si="7"/>
        <v>0</v>
      </c>
      <c r="J18" s="31">
        <f t="shared" si="7"/>
        <v>0</v>
      </c>
      <c r="K18" s="31">
        <f t="shared" si="7"/>
        <v>0</v>
      </c>
      <c r="L18" s="31">
        <f t="shared" si="7"/>
        <v>0</v>
      </c>
      <c r="M18" s="31">
        <f t="shared" si="7"/>
        <v>0</v>
      </c>
      <c r="N18" s="31">
        <f t="shared" si="7"/>
        <v>0</v>
      </c>
      <c r="O18" s="31">
        <f t="shared" si="7"/>
        <v>0</v>
      </c>
      <c r="P18" s="31">
        <f t="shared" si="7"/>
        <v>0</v>
      </c>
      <c r="Q18" s="31">
        <f t="shared" si="7"/>
        <v>0</v>
      </c>
      <c r="R18" s="31">
        <f t="shared" si="7"/>
        <v>0</v>
      </c>
      <c r="S18" s="31">
        <f t="shared" si="7"/>
        <v>0</v>
      </c>
      <c r="T18" s="31">
        <f t="shared" si="7"/>
        <v>0</v>
      </c>
      <c r="U18" s="31">
        <f t="shared" si="7"/>
        <v>0</v>
      </c>
      <c r="V18" s="31">
        <f t="shared" si="7"/>
        <v>0</v>
      </c>
      <c r="W18" s="31">
        <f t="shared" si="7"/>
        <v>0</v>
      </c>
      <c r="X18" s="31">
        <f t="shared" si="7"/>
        <v>0</v>
      </c>
      <c r="Y18" s="31">
        <f t="shared" si="7"/>
        <v>0</v>
      </c>
      <c r="Z18" s="31">
        <f t="shared" si="7"/>
        <v>-20.992439697587905</v>
      </c>
      <c r="AA18" s="31">
        <f t="shared" si="7"/>
        <v>-104.98739949597984</v>
      </c>
      <c r="AB18" s="32">
        <f t="shared" si="7"/>
        <v>-146.99747989919598</v>
      </c>
      <c r="AC18" s="74">
        <f>SUMIF(E18:AB18,"&lt;0",E18:AB18)</f>
        <v>-418.47449897995926</v>
      </c>
    </row>
    <row r="19" spans="1:29"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29" x14ac:dyDescent="0.3">
      <c r="B20" s="35" t="s">
        <v>36</v>
      </c>
      <c r="C20" s="27"/>
      <c r="D20" s="27"/>
      <c r="E20" s="48">
        <f t="shared" ref="E20:AB20" si="8">SUM(E6:E12)+E15</f>
        <v>167.98871954878197</v>
      </c>
      <c r="F20" s="49">
        <f t="shared" si="8"/>
        <v>211.50846033841353</v>
      </c>
      <c r="G20" s="49">
        <f t="shared" si="8"/>
        <v>224.69896795871833</v>
      </c>
      <c r="H20" s="49">
        <f t="shared" si="8"/>
        <v>259.56936277451098</v>
      </c>
      <c r="I20" s="49">
        <f t="shared" si="8"/>
        <v>308.60000000000002</v>
      </c>
      <c r="J20" s="49">
        <f t="shared" si="8"/>
        <v>316.58871954878197</v>
      </c>
      <c r="K20" s="49">
        <f t="shared" si="8"/>
        <v>245.58589943597744</v>
      </c>
      <c r="L20" s="49">
        <f t="shared" si="8"/>
        <v>151.59153966158647</v>
      </c>
      <c r="M20" s="49">
        <f t="shared" si="8"/>
        <v>128.1</v>
      </c>
      <c r="N20" s="49">
        <f t="shared" si="8"/>
        <v>73.099999999999994</v>
      </c>
      <c r="O20" s="49">
        <f t="shared" si="8"/>
        <v>0</v>
      </c>
      <c r="P20" s="49">
        <f t="shared" si="8"/>
        <v>-80</v>
      </c>
      <c r="Q20" s="49">
        <f t="shared" si="8"/>
        <v>-110.1</v>
      </c>
      <c r="R20" s="49">
        <f t="shared" si="8"/>
        <v>-110.1</v>
      </c>
      <c r="S20" s="49">
        <f t="shared" si="8"/>
        <v>-110.1</v>
      </c>
      <c r="T20" s="49">
        <f t="shared" si="8"/>
        <v>-52.6</v>
      </c>
      <c r="U20" s="49">
        <f t="shared" si="8"/>
        <v>-30.1</v>
      </c>
      <c r="V20" s="49">
        <f t="shared" si="8"/>
        <v>-30.1</v>
      </c>
      <c r="W20" s="49">
        <f t="shared" si="8"/>
        <v>0</v>
      </c>
      <c r="X20" s="49">
        <f t="shared" si="8"/>
        <v>0</v>
      </c>
      <c r="Y20" s="49">
        <f t="shared" si="8"/>
        <v>0</v>
      </c>
      <c r="Z20" s="49">
        <f t="shared" si="8"/>
        <v>20.991539661586465</v>
      </c>
      <c r="AA20" s="49">
        <f t="shared" si="8"/>
        <v>104.98589943597744</v>
      </c>
      <c r="AB20" s="50">
        <f t="shared" si="8"/>
        <v>146.9971798871955</v>
      </c>
      <c r="AC20" s="35"/>
    </row>
    <row r="21" spans="1:29" s="14" customFormat="1" x14ac:dyDescent="0.3">
      <c r="B21" s="85" t="s">
        <v>37</v>
      </c>
      <c r="C21" s="116"/>
      <c r="D21" s="116"/>
      <c r="E21" s="117">
        <f t="shared" ref="E21:AB21" si="9">E4-E20</f>
        <v>-109.28871954878197</v>
      </c>
      <c r="F21" s="118">
        <f t="shared" si="9"/>
        <v>-66.208460338413516</v>
      </c>
      <c r="G21" s="118">
        <f t="shared" si="9"/>
        <v>-12.698967958718328</v>
      </c>
      <c r="H21" s="118">
        <f t="shared" si="9"/>
        <v>8.7306372254890334</v>
      </c>
      <c r="I21" s="118">
        <f t="shared" si="9"/>
        <v>-4.1000000000000227</v>
      </c>
      <c r="J21" s="118">
        <f t="shared" si="9"/>
        <v>-4.0887195487819668</v>
      </c>
      <c r="K21" s="118">
        <f t="shared" si="9"/>
        <v>37.61410056402255</v>
      </c>
      <c r="L21" s="118">
        <f t="shared" si="9"/>
        <v>69.608460338413522</v>
      </c>
      <c r="M21" s="118">
        <f t="shared" si="9"/>
        <v>60</v>
      </c>
      <c r="N21" s="118">
        <f t="shared" si="9"/>
        <v>115.1</v>
      </c>
      <c r="O21" s="118">
        <f t="shared" si="9"/>
        <v>88.2</v>
      </c>
      <c r="P21" s="118">
        <f t="shared" si="9"/>
        <v>8.2999999999999972</v>
      </c>
      <c r="Q21" s="118">
        <f t="shared" si="9"/>
        <v>-128.30000000000001</v>
      </c>
      <c r="R21" s="118">
        <f t="shared" si="9"/>
        <v>-255.4</v>
      </c>
      <c r="S21" s="118">
        <f t="shared" si="9"/>
        <v>-330.4</v>
      </c>
      <c r="T21" s="118">
        <f t="shared" si="9"/>
        <v>-440.9</v>
      </c>
      <c r="U21" s="118">
        <f t="shared" si="9"/>
        <v>-496.69999999999993</v>
      </c>
      <c r="V21" s="118">
        <f t="shared" si="9"/>
        <v>-506.9</v>
      </c>
      <c r="W21" s="118">
        <f t="shared" si="9"/>
        <v>-519.70000000000005</v>
      </c>
      <c r="X21" s="118">
        <f t="shared" si="9"/>
        <v>-443.6</v>
      </c>
      <c r="Y21" s="118">
        <f t="shared" si="9"/>
        <v>-360.3</v>
      </c>
      <c r="Z21" s="118">
        <f t="shared" si="9"/>
        <v>-295.79153966158646</v>
      </c>
      <c r="AA21" s="118">
        <f t="shared" si="9"/>
        <v>-256.38589943597742</v>
      </c>
      <c r="AB21" s="119">
        <f t="shared" si="9"/>
        <v>-185.29717988719551</v>
      </c>
      <c r="AC21" s="17"/>
    </row>
    <row r="22" spans="1:29" s="127" customFormat="1" ht="15" thickBot="1" x14ac:dyDescent="0.35">
      <c r="B22" s="120" t="s">
        <v>29</v>
      </c>
      <c r="C22" s="121"/>
      <c r="D22" s="121"/>
      <c r="E22" s="122">
        <f t="shared" ref="E22:AB22" si="10">E21-E17+E18</f>
        <v>-203.57743909756394</v>
      </c>
      <c r="F22" s="123">
        <f t="shared" si="10"/>
        <v>-117.41692067682703</v>
      </c>
      <c r="G22" s="123">
        <f t="shared" si="10"/>
        <v>-15</v>
      </c>
      <c r="H22" s="123">
        <f t="shared" si="10"/>
        <v>-15</v>
      </c>
      <c r="I22" s="123">
        <f t="shared" si="10"/>
        <v>-15</v>
      </c>
      <c r="J22" s="123">
        <f t="shared" si="10"/>
        <v>-15</v>
      </c>
      <c r="K22" s="123">
        <f t="shared" si="10"/>
        <v>-15</v>
      </c>
      <c r="L22" s="123">
        <f t="shared" si="10"/>
        <v>-15</v>
      </c>
      <c r="M22" s="123">
        <f t="shared" si="10"/>
        <v>-15</v>
      </c>
      <c r="N22" s="123">
        <f t="shared" si="10"/>
        <v>-15</v>
      </c>
      <c r="O22" s="123">
        <f t="shared" si="10"/>
        <v>-15</v>
      </c>
      <c r="P22" s="123">
        <f t="shared" si="10"/>
        <v>-15</v>
      </c>
      <c r="Q22" s="123">
        <f t="shared" si="10"/>
        <v>-128.30000000000001</v>
      </c>
      <c r="R22" s="123">
        <f t="shared" si="10"/>
        <v>-255.4</v>
      </c>
      <c r="S22" s="123">
        <f t="shared" si="10"/>
        <v>-330.4</v>
      </c>
      <c r="T22" s="123">
        <f t="shared" si="10"/>
        <v>-440.9</v>
      </c>
      <c r="U22" s="123">
        <f t="shared" si="10"/>
        <v>-496.69999999999993</v>
      </c>
      <c r="V22" s="123">
        <f t="shared" si="10"/>
        <v>-506.9</v>
      </c>
      <c r="W22" s="123">
        <f t="shared" si="10"/>
        <v>-519.70000000000005</v>
      </c>
      <c r="X22" s="123">
        <f t="shared" si="10"/>
        <v>-443.6</v>
      </c>
      <c r="Y22" s="123">
        <f t="shared" si="10"/>
        <v>-360.3</v>
      </c>
      <c r="Z22" s="123">
        <f t="shared" si="10"/>
        <v>-316.78397935917434</v>
      </c>
      <c r="AA22" s="123">
        <f t="shared" si="10"/>
        <v>-361.37329893195727</v>
      </c>
      <c r="AB22" s="124">
        <f t="shared" si="10"/>
        <v>-332.29465978639149</v>
      </c>
      <c r="AC22" s="128"/>
    </row>
    <row r="23" spans="1:29" ht="15.6" thickTop="1" thickBot="1" x14ac:dyDescent="0.35">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29" x14ac:dyDescent="0.3">
      <c r="B24" s="38" t="s">
        <v>17</v>
      </c>
      <c r="C24" s="26"/>
      <c r="D24" s="26"/>
      <c r="E24" s="60">
        <v>6666</v>
      </c>
      <c r="F24" s="61">
        <v>7500</v>
      </c>
      <c r="G24" s="61">
        <v>7950</v>
      </c>
      <c r="H24" s="61">
        <v>8300</v>
      </c>
      <c r="I24" s="61">
        <v>8333</v>
      </c>
      <c r="J24" s="61">
        <v>6666</v>
      </c>
      <c r="K24" s="61">
        <v>4166</v>
      </c>
      <c r="L24" s="61">
        <v>833</v>
      </c>
      <c r="M24" s="61">
        <v>0</v>
      </c>
      <c r="N24" s="61">
        <v>0</v>
      </c>
      <c r="O24" s="61">
        <v>0</v>
      </c>
      <c r="P24" s="61">
        <v>0</v>
      </c>
      <c r="Q24" s="61">
        <v>0</v>
      </c>
      <c r="R24" s="61">
        <v>0</v>
      </c>
      <c r="S24" s="61">
        <v>0</v>
      </c>
      <c r="T24" s="61">
        <v>0</v>
      </c>
      <c r="U24" s="61">
        <v>0</v>
      </c>
      <c r="V24" s="61">
        <v>0</v>
      </c>
      <c r="W24" s="61">
        <v>0</v>
      </c>
      <c r="X24" s="61">
        <v>0</v>
      </c>
      <c r="Y24" s="61">
        <v>0</v>
      </c>
      <c r="Z24" s="61">
        <v>833</v>
      </c>
      <c r="AA24" s="61">
        <v>4166</v>
      </c>
      <c r="AB24" s="62">
        <v>5833</v>
      </c>
    </row>
    <row r="25" spans="1:29" ht="15" thickBot="1" x14ac:dyDescent="0.35">
      <c r="B25" s="39" t="s">
        <v>18</v>
      </c>
      <c r="C25" s="40"/>
      <c r="D25" s="40"/>
      <c r="E25" s="56">
        <f t="shared" ref="E25:AB25" si="11">E24/MAX($B$24:$P$24)</f>
        <v>0.79995199807992323</v>
      </c>
      <c r="F25" s="57">
        <f t="shared" si="11"/>
        <v>0.90003600144005758</v>
      </c>
      <c r="G25" s="57">
        <f t="shared" si="11"/>
        <v>0.95403816152646104</v>
      </c>
      <c r="H25" s="57">
        <f t="shared" si="11"/>
        <v>0.99603984159366377</v>
      </c>
      <c r="I25" s="57">
        <f t="shared" si="11"/>
        <v>1</v>
      </c>
      <c r="J25" s="57">
        <f t="shared" si="11"/>
        <v>0.79995199807992323</v>
      </c>
      <c r="K25" s="57">
        <f t="shared" si="11"/>
        <v>0.49993999759990398</v>
      </c>
      <c r="L25" s="57">
        <f t="shared" si="11"/>
        <v>9.9963998559942396E-2</v>
      </c>
      <c r="M25" s="57">
        <f t="shared" si="11"/>
        <v>0</v>
      </c>
      <c r="N25" s="57">
        <f t="shared" si="11"/>
        <v>0</v>
      </c>
      <c r="O25" s="57">
        <f t="shared" si="11"/>
        <v>0</v>
      </c>
      <c r="P25" s="57">
        <f t="shared" si="11"/>
        <v>0</v>
      </c>
      <c r="Q25" s="57">
        <f t="shared" si="11"/>
        <v>0</v>
      </c>
      <c r="R25" s="57">
        <f t="shared" si="11"/>
        <v>0</v>
      </c>
      <c r="S25" s="57">
        <f t="shared" si="11"/>
        <v>0</v>
      </c>
      <c r="T25" s="57">
        <f t="shared" si="11"/>
        <v>0</v>
      </c>
      <c r="U25" s="57">
        <f t="shared" si="11"/>
        <v>0</v>
      </c>
      <c r="V25" s="57">
        <f t="shared" si="11"/>
        <v>0</v>
      </c>
      <c r="W25" s="57">
        <f t="shared" si="11"/>
        <v>0</v>
      </c>
      <c r="X25" s="57">
        <f t="shared" si="11"/>
        <v>0</v>
      </c>
      <c r="Y25" s="57">
        <f t="shared" si="11"/>
        <v>0</v>
      </c>
      <c r="Z25" s="57">
        <f t="shared" si="11"/>
        <v>9.9963998559942396E-2</v>
      </c>
      <c r="AA25" s="57">
        <f t="shared" si="11"/>
        <v>0.49993999759990398</v>
      </c>
      <c r="AB25" s="58">
        <f t="shared" si="11"/>
        <v>0.69998799951998081</v>
      </c>
    </row>
  </sheetData>
  <mergeCells count="5">
    <mergeCell ref="B3:D3"/>
    <mergeCell ref="B4:D4"/>
    <mergeCell ref="A6:A12"/>
    <mergeCell ref="A14:A18"/>
    <mergeCell ref="AC14:AC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636C-F82A-412A-8410-6B76AF37E1A2}">
  <dimension ref="A2:AD25"/>
  <sheetViews>
    <sheetView workbookViewId="0">
      <selection activeCell="D17" sqref="D17"/>
    </sheetView>
  </sheetViews>
  <sheetFormatPr defaultRowHeight="14.4" x14ac:dyDescent="0.3"/>
  <cols>
    <col min="1" max="1" width="17.109375" customWidth="1"/>
    <col min="2" max="2" width="34.5546875" customWidth="1"/>
    <col min="3" max="3" width="14.109375" style="2" customWidth="1"/>
    <col min="4" max="4" width="8.88671875" style="2"/>
    <col min="5" max="5" width="7.21875" bestFit="1" customWidth="1"/>
    <col min="6" max="6" width="6.21875" bestFit="1" customWidth="1"/>
    <col min="7" max="14" width="6.5546875" bestFit="1" customWidth="1"/>
    <col min="15" max="15" width="5.5546875" bestFit="1" customWidth="1"/>
    <col min="16" max="28" width="7.21875" bestFit="1" customWidth="1"/>
    <col min="29" max="29" width="15" customWidth="1"/>
  </cols>
  <sheetData>
    <row r="2" spans="1:30" ht="15" thickBot="1" x14ac:dyDescent="0.35"/>
    <row r="3" spans="1:30" ht="18" x14ac:dyDescent="0.35">
      <c r="B3" s="219" t="s">
        <v>0</v>
      </c>
      <c r="C3" s="220"/>
      <c r="D3" s="220"/>
      <c r="E3" s="64">
        <v>11</v>
      </c>
      <c r="F3" s="65">
        <v>12</v>
      </c>
      <c r="G3" s="65">
        <v>13</v>
      </c>
      <c r="H3" s="65">
        <v>14</v>
      </c>
      <c r="I3" s="65">
        <v>15</v>
      </c>
      <c r="J3" s="65">
        <v>16</v>
      </c>
      <c r="K3" s="65">
        <v>17</v>
      </c>
      <c r="L3" s="65">
        <v>18</v>
      </c>
      <c r="M3" s="65">
        <v>19</v>
      </c>
      <c r="N3" s="65">
        <v>20</v>
      </c>
      <c r="O3" s="65">
        <v>21</v>
      </c>
      <c r="P3" s="65">
        <v>22</v>
      </c>
      <c r="Q3" s="65">
        <v>23</v>
      </c>
      <c r="R3" s="65">
        <v>24</v>
      </c>
      <c r="S3" s="65">
        <v>1</v>
      </c>
      <c r="T3" s="65">
        <v>2</v>
      </c>
      <c r="U3" s="65">
        <v>3</v>
      </c>
      <c r="V3" s="65">
        <v>4</v>
      </c>
      <c r="W3" s="65">
        <v>5</v>
      </c>
      <c r="X3" s="65">
        <v>6</v>
      </c>
      <c r="Y3" s="65">
        <v>7</v>
      </c>
      <c r="Z3" s="65">
        <v>8</v>
      </c>
      <c r="AA3" s="65">
        <v>9</v>
      </c>
      <c r="AB3" s="66">
        <v>10</v>
      </c>
      <c r="AC3" s="35"/>
    </row>
    <row r="4" spans="1:30" ht="18.600000000000001" thickBot="1" x14ac:dyDescent="0.4">
      <c r="B4" s="221" t="s">
        <v>16</v>
      </c>
      <c r="C4" s="222"/>
      <c r="D4" s="222"/>
      <c r="E4" s="138">
        <v>49.3</v>
      </c>
      <c r="F4" s="139">
        <v>130.5</v>
      </c>
      <c r="G4" s="139">
        <v>205.7</v>
      </c>
      <c r="H4" s="139">
        <v>253.8</v>
      </c>
      <c r="I4" s="139">
        <v>287.5</v>
      </c>
      <c r="J4" s="139">
        <v>312.5</v>
      </c>
      <c r="K4" s="139">
        <v>313.5</v>
      </c>
      <c r="L4" s="139">
        <v>240</v>
      </c>
      <c r="M4" s="139">
        <v>173.6</v>
      </c>
      <c r="N4" s="139">
        <v>185</v>
      </c>
      <c r="O4" s="139">
        <v>102.1</v>
      </c>
      <c r="P4" s="139">
        <v>-45.5</v>
      </c>
      <c r="Q4" s="139">
        <v>-245</v>
      </c>
      <c r="R4" s="139">
        <v>-337</v>
      </c>
      <c r="S4" s="139">
        <v>-420.6</v>
      </c>
      <c r="T4" s="139">
        <v>-475</v>
      </c>
      <c r="U4" s="139">
        <v>-508.1</v>
      </c>
      <c r="V4" s="139">
        <v>-525.4</v>
      </c>
      <c r="W4" s="139">
        <v>-508.1</v>
      </c>
      <c r="X4" s="139">
        <v>-435.8</v>
      </c>
      <c r="Y4" s="139">
        <v>-345.2</v>
      </c>
      <c r="Z4" s="139">
        <v>-251.3</v>
      </c>
      <c r="AA4" s="139">
        <v>-160.6</v>
      </c>
      <c r="AB4" s="140">
        <v>-67.2</v>
      </c>
      <c r="AC4" s="27"/>
    </row>
    <row r="5" spans="1:30" s="25" customFormat="1" ht="15.6" thickTop="1" thickBot="1" x14ac:dyDescent="0.35">
      <c r="B5" s="27"/>
      <c r="C5" s="27"/>
      <c r="D5" s="27" t="s">
        <v>22</v>
      </c>
      <c r="E5" s="134"/>
      <c r="F5" s="134"/>
      <c r="G5" s="134"/>
      <c r="H5" s="134"/>
      <c r="I5" s="134"/>
      <c r="J5" s="134"/>
      <c r="K5" s="134"/>
      <c r="L5" s="134"/>
      <c r="M5" s="134"/>
      <c r="N5" s="134"/>
      <c r="O5" s="134"/>
      <c r="P5" s="134"/>
      <c r="Q5" s="134"/>
      <c r="R5" s="134"/>
      <c r="S5" s="134"/>
      <c r="T5" s="134"/>
      <c r="U5" s="134"/>
      <c r="V5" s="134"/>
      <c r="W5" s="134"/>
      <c r="X5" s="134"/>
      <c r="Y5" s="134"/>
      <c r="Z5" s="134"/>
      <c r="AA5" s="134"/>
      <c r="AB5" s="134"/>
      <c r="AC5" s="27"/>
    </row>
    <row r="6" spans="1:30" s="25" customFormat="1" x14ac:dyDescent="0.3">
      <c r="A6" s="223" t="s">
        <v>19</v>
      </c>
      <c r="B6" s="41" t="s">
        <v>23</v>
      </c>
      <c r="C6" s="26" t="s">
        <v>21</v>
      </c>
      <c r="D6" s="26">
        <v>0.5</v>
      </c>
      <c r="E6" s="135"/>
      <c r="F6" s="136"/>
      <c r="G6" s="136">
        <v>0.5</v>
      </c>
      <c r="H6" s="136">
        <v>0.5</v>
      </c>
      <c r="I6" s="136">
        <v>0.5</v>
      </c>
      <c r="J6" s="136">
        <v>0.5</v>
      </c>
      <c r="K6" s="136"/>
      <c r="L6" s="136"/>
      <c r="M6" s="136"/>
      <c r="N6" s="136"/>
      <c r="O6" s="136"/>
      <c r="P6" s="136"/>
      <c r="Q6" s="136"/>
      <c r="R6" s="136"/>
      <c r="S6" s="136"/>
      <c r="T6" s="136"/>
      <c r="U6" s="136"/>
      <c r="V6" s="136"/>
      <c r="W6" s="136"/>
      <c r="X6" s="136"/>
      <c r="Y6" s="136"/>
      <c r="Z6" s="136"/>
      <c r="AA6" s="136"/>
      <c r="AB6" s="137"/>
      <c r="AC6" s="27"/>
    </row>
    <row r="7" spans="1:30" x14ac:dyDescent="0.3">
      <c r="A7" s="224"/>
      <c r="B7" s="36" t="s">
        <v>24</v>
      </c>
      <c r="C7" s="27" t="s">
        <v>20</v>
      </c>
      <c r="D7" s="27">
        <v>25</v>
      </c>
      <c r="E7" s="48">
        <f t="shared" ref="E7:AB7" si="0">+$D7*E25</f>
        <v>19.99879995199808</v>
      </c>
      <c r="F7" s="49">
        <f t="shared" si="0"/>
        <v>22.50090003600144</v>
      </c>
      <c r="G7" s="49">
        <f t="shared" si="0"/>
        <v>23.850954038161525</v>
      </c>
      <c r="H7" s="49">
        <f t="shared" si="0"/>
        <v>24.900996039841594</v>
      </c>
      <c r="I7" s="49">
        <f t="shared" si="0"/>
        <v>25</v>
      </c>
      <c r="J7" s="49">
        <f t="shared" si="0"/>
        <v>19.99879995199808</v>
      </c>
      <c r="K7" s="49">
        <f t="shared" si="0"/>
        <v>12.4984999399976</v>
      </c>
      <c r="L7" s="49">
        <f t="shared" si="0"/>
        <v>2.4990999639985598</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2.4990999639985598</v>
      </c>
      <c r="AA7" s="49">
        <f t="shared" si="0"/>
        <v>12.4984999399976</v>
      </c>
      <c r="AB7" s="50">
        <f t="shared" si="0"/>
        <v>17.49969998799952</v>
      </c>
      <c r="AC7" s="170"/>
      <c r="AD7" s="171"/>
    </row>
    <row r="8" spans="1:30" x14ac:dyDescent="0.3">
      <c r="A8" s="224"/>
      <c r="B8" s="36" t="s">
        <v>24</v>
      </c>
      <c r="C8" s="27" t="s">
        <v>34</v>
      </c>
      <c r="D8" s="27">
        <v>25</v>
      </c>
      <c r="E8" s="51"/>
      <c r="F8" s="52"/>
      <c r="G8" s="59"/>
      <c r="H8" s="52">
        <v>25</v>
      </c>
      <c r="I8" s="52">
        <v>25</v>
      </c>
      <c r="J8" s="59"/>
      <c r="K8" s="52"/>
      <c r="L8" s="59"/>
      <c r="M8" s="52"/>
      <c r="N8" s="52">
        <v>25</v>
      </c>
      <c r="O8" s="52"/>
      <c r="P8" s="52"/>
      <c r="Q8" s="52"/>
      <c r="R8" s="52"/>
      <c r="S8" s="52"/>
      <c r="T8" s="52"/>
      <c r="U8" s="52"/>
      <c r="V8" s="52"/>
      <c r="W8" s="52"/>
      <c r="X8" s="52"/>
      <c r="Y8" s="52"/>
      <c r="Z8" s="52"/>
      <c r="AA8" s="52"/>
      <c r="AB8" s="53"/>
      <c r="AC8" s="168"/>
      <c r="AD8" s="171"/>
    </row>
    <row r="9" spans="1:30" x14ac:dyDescent="0.3">
      <c r="A9" s="224"/>
      <c r="B9" s="36"/>
      <c r="C9" s="3" t="s">
        <v>35</v>
      </c>
      <c r="D9" s="27"/>
      <c r="E9" s="51">
        <v>-20</v>
      </c>
      <c r="F9" s="52"/>
      <c r="G9" s="59"/>
      <c r="H9" s="52"/>
      <c r="I9" s="52"/>
      <c r="J9" s="59"/>
      <c r="K9" s="52"/>
      <c r="L9" s="59"/>
      <c r="M9" s="52"/>
      <c r="N9" s="52"/>
      <c r="O9" s="52"/>
      <c r="P9" s="52"/>
      <c r="Q9" s="52"/>
      <c r="R9" s="52"/>
      <c r="S9" s="52"/>
      <c r="T9" s="52">
        <v>-22.5</v>
      </c>
      <c r="U9" s="52"/>
      <c r="V9" s="52"/>
      <c r="W9" s="52"/>
      <c r="X9" s="52"/>
      <c r="Y9" s="52"/>
      <c r="Z9" s="52">
        <v>-2.5</v>
      </c>
      <c r="AA9" s="52">
        <v>-12.5</v>
      </c>
      <c r="AB9" s="53">
        <v>-17.5</v>
      </c>
      <c r="AC9" s="86"/>
      <c r="AD9" s="171"/>
    </row>
    <row r="10" spans="1:30" x14ac:dyDescent="0.3">
      <c r="A10" s="224"/>
      <c r="B10" s="36" t="s">
        <v>25</v>
      </c>
      <c r="C10" s="27"/>
      <c r="D10" s="27">
        <v>18.100000000000001</v>
      </c>
      <c r="E10" s="54"/>
      <c r="F10" s="55"/>
      <c r="H10" s="59"/>
      <c r="I10" s="59">
        <v>18.100000000000001</v>
      </c>
      <c r="J10" s="59">
        <v>18.100000000000001</v>
      </c>
      <c r="K10" s="59">
        <v>18.100000000000001</v>
      </c>
      <c r="L10" s="59">
        <v>18.100000000000001</v>
      </c>
      <c r="M10" s="59">
        <v>18.100000000000001</v>
      </c>
      <c r="N10" s="55">
        <v>18.100000000000001</v>
      </c>
      <c r="O10" s="55"/>
      <c r="P10" s="55"/>
      <c r="Q10" s="55"/>
      <c r="R10" s="55"/>
      <c r="S10" s="55"/>
      <c r="T10" s="55"/>
      <c r="U10" s="55"/>
      <c r="V10" s="55"/>
      <c r="W10" s="55"/>
      <c r="X10" s="55"/>
      <c r="Y10" s="55"/>
      <c r="Z10" s="55"/>
      <c r="AA10" s="55"/>
      <c r="AB10" s="6"/>
      <c r="AC10" s="37"/>
    </row>
    <row r="11" spans="1:30" x14ac:dyDescent="0.3">
      <c r="A11" s="224"/>
      <c r="B11" s="36" t="s">
        <v>26</v>
      </c>
      <c r="C11" s="27"/>
      <c r="D11" s="27">
        <v>80</v>
      </c>
      <c r="E11" s="54"/>
      <c r="F11" s="55"/>
      <c r="G11" s="55"/>
      <c r="H11" s="59"/>
      <c r="I11" s="59"/>
      <c r="J11" s="59">
        <v>80</v>
      </c>
      <c r="K11" s="59">
        <v>80</v>
      </c>
      <c r="L11" s="55">
        <v>80</v>
      </c>
      <c r="M11" s="55">
        <v>80</v>
      </c>
      <c r="N11" s="55"/>
      <c r="O11" s="55"/>
      <c r="P11" s="55">
        <v>-80</v>
      </c>
      <c r="Q11" s="55">
        <v>-80</v>
      </c>
      <c r="R11" s="55">
        <v>-80</v>
      </c>
      <c r="S11" s="55">
        <v>-80</v>
      </c>
      <c r="T11" s="55"/>
      <c r="U11" s="55"/>
      <c r="V11" s="55"/>
      <c r="W11" s="55"/>
      <c r="X11" s="55"/>
      <c r="Y11" s="55"/>
      <c r="Z11" s="55"/>
      <c r="AA11" s="55"/>
      <c r="AB11" s="6"/>
      <c r="AC11" s="37"/>
    </row>
    <row r="12" spans="1:30" ht="15" thickBot="1" x14ac:dyDescent="0.35">
      <c r="A12" s="225"/>
      <c r="B12" s="42" t="s">
        <v>27</v>
      </c>
      <c r="C12" s="40"/>
      <c r="D12" s="40">
        <v>30</v>
      </c>
      <c r="E12" s="56"/>
      <c r="F12" s="57"/>
      <c r="G12" s="57"/>
      <c r="H12" s="63"/>
      <c r="I12" s="63">
        <v>30</v>
      </c>
      <c r="J12" s="63">
        <v>30</v>
      </c>
      <c r="K12" s="63">
        <v>30</v>
      </c>
      <c r="L12" s="63">
        <v>30</v>
      </c>
      <c r="M12" s="63">
        <v>30</v>
      </c>
      <c r="N12" s="63">
        <v>30</v>
      </c>
      <c r="O12" s="57"/>
      <c r="P12" s="57"/>
      <c r="Q12" s="57">
        <v>-30.1</v>
      </c>
      <c r="R12" s="57">
        <v>-30.1</v>
      </c>
      <c r="S12" s="57">
        <v>-30.1</v>
      </c>
      <c r="T12" s="57">
        <v>-30.1</v>
      </c>
      <c r="U12" s="57">
        <v>-30.1</v>
      </c>
      <c r="V12" s="57">
        <v>-30.1</v>
      </c>
      <c r="W12" s="57"/>
      <c r="X12" s="57"/>
      <c r="Y12" s="57"/>
      <c r="Z12" s="57"/>
      <c r="AA12" s="57"/>
      <c r="AB12" s="58"/>
      <c r="AC12" s="37"/>
    </row>
    <row r="13" spans="1:30" ht="15" thickBot="1" x14ac:dyDescent="0.35">
      <c r="A13" s="67"/>
      <c r="B13" s="36" t="s">
        <v>31</v>
      </c>
      <c r="C13" s="27"/>
      <c r="D13" s="27"/>
      <c r="E13" s="144">
        <f>E4-SUM(E6:E12)</f>
        <v>49.301200048001917</v>
      </c>
      <c r="F13" s="145">
        <f t="shared" ref="F13:AB13" si="1">F4-SUM(F6:F12)</f>
        <v>107.99909996399856</v>
      </c>
      <c r="G13" s="145">
        <f t="shared" si="1"/>
        <v>181.34904596183847</v>
      </c>
      <c r="H13" s="145">
        <f t="shared" si="1"/>
        <v>203.39900396015841</v>
      </c>
      <c r="I13" s="145">
        <f t="shared" si="1"/>
        <v>188.9</v>
      </c>
      <c r="J13" s="145">
        <f t="shared" si="1"/>
        <v>163.90120004800193</v>
      </c>
      <c r="K13" s="145">
        <f t="shared" si="1"/>
        <v>172.90150006000241</v>
      </c>
      <c r="L13" s="145">
        <f t="shared" si="1"/>
        <v>109.40090003600145</v>
      </c>
      <c r="M13" s="145">
        <f t="shared" si="1"/>
        <v>45.5</v>
      </c>
      <c r="N13" s="145">
        <f t="shared" si="1"/>
        <v>111.9</v>
      </c>
      <c r="O13" s="145">
        <f>O4-SUM(O6:O12)</f>
        <v>102.1</v>
      </c>
      <c r="P13" s="145">
        <f t="shared" si="1"/>
        <v>34.5</v>
      </c>
      <c r="Q13" s="145">
        <f t="shared" si="1"/>
        <v>-134.9</v>
      </c>
      <c r="R13" s="145">
        <f t="shared" si="1"/>
        <v>-226.9</v>
      </c>
      <c r="S13" s="145">
        <f t="shared" si="1"/>
        <v>-310.5</v>
      </c>
      <c r="T13" s="145">
        <f t="shared" si="1"/>
        <v>-422.4</v>
      </c>
      <c r="U13" s="145">
        <f t="shared" si="1"/>
        <v>-478</v>
      </c>
      <c r="V13" s="145">
        <f t="shared" si="1"/>
        <v>-495.29999999999995</v>
      </c>
      <c r="W13" s="145">
        <f t="shared" si="1"/>
        <v>-508.1</v>
      </c>
      <c r="X13" s="145">
        <f t="shared" si="1"/>
        <v>-435.8</v>
      </c>
      <c r="Y13" s="145">
        <f t="shared" si="1"/>
        <v>-345.2</v>
      </c>
      <c r="Z13" s="145">
        <f t="shared" si="1"/>
        <v>-251.29909996399857</v>
      </c>
      <c r="AA13" s="145">
        <f t="shared" si="1"/>
        <v>-160.59849993999759</v>
      </c>
      <c r="AB13" s="146">
        <f t="shared" si="1"/>
        <v>-67.199699987999523</v>
      </c>
      <c r="AC13" s="37"/>
    </row>
    <row r="14" spans="1:30" ht="15" thickTop="1" x14ac:dyDescent="0.3">
      <c r="A14" s="226" t="s">
        <v>33</v>
      </c>
      <c r="B14" s="68"/>
      <c r="C14" s="24"/>
      <c r="D14" s="24"/>
      <c r="E14" s="5"/>
      <c r="F14" s="69"/>
      <c r="G14" s="69"/>
      <c r="H14" s="69"/>
      <c r="I14" s="69"/>
      <c r="J14" s="69"/>
      <c r="K14" s="69"/>
      <c r="L14" s="69"/>
      <c r="M14" s="69"/>
      <c r="N14" s="69"/>
      <c r="O14" s="69"/>
      <c r="P14" s="69"/>
      <c r="Q14" s="69"/>
      <c r="R14" s="69"/>
      <c r="S14" s="69"/>
      <c r="T14" s="69"/>
      <c r="U14" s="69"/>
      <c r="V14" s="69"/>
      <c r="W14" s="69"/>
      <c r="X14" s="69"/>
      <c r="Y14" s="69"/>
      <c r="Z14" s="69"/>
      <c r="AA14" s="69"/>
      <c r="AB14" s="1"/>
      <c r="AC14" s="229" t="s">
        <v>32</v>
      </c>
    </row>
    <row r="15" spans="1:30" x14ac:dyDescent="0.3">
      <c r="A15" s="227"/>
      <c r="B15" s="3" t="s">
        <v>28</v>
      </c>
      <c r="C15" s="3" t="s">
        <v>20</v>
      </c>
      <c r="D15" s="93">
        <v>200</v>
      </c>
      <c r="E15" s="29">
        <f t="shared" ref="E15:AB15" si="2">$D15*E25</f>
        <v>159.99039961598464</v>
      </c>
      <c r="F15" s="30">
        <f t="shared" si="2"/>
        <v>180.00720028801152</v>
      </c>
      <c r="G15" s="30">
        <f t="shared" si="2"/>
        <v>190.8076323052922</v>
      </c>
      <c r="H15" s="30">
        <f t="shared" si="2"/>
        <v>199.20796831873275</v>
      </c>
      <c r="I15" s="30">
        <f t="shared" si="2"/>
        <v>200</v>
      </c>
      <c r="J15" s="30">
        <f t="shared" si="2"/>
        <v>159.99039961598464</v>
      </c>
      <c r="K15" s="30">
        <f t="shared" si="2"/>
        <v>99.987999519980804</v>
      </c>
      <c r="L15" s="30">
        <f t="shared" si="2"/>
        <v>19.992799711988479</v>
      </c>
      <c r="M15" s="30">
        <f t="shared" si="2"/>
        <v>0</v>
      </c>
      <c r="N15" s="30">
        <f t="shared" si="2"/>
        <v>0</v>
      </c>
      <c r="O15" s="30">
        <f t="shared" si="2"/>
        <v>0</v>
      </c>
      <c r="P15" s="30">
        <f t="shared" si="2"/>
        <v>0</v>
      </c>
      <c r="Q15" s="30">
        <f t="shared" si="2"/>
        <v>0</v>
      </c>
      <c r="R15" s="30">
        <f t="shared" si="2"/>
        <v>0</v>
      </c>
      <c r="S15" s="30">
        <f t="shared" si="2"/>
        <v>0</v>
      </c>
      <c r="T15" s="30">
        <f t="shared" si="2"/>
        <v>0</v>
      </c>
      <c r="U15" s="30">
        <f t="shared" si="2"/>
        <v>0</v>
      </c>
      <c r="V15" s="30">
        <f t="shared" si="2"/>
        <v>0</v>
      </c>
      <c r="W15" s="30">
        <f t="shared" si="2"/>
        <v>0</v>
      </c>
      <c r="X15" s="30">
        <f t="shared" si="2"/>
        <v>0</v>
      </c>
      <c r="Y15" s="30">
        <f t="shared" si="2"/>
        <v>0</v>
      </c>
      <c r="Z15" s="30">
        <f t="shared" si="2"/>
        <v>19.992799711988479</v>
      </c>
      <c r="AA15" s="30">
        <f t="shared" si="2"/>
        <v>99.987999519980804</v>
      </c>
      <c r="AB15" s="33">
        <f t="shared" si="2"/>
        <v>139.99759990399616</v>
      </c>
      <c r="AC15" s="230"/>
    </row>
    <row r="16" spans="1:30" hidden="1" x14ac:dyDescent="0.3">
      <c r="A16" s="227"/>
      <c r="B16" s="3"/>
      <c r="C16" s="3"/>
      <c r="D16" s="3"/>
      <c r="E16" s="73">
        <f>E13-E15</f>
        <v>-110.68919956798273</v>
      </c>
      <c r="F16" s="75">
        <f t="shared" ref="F16:AB16" si="3">F13-F15</f>
        <v>-72.008100324012958</v>
      </c>
      <c r="G16" s="75">
        <f t="shared" si="3"/>
        <v>-9.4585863434537316</v>
      </c>
      <c r="H16" s="75">
        <f t="shared" si="3"/>
        <v>4.1910356414256569</v>
      </c>
      <c r="I16" s="75">
        <f t="shared" si="3"/>
        <v>-11.099999999999994</v>
      </c>
      <c r="J16" s="75">
        <f t="shared" si="3"/>
        <v>3.9108004320172824</v>
      </c>
      <c r="K16" s="75">
        <f t="shared" si="3"/>
        <v>72.913500540021602</v>
      </c>
      <c r="L16" s="75">
        <f t="shared" si="3"/>
        <v>89.408100324012963</v>
      </c>
      <c r="M16" s="75">
        <f t="shared" si="3"/>
        <v>45.5</v>
      </c>
      <c r="N16" s="75">
        <f t="shared" si="3"/>
        <v>111.9</v>
      </c>
      <c r="O16" s="75">
        <f t="shared" si="3"/>
        <v>102.1</v>
      </c>
      <c r="P16" s="75">
        <f t="shared" si="3"/>
        <v>34.5</v>
      </c>
      <c r="Q16" s="75">
        <f t="shared" si="3"/>
        <v>-134.9</v>
      </c>
      <c r="R16" s="75">
        <f t="shared" si="3"/>
        <v>-226.9</v>
      </c>
      <c r="S16" s="75">
        <f t="shared" si="3"/>
        <v>-310.5</v>
      </c>
      <c r="T16" s="75">
        <f t="shared" si="3"/>
        <v>-422.4</v>
      </c>
      <c r="U16" s="75">
        <f t="shared" si="3"/>
        <v>-478</v>
      </c>
      <c r="V16" s="75">
        <f t="shared" si="3"/>
        <v>-495.29999999999995</v>
      </c>
      <c r="W16" s="75">
        <f t="shared" si="3"/>
        <v>-508.1</v>
      </c>
      <c r="X16" s="75">
        <f t="shared" si="3"/>
        <v>-435.8</v>
      </c>
      <c r="Y16" s="75">
        <f t="shared" si="3"/>
        <v>-345.2</v>
      </c>
      <c r="Z16" s="75">
        <f t="shared" si="3"/>
        <v>-271.29189967598705</v>
      </c>
      <c r="AA16" s="75">
        <f t="shared" si="3"/>
        <v>-260.58649945997843</v>
      </c>
      <c r="AB16" s="76">
        <f t="shared" si="3"/>
        <v>-207.19729989199567</v>
      </c>
      <c r="AC16" s="72"/>
    </row>
    <row r="17" spans="1:30" x14ac:dyDescent="0.3">
      <c r="A17" s="227"/>
      <c r="B17" s="27"/>
      <c r="C17" s="27" t="s">
        <v>34</v>
      </c>
      <c r="D17" s="3">
        <f>CEILING(MAX(E17:AB17),5)</f>
        <v>130</v>
      </c>
      <c r="E17" s="29">
        <f t="shared" ref="E17:F17" si="4">IF(E21&gt;-15,E21+15,0)</f>
        <v>0</v>
      </c>
      <c r="F17" s="30">
        <f t="shared" si="4"/>
        <v>0</v>
      </c>
      <c r="G17" s="30">
        <f>IF(G21&gt;-15,G21+15,0)</f>
        <v>5.5414136565462684</v>
      </c>
      <c r="H17" s="30">
        <f t="shared" ref="H17:AA17" si="5">IF(H21&gt;-15,H21+15,0)</f>
        <v>19.191035641425657</v>
      </c>
      <c r="I17" s="30">
        <f t="shared" si="5"/>
        <v>3.8999999999999773</v>
      </c>
      <c r="J17" s="30">
        <f t="shared" si="5"/>
        <v>18.910800432017254</v>
      </c>
      <c r="K17" s="30">
        <f t="shared" si="5"/>
        <v>87.913500540021602</v>
      </c>
      <c r="L17" s="30">
        <f t="shared" si="5"/>
        <v>104.40810032401296</v>
      </c>
      <c r="M17" s="30">
        <f t="shared" si="5"/>
        <v>60.5</v>
      </c>
      <c r="N17" s="30">
        <f t="shared" si="5"/>
        <v>126.9</v>
      </c>
      <c r="O17" s="30">
        <f t="shared" si="5"/>
        <v>117.1</v>
      </c>
      <c r="P17" s="30">
        <f t="shared" si="5"/>
        <v>49.5</v>
      </c>
      <c r="Q17" s="30">
        <f t="shared" si="5"/>
        <v>0</v>
      </c>
      <c r="R17" s="30">
        <f t="shared" si="5"/>
        <v>0</v>
      </c>
      <c r="S17" s="30">
        <f t="shared" si="5"/>
        <v>0</v>
      </c>
      <c r="T17" s="30">
        <f t="shared" si="5"/>
        <v>0</v>
      </c>
      <c r="U17" s="30">
        <f t="shared" si="5"/>
        <v>0</v>
      </c>
      <c r="V17" s="30">
        <f t="shared" si="5"/>
        <v>0</v>
      </c>
      <c r="W17" s="30">
        <f t="shared" si="5"/>
        <v>0</v>
      </c>
      <c r="X17" s="30">
        <f t="shared" si="5"/>
        <v>0</v>
      </c>
      <c r="Y17" s="30">
        <f t="shared" si="5"/>
        <v>0</v>
      </c>
      <c r="Z17" s="30">
        <f t="shared" si="5"/>
        <v>0</v>
      </c>
      <c r="AA17" s="30">
        <f t="shared" si="5"/>
        <v>0</v>
      </c>
      <c r="AB17" s="33">
        <f>IF(AB21&gt;-15,AB21+15,0)</f>
        <v>0</v>
      </c>
      <c r="AC17" s="92">
        <f>SUMIF(E17:AB17,"&gt;0",E17:AB17)</f>
        <v>593.86485059402378</v>
      </c>
    </row>
    <row r="18" spans="1:30" ht="15" thickBot="1" x14ac:dyDescent="0.35">
      <c r="A18" s="228"/>
      <c r="B18" s="70"/>
      <c r="C18" s="70" t="s">
        <v>95</v>
      </c>
      <c r="D18" s="71"/>
      <c r="E18" s="28">
        <f>IF(E21&lt;-15,MAX(-E15,E21+15),0)</f>
        <v>-95.689199567982726</v>
      </c>
      <c r="F18" s="31">
        <f t="shared" ref="F18" si="6">IF(F21&lt;-15,MAX(-F15,F21+15),0)</f>
        <v>-57.008100324012958</v>
      </c>
      <c r="G18" s="31">
        <f>IF(G21&lt;-15,MAX(-G15,G21+15),0)</f>
        <v>0</v>
      </c>
      <c r="H18" s="31">
        <f t="shared" ref="H18:AB18" si="7">IF(H21&lt;-15,MAX(-H15,H21+15),0)</f>
        <v>0</v>
      </c>
      <c r="I18" s="31">
        <f t="shared" si="7"/>
        <v>0</v>
      </c>
      <c r="J18" s="31">
        <f t="shared" si="7"/>
        <v>0</v>
      </c>
      <c r="K18" s="31">
        <f t="shared" si="7"/>
        <v>0</v>
      </c>
      <c r="L18" s="31">
        <f t="shared" si="7"/>
        <v>0</v>
      </c>
      <c r="M18" s="31">
        <f t="shared" si="7"/>
        <v>0</v>
      </c>
      <c r="N18" s="31">
        <f t="shared" si="7"/>
        <v>0</v>
      </c>
      <c r="O18" s="31">
        <f t="shared" si="7"/>
        <v>0</v>
      </c>
      <c r="P18" s="31">
        <f t="shared" si="7"/>
        <v>0</v>
      </c>
      <c r="Q18" s="31">
        <f t="shared" si="7"/>
        <v>0</v>
      </c>
      <c r="R18" s="31">
        <f t="shared" si="7"/>
        <v>0</v>
      </c>
      <c r="S18" s="31">
        <f t="shared" si="7"/>
        <v>0</v>
      </c>
      <c r="T18" s="31">
        <f t="shared" si="7"/>
        <v>0</v>
      </c>
      <c r="U18" s="31">
        <f t="shared" si="7"/>
        <v>0</v>
      </c>
      <c r="V18" s="31">
        <f t="shared" si="7"/>
        <v>0</v>
      </c>
      <c r="W18" s="31">
        <f t="shared" si="7"/>
        <v>0</v>
      </c>
      <c r="X18" s="31">
        <f t="shared" si="7"/>
        <v>0</v>
      </c>
      <c r="Y18" s="31">
        <f t="shared" si="7"/>
        <v>0</v>
      </c>
      <c r="Z18" s="31">
        <f t="shared" si="7"/>
        <v>-19.992799711988479</v>
      </c>
      <c r="AA18" s="31">
        <f t="shared" si="7"/>
        <v>-99.987999519980804</v>
      </c>
      <c r="AB18" s="32">
        <f t="shared" si="7"/>
        <v>-139.99759990399616</v>
      </c>
      <c r="AC18" s="4">
        <f>SUMIF(E18:AB18,"&lt;0",E18:AB18)</f>
        <v>-412.67569902796112</v>
      </c>
      <c r="AD18" s="3">
        <f>-AC18/AC17</f>
        <v>0.69489834027923181</v>
      </c>
    </row>
    <row r="19" spans="1:30" ht="15" thickTop="1" x14ac:dyDescent="0.3">
      <c r="B19" s="3"/>
      <c r="C19" s="3"/>
      <c r="D19" s="27"/>
      <c r="E19" s="29"/>
      <c r="F19" s="30"/>
      <c r="G19" s="30"/>
      <c r="H19" s="30"/>
      <c r="I19" s="30"/>
      <c r="J19" s="30"/>
      <c r="K19" s="30"/>
      <c r="L19" s="30"/>
      <c r="M19" s="30"/>
      <c r="N19" s="30"/>
      <c r="O19" s="30"/>
      <c r="P19" s="30"/>
      <c r="Q19" s="30"/>
      <c r="R19" s="30"/>
      <c r="S19" s="30"/>
      <c r="T19" s="30"/>
      <c r="U19" s="30"/>
      <c r="V19" s="30"/>
      <c r="W19" s="30"/>
      <c r="X19" s="30"/>
      <c r="Y19" s="30"/>
      <c r="Z19" s="30"/>
      <c r="AA19" s="30"/>
      <c r="AB19" s="33"/>
      <c r="AC19" s="3"/>
    </row>
    <row r="20" spans="1:30" x14ac:dyDescent="0.3">
      <c r="B20" s="35" t="s">
        <v>36</v>
      </c>
      <c r="C20" s="27"/>
      <c r="D20" s="27"/>
      <c r="E20" s="48">
        <f t="shared" ref="E20:AB20" si="8">SUM(E6:E12)+E15</f>
        <v>159.98919956798272</v>
      </c>
      <c r="F20" s="49">
        <f t="shared" si="8"/>
        <v>202.50810032401296</v>
      </c>
      <c r="G20" s="49">
        <f t="shared" si="8"/>
        <v>215.15858634345372</v>
      </c>
      <c r="H20" s="49">
        <f t="shared" si="8"/>
        <v>249.60896435857435</v>
      </c>
      <c r="I20" s="49">
        <f t="shared" si="8"/>
        <v>298.60000000000002</v>
      </c>
      <c r="J20" s="49">
        <f t="shared" si="8"/>
        <v>308.58919956798275</v>
      </c>
      <c r="K20" s="49">
        <f t="shared" si="8"/>
        <v>240.5864994599784</v>
      </c>
      <c r="L20" s="49">
        <f t="shared" si="8"/>
        <v>150.59189967598704</v>
      </c>
      <c r="M20" s="49">
        <f t="shared" si="8"/>
        <v>128.1</v>
      </c>
      <c r="N20" s="49">
        <f t="shared" si="8"/>
        <v>73.099999999999994</v>
      </c>
      <c r="O20" s="49">
        <f t="shared" si="8"/>
        <v>0</v>
      </c>
      <c r="P20" s="49">
        <f t="shared" si="8"/>
        <v>-80</v>
      </c>
      <c r="Q20" s="49">
        <f t="shared" si="8"/>
        <v>-110.1</v>
      </c>
      <c r="R20" s="49">
        <f t="shared" si="8"/>
        <v>-110.1</v>
      </c>
      <c r="S20" s="49">
        <f t="shared" si="8"/>
        <v>-110.1</v>
      </c>
      <c r="T20" s="49">
        <f t="shared" si="8"/>
        <v>-52.6</v>
      </c>
      <c r="U20" s="49">
        <f t="shared" si="8"/>
        <v>-30.1</v>
      </c>
      <c r="V20" s="49">
        <f t="shared" si="8"/>
        <v>-30.1</v>
      </c>
      <c r="W20" s="49">
        <f t="shared" si="8"/>
        <v>0</v>
      </c>
      <c r="X20" s="49">
        <f t="shared" si="8"/>
        <v>0</v>
      </c>
      <c r="Y20" s="49">
        <f t="shared" si="8"/>
        <v>0</v>
      </c>
      <c r="Z20" s="49">
        <f t="shared" si="8"/>
        <v>19.991899675987039</v>
      </c>
      <c r="AA20" s="49">
        <f t="shared" si="8"/>
        <v>99.986499459978404</v>
      </c>
      <c r="AB20" s="50">
        <f t="shared" si="8"/>
        <v>139.99729989199568</v>
      </c>
      <c r="AC20" s="35"/>
    </row>
    <row r="21" spans="1:30" s="14" customFormat="1" x14ac:dyDescent="0.3">
      <c r="B21" s="85" t="s">
        <v>37</v>
      </c>
      <c r="C21" s="116"/>
      <c r="D21" s="116"/>
      <c r="E21" s="117">
        <f t="shared" ref="E21:AB21" si="9">E4-E20</f>
        <v>-110.68919956798273</v>
      </c>
      <c r="F21" s="118">
        <f t="shared" si="9"/>
        <v>-72.008100324012958</v>
      </c>
      <c r="G21" s="118">
        <f t="shared" si="9"/>
        <v>-9.4585863434537316</v>
      </c>
      <c r="H21" s="118">
        <f t="shared" si="9"/>
        <v>4.1910356414256569</v>
      </c>
      <c r="I21" s="118">
        <f t="shared" si="9"/>
        <v>-11.100000000000023</v>
      </c>
      <c r="J21" s="118">
        <f t="shared" si="9"/>
        <v>3.910800432017254</v>
      </c>
      <c r="K21" s="118">
        <f t="shared" si="9"/>
        <v>72.913500540021602</v>
      </c>
      <c r="L21" s="118">
        <f t="shared" si="9"/>
        <v>89.408100324012963</v>
      </c>
      <c r="M21" s="118">
        <f t="shared" si="9"/>
        <v>45.5</v>
      </c>
      <c r="N21" s="118">
        <f t="shared" si="9"/>
        <v>111.9</v>
      </c>
      <c r="O21" s="118">
        <f t="shared" si="9"/>
        <v>102.1</v>
      </c>
      <c r="P21" s="118">
        <f t="shared" si="9"/>
        <v>34.5</v>
      </c>
      <c r="Q21" s="118">
        <f t="shared" si="9"/>
        <v>-134.9</v>
      </c>
      <c r="R21" s="118">
        <f t="shared" si="9"/>
        <v>-226.9</v>
      </c>
      <c r="S21" s="118">
        <f t="shared" si="9"/>
        <v>-310.5</v>
      </c>
      <c r="T21" s="118">
        <f t="shared" si="9"/>
        <v>-422.4</v>
      </c>
      <c r="U21" s="118">
        <f t="shared" si="9"/>
        <v>-478</v>
      </c>
      <c r="V21" s="118">
        <f t="shared" si="9"/>
        <v>-495.29999999999995</v>
      </c>
      <c r="W21" s="118">
        <f t="shared" si="9"/>
        <v>-508.1</v>
      </c>
      <c r="X21" s="118">
        <f t="shared" si="9"/>
        <v>-435.8</v>
      </c>
      <c r="Y21" s="118">
        <f t="shared" si="9"/>
        <v>-345.2</v>
      </c>
      <c r="Z21" s="118">
        <f t="shared" si="9"/>
        <v>-271.29189967598705</v>
      </c>
      <c r="AA21" s="118">
        <f t="shared" si="9"/>
        <v>-260.58649945997843</v>
      </c>
      <c r="AB21" s="119">
        <f t="shared" si="9"/>
        <v>-207.19729989199567</v>
      </c>
      <c r="AC21" s="17"/>
    </row>
    <row r="22" spans="1:30" s="125" customFormat="1" ht="15" thickBot="1" x14ac:dyDescent="0.35">
      <c r="B22" s="120" t="s">
        <v>29</v>
      </c>
      <c r="C22" s="121"/>
      <c r="D22" s="121"/>
      <c r="E22" s="122">
        <f t="shared" ref="E22:AB22" si="10">E21-E17+E18</f>
        <v>-206.37839913596545</v>
      </c>
      <c r="F22" s="123">
        <f t="shared" si="10"/>
        <v>-129.01620064802592</v>
      </c>
      <c r="G22" s="123">
        <f t="shared" si="10"/>
        <v>-15</v>
      </c>
      <c r="H22" s="123">
        <f t="shared" si="10"/>
        <v>-15</v>
      </c>
      <c r="I22" s="123">
        <f t="shared" si="10"/>
        <v>-15</v>
      </c>
      <c r="J22" s="123">
        <f t="shared" si="10"/>
        <v>-15</v>
      </c>
      <c r="K22" s="123">
        <f t="shared" si="10"/>
        <v>-15</v>
      </c>
      <c r="L22" s="123">
        <f t="shared" si="10"/>
        <v>-15</v>
      </c>
      <c r="M22" s="123">
        <f t="shared" si="10"/>
        <v>-15</v>
      </c>
      <c r="N22" s="123">
        <f t="shared" si="10"/>
        <v>-15</v>
      </c>
      <c r="O22" s="123">
        <f t="shared" si="10"/>
        <v>-15</v>
      </c>
      <c r="P22" s="123">
        <f t="shared" si="10"/>
        <v>-15</v>
      </c>
      <c r="Q22" s="123">
        <f t="shared" si="10"/>
        <v>-134.9</v>
      </c>
      <c r="R22" s="123">
        <f t="shared" si="10"/>
        <v>-226.9</v>
      </c>
      <c r="S22" s="123">
        <f t="shared" si="10"/>
        <v>-310.5</v>
      </c>
      <c r="T22" s="123">
        <f t="shared" si="10"/>
        <v>-422.4</v>
      </c>
      <c r="U22" s="123">
        <f t="shared" si="10"/>
        <v>-478</v>
      </c>
      <c r="V22" s="123">
        <f t="shared" si="10"/>
        <v>-495.29999999999995</v>
      </c>
      <c r="W22" s="123">
        <f t="shared" si="10"/>
        <v>-508.1</v>
      </c>
      <c r="X22" s="123">
        <f t="shared" si="10"/>
        <v>-435.8</v>
      </c>
      <c r="Y22" s="123">
        <f t="shared" si="10"/>
        <v>-345.2</v>
      </c>
      <c r="Z22" s="123">
        <f t="shared" si="10"/>
        <v>-291.28469938797554</v>
      </c>
      <c r="AA22" s="123">
        <f t="shared" si="10"/>
        <v>-360.57449897995923</v>
      </c>
      <c r="AB22" s="124">
        <f t="shared" si="10"/>
        <v>-347.19489979599183</v>
      </c>
      <c r="AC22" s="126"/>
    </row>
    <row r="23" spans="1:30" ht="15.6" thickTop="1" thickBot="1" x14ac:dyDescent="0.35">
      <c r="B23" s="35"/>
      <c r="C23" s="27"/>
      <c r="D23" s="27"/>
      <c r="E23" s="48"/>
      <c r="F23" s="49"/>
      <c r="G23" s="49"/>
      <c r="H23" s="49"/>
      <c r="I23" s="49"/>
      <c r="J23" s="49"/>
      <c r="K23" s="49"/>
      <c r="L23" s="49"/>
      <c r="M23" s="49"/>
      <c r="N23" s="49"/>
      <c r="O23" s="49"/>
      <c r="P23" s="49"/>
      <c r="Q23" s="49"/>
      <c r="R23" s="49"/>
      <c r="S23" s="49"/>
      <c r="T23" s="49"/>
      <c r="U23" s="49"/>
      <c r="V23" s="49"/>
      <c r="W23" s="49"/>
      <c r="X23" s="49"/>
      <c r="Y23" s="49"/>
      <c r="Z23" s="49"/>
      <c r="AA23" s="49"/>
      <c r="AB23" s="50"/>
      <c r="AC23" s="35"/>
    </row>
    <row r="24" spans="1:30" x14ac:dyDescent="0.3">
      <c r="B24" s="38" t="s">
        <v>17</v>
      </c>
      <c r="C24" s="26"/>
      <c r="D24" s="26"/>
      <c r="E24" s="60">
        <v>6666</v>
      </c>
      <c r="F24" s="61">
        <v>7500</v>
      </c>
      <c r="G24" s="61">
        <v>7950</v>
      </c>
      <c r="H24" s="61">
        <v>8300</v>
      </c>
      <c r="I24" s="61">
        <v>8333</v>
      </c>
      <c r="J24" s="61">
        <v>6666</v>
      </c>
      <c r="K24" s="61">
        <v>4166</v>
      </c>
      <c r="L24" s="61">
        <v>833</v>
      </c>
      <c r="M24" s="61">
        <v>0</v>
      </c>
      <c r="N24" s="61">
        <v>0</v>
      </c>
      <c r="O24" s="61">
        <v>0</v>
      </c>
      <c r="P24" s="61">
        <v>0</v>
      </c>
      <c r="Q24" s="61">
        <v>0</v>
      </c>
      <c r="R24" s="61">
        <v>0</v>
      </c>
      <c r="S24" s="61">
        <v>0</v>
      </c>
      <c r="T24" s="61">
        <v>0</v>
      </c>
      <c r="U24" s="61">
        <v>0</v>
      </c>
      <c r="V24" s="61">
        <v>0</v>
      </c>
      <c r="W24" s="61">
        <v>0</v>
      </c>
      <c r="X24" s="61">
        <v>0</v>
      </c>
      <c r="Y24" s="61">
        <v>0</v>
      </c>
      <c r="Z24" s="61">
        <v>833</v>
      </c>
      <c r="AA24" s="61">
        <v>4166</v>
      </c>
      <c r="AB24" s="62">
        <v>5833</v>
      </c>
    </row>
    <row r="25" spans="1:30" ht="15" thickBot="1" x14ac:dyDescent="0.35">
      <c r="B25" s="39" t="s">
        <v>18</v>
      </c>
      <c r="C25" s="40"/>
      <c r="D25" s="40"/>
      <c r="E25" s="56">
        <f t="shared" ref="E25:AB25" si="11">E24/MAX($B$24:$P$24)</f>
        <v>0.79995199807992323</v>
      </c>
      <c r="F25" s="57">
        <f t="shared" si="11"/>
        <v>0.90003600144005758</v>
      </c>
      <c r="G25" s="57">
        <f t="shared" si="11"/>
        <v>0.95403816152646104</v>
      </c>
      <c r="H25" s="57">
        <f t="shared" si="11"/>
        <v>0.99603984159366377</v>
      </c>
      <c r="I25" s="57">
        <f t="shared" si="11"/>
        <v>1</v>
      </c>
      <c r="J25" s="57">
        <f t="shared" si="11"/>
        <v>0.79995199807992323</v>
      </c>
      <c r="K25" s="57">
        <f t="shared" si="11"/>
        <v>0.49993999759990398</v>
      </c>
      <c r="L25" s="57">
        <f t="shared" si="11"/>
        <v>9.9963998559942396E-2</v>
      </c>
      <c r="M25" s="57">
        <f t="shared" si="11"/>
        <v>0</v>
      </c>
      <c r="N25" s="57">
        <f t="shared" si="11"/>
        <v>0</v>
      </c>
      <c r="O25" s="57">
        <f t="shared" si="11"/>
        <v>0</v>
      </c>
      <c r="P25" s="57">
        <f t="shared" si="11"/>
        <v>0</v>
      </c>
      <c r="Q25" s="57">
        <f t="shared" si="11"/>
        <v>0</v>
      </c>
      <c r="R25" s="57">
        <f t="shared" si="11"/>
        <v>0</v>
      </c>
      <c r="S25" s="57">
        <f t="shared" si="11"/>
        <v>0</v>
      </c>
      <c r="T25" s="57">
        <f t="shared" si="11"/>
        <v>0</v>
      </c>
      <c r="U25" s="57">
        <f t="shared" si="11"/>
        <v>0</v>
      </c>
      <c r="V25" s="57">
        <f t="shared" si="11"/>
        <v>0</v>
      </c>
      <c r="W25" s="57">
        <f t="shared" si="11"/>
        <v>0</v>
      </c>
      <c r="X25" s="57">
        <f t="shared" si="11"/>
        <v>0</v>
      </c>
      <c r="Y25" s="57">
        <f t="shared" si="11"/>
        <v>0</v>
      </c>
      <c r="Z25" s="57">
        <f t="shared" si="11"/>
        <v>9.9963998559942396E-2</v>
      </c>
      <c r="AA25" s="57">
        <f t="shared" si="11"/>
        <v>0.49993999759990398</v>
      </c>
      <c r="AB25" s="58">
        <f t="shared" si="11"/>
        <v>0.69998799951998081</v>
      </c>
    </row>
  </sheetData>
  <mergeCells count="5">
    <mergeCell ref="B3:D3"/>
    <mergeCell ref="B4:D4"/>
    <mergeCell ref="A6:A12"/>
    <mergeCell ref="A14:A18"/>
    <mergeCell ref="AC14:AC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Center for Biological Diversity</Received_x0020_From>
    <Docket_x0020_Number xmlns="8eef3743-c7b3-4cbe-8837-b6e805be353c">15-AFC-01</Docket_x0020_Number>
    <TaxCatchAll xmlns="8eef3743-c7b3-4cbe-8837-b6e805be353c">
      <Value>21</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Intervenor</TermName>
          <TermId xmlns="http://schemas.microsoft.com/office/infopath/2007/PartnerControls">523782c4-b0ad-41dc-b3ec-6fecf11a333b</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Z5JXHV6S7NA6-3-112737</_dlc_DocId>
    <_dlc_DocIdUrl xmlns="8eef3743-c7b3-4cbe-8837-b6e805be353c">
      <Url>http://efilingspinternal/_layouts/DocIdRedir.aspx?ID=Z5JXHV6S7NA6-3-112737</Url>
      <Description>Z5JXHV6S7NA6-3-112737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3DE455-DFAA-41A3-9A0D-79724250706A}"/>
</file>

<file path=customXml/itemProps2.xml><?xml version="1.0" encoding="utf-8"?>
<ds:datastoreItem xmlns:ds="http://schemas.openxmlformats.org/officeDocument/2006/customXml" ds:itemID="{4258515A-EFC5-4460-AA70-B0F313298312}"/>
</file>

<file path=customXml/itemProps3.xml><?xml version="1.0" encoding="utf-8"?>
<ds:datastoreItem xmlns:ds="http://schemas.openxmlformats.org/officeDocument/2006/customXml" ds:itemID="{F395319F-AC56-462F-B541-4D9140E03EF8}"/>
</file>

<file path=customXml/itemProps4.xml><?xml version="1.0" encoding="utf-8"?>
<ds:datastoreItem xmlns:ds="http://schemas.openxmlformats.org/officeDocument/2006/customXml" ds:itemID="{6DFE7797-CB02-4F8B-B88A-C7A24F677C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Model procedure</vt:lpstr>
      <vt:lpstr>Component Cost Model</vt:lpstr>
      <vt:lpstr>Costs comparison </vt:lpstr>
      <vt:lpstr>Scenario 4 2014</vt:lpstr>
      <vt:lpstr>Scenario 4 2015</vt:lpstr>
      <vt:lpstr>Scenario 4 2016</vt:lpstr>
      <vt:lpstr>Scenario 5 2014</vt:lpstr>
      <vt:lpstr>Scenario 5 2015</vt:lpstr>
      <vt:lpstr>Scenario 5 2016</vt:lpstr>
      <vt:lpstr>Load Profiles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Puente Scenarios Cost Models (Supplemental Testimony of Dr Doug Karpa)</dc:title>
  <dc:creator/>
  <cp:lastModifiedBy/>
  <dcterms:created xsi:type="dcterms:W3CDTF">2017-08-09T02:48:49Z</dcterms:created>
  <dcterms:modified xsi:type="dcterms:W3CDTF">2017-08-30T20:11:53Z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9ecfa925-b513-436b-99f8-201a4814c196</vt:lpwstr>
  </property>
  <property fmtid="{D5CDD505-2E9C-101B-9397-08002B2CF9AE}" pid="4" name="Subject_x0020_Areas">
    <vt:lpwstr/>
  </property>
  <property fmtid="{D5CDD505-2E9C-101B-9397-08002B2CF9AE}" pid="5" name="_CopySource">
    <vt:lpwstr>http://efilingspinternal/PendingDocuments/15-AFC-01/20170830T152345_Ex_7035_Puente_Scenarios_Cost_Models_Supplemental_Testimony_of.xlsx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21;#Intervenor|523782c4-b0ad-41dc-b3ec-6fecf11a333b</vt:lpwstr>
  </property>
  <property fmtid="{D5CDD505-2E9C-101B-9397-08002B2CF9AE}" pid="9" name="Order">
    <vt:r8>2414600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