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33" documentId="8_{C58CECF6-7D0A-47C9-997C-E98840A25A95}" xr6:coauthVersionLast="47" xr6:coauthVersionMax="47" xr10:uidLastSave="{C501A3AD-9E40-496B-A2E4-9949FF3C5B35}"/>
  <bookViews>
    <workbookView xWindow="-108" yWindow="-108" windowWidth="23256" windowHeight="12456" xr2:uid="{4537F8D1-31C7-4A5E-907B-80281A74F280}"/>
  </bookViews>
  <sheets>
    <sheet name="Cover" sheetId="1" r:id="rId1"/>
    <sheet name="GHG Price Calculations" sheetId="2" r:id="rId2"/>
    <sheet name="Auction Data" sheetId="3" r:id="rId3"/>
  </sheets>
  <definedNames>
    <definedName name="_xlnm.Print_Area" localSheetId="2">'Auction Data'!$A$1:$I$71</definedName>
    <definedName name="_xlnm.Print_Area" localSheetId="1">'GHG Price Calculations'!$A$3:$S$62</definedName>
    <definedName name="_xlnm.Print_Titles" localSheetId="1">'GHG Price Calculations'!$A:$A,'GHG Price Calculations'!$5:$5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2" l="1"/>
  <c r="D35" i="2"/>
  <c r="E35" i="2"/>
  <c r="F35" i="2"/>
  <c r="G35" i="2"/>
  <c r="H35" i="2"/>
  <c r="I35" i="2"/>
  <c r="J35" i="2"/>
  <c r="K35" i="2"/>
  <c r="L35" i="2"/>
  <c r="M35" i="2"/>
  <c r="N35" i="2"/>
  <c r="O35" i="2"/>
  <c r="P35" i="2"/>
  <c r="Q35" i="2"/>
  <c r="R35" i="2"/>
  <c r="S35" i="2"/>
  <c r="T35" i="2"/>
  <c r="U35" i="2"/>
  <c r="V35" i="2"/>
  <c r="W35" i="2"/>
  <c r="X35" i="2"/>
  <c r="Y35" i="2"/>
  <c r="Z35" i="2"/>
  <c r="AA35" i="2"/>
  <c r="AB35" i="2"/>
  <c r="AC35" i="2"/>
  <c r="AD35" i="2"/>
  <c r="AE35" i="2"/>
  <c r="AF35" i="2"/>
  <c r="AG35" i="2"/>
  <c r="AH35" i="2"/>
  <c r="AI35" i="2"/>
  <c r="AJ35" i="2"/>
  <c r="AK35" i="2"/>
  <c r="AL35" i="2"/>
  <c r="AM35" i="2"/>
  <c r="K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AL32" i="2"/>
  <c r="AM32" i="2"/>
  <c r="A49" i="2" l="1"/>
  <c r="N12" i="2"/>
  <c r="N6" i="2" s="1"/>
  <c r="I8" i="3"/>
  <c r="I7" i="3"/>
  <c r="I6" i="3"/>
  <c r="I5" i="3"/>
  <c r="J32" i="2"/>
  <c r="B48" i="2" l="1"/>
  <c r="N8" i="2"/>
  <c r="A27" i="2"/>
  <c r="A26" i="2"/>
  <c r="A52" i="2"/>
  <c r="C49" i="2"/>
  <c r="I9" i="3"/>
  <c r="I12" i="3"/>
  <c r="I11" i="3"/>
  <c r="I10" i="3"/>
  <c r="I13" i="3"/>
  <c r="J31" i="2" l="1"/>
  <c r="K31" i="2"/>
  <c r="L31" i="2"/>
  <c r="M31" i="2"/>
  <c r="A31" i="2"/>
  <c r="G51" i="2" l="1"/>
  <c r="G50" i="2"/>
  <c r="G49" i="2"/>
  <c r="H48" i="2"/>
  <c r="I48" i="2"/>
  <c r="J48" i="2"/>
  <c r="K48" i="2"/>
  <c r="L48" i="2"/>
  <c r="M48" i="2"/>
  <c r="N48" i="2"/>
  <c r="O48" i="2"/>
  <c r="P48" i="2"/>
  <c r="Q48" i="2"/>
  <c r="R48" i="2"/>
  <c r="S48" i="2"/>
  <c r="T48" i="2"/>
  <c r="U48" i="2"/>
  <c r="V48" i="2"/>
  <c r="E62" i="3"/>
  <c r="I57" i="3"/>
  <c r="I56" i="3"/>
  <c r="I55" i="3"/>
  <c r="I54" i="3"/>
  <c r="I53" i="3"/>
  <c r="I52" i="3"/>
  <c r="I51" i="3"/>
  <c r="I50" i="3"/>
  <c r="I49" i="3"/>
  <c r="I48" i="3"/>
  <c r="I47" i="3"/>
  <c r="I46" i="3"/>
  <c r="I45" i="3"/>
  <c r="I44" i="3"/>
  <c r="I43" i="3"/>
  <c r="I42" i="3"/>
  <c r="I41" i="3"/>
  <c r="A41" i="3"/>
  <c r="A45" i="3" s="1"/>
  <c r="A49" i="3" s="1"/>
  <c r="A53" i="3" s="1"/>
  <c r="I40" i="3"/>
  <c r="I39" i="3"/>
  <c r="I38" i="3"/>
  <c r="A38" i="3"/>
  <c r="I37" i="3"/>
  <c r="I36" i="3"/>
  <c r="I35" i="3"/>
  <c r="I34" i="3"/>
  <c r="I33" i="3"/>
  <c r="I32" i="3"/>
  <c r="I31" i="3"/>
  <c r="I30" i="3"/>
  <c r="I29" i="3"/>
  <c r="I28" i="3"/>
  <c r="I27" i="3"/>
  <c r="I26" i="3"/>
  <c r="I25" i="3"/>
  <c r="I24" i="3"/>
  <c r="I23" i="3"/>
  <c r="I22" i="3"/>
  <c r="I21" i="3"/>
  <c r="I20" i="3"/>
  <c r="I19" i="3"/>
  <c r="I18" i="3"/>
  <c r="I17" i="3"/>
  <c r="I16" i="3"/>
  <c r="I15" i="3"/>
  <c r="I14" i="3"/>
  <c r="C61" i="2"/>
  <c r="B61" i="2"/>
  <c r="D61" i="2" s="1"/>
  <c r="A57" i="2"/>
  <c r="C58" i="2" s="1"/>
  <c r="A53" i="2"/>
  <c r="C53" i="2" s="1"/>
  <c r="C50" i="2"/>
  <c r="K30" i="2"/>
  <c r="J30" i="2"/>
  <c r="A30" i="2"/>
  <c r="L29" i="2"/>
  <c r="K29" i="2"/>
  <c r="J29" i="2"/>
  <c r="I29" i="2"/>
  <c r="H29" i="2"/>
  <c r="G29" i="2"/>
  <c r="F29" i="2"/>
  <c r="E29" i="2"/>
  <c r="D29" i="2"/>
  <c r="C29" i="2"/>
  <c r="B29" i="2"/>
  <c r="A23" i="2"/>
  <c r="AG22" i="2"/>
  <c r="AF22" i="2"/>
  <c r="AE22" i="2"/>
  <c r="AD22" i="2"/>
  <c r="AC22" i="2"/>
  <c r="AB22" i="2"/>
  <c r="AA22" i="2"/>
  <c r="Z22" i="2"/>
  <c r="Y22" i="2"/>
  <c r="X22" i="2"/>
  <c r="W22" i="2"/>
  <c r="V22" i="2"/>
  <c r="U22" i="2"/>
  <c r="T22" i="2"/>
  <c r="S22" i="2"/>
  <c r="R22" i="2"/>
  <c r="Q22" i="2"/>
  <c r="P22" i="2"/>
  <c r="O22" i="2"/>
  <c r="N22"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L30" i="2"/>
  <c r="L7" i="2"/>
  <c r="L24" i="2" s="1"/>
  <c r="K7" i="2"/>
  <c r="K24" i="2" s="1"/>
  <c r="J7" i="2"/>
  <c r="J24" i="2" s="1"/>
  <c r="I7" i="2"/>
  <c r="I24" i="2" s="1"/>
  <c r="H7" i="2"/>
  <c r="H24" i="2" s="1"/>
  <c r="G7" i="2"/>
  <c r="G24" i="2" s="1"/>
  <c r="F7" i="2"/>
  <c r="F24" i="2" s="1"/>
  <c r="E7" i="2"/>
  <c r="E24" i="2" s="1"/>
  <c r="D7" i="2"/>
  <c r="D24" i="2" s="1"/>
  <c r="C7" i="2"/>
  <c r="C24" i="2" s="1"/>
  <c r="B7" i="2"/>
  <c r="B24" i="2" s="1"/>
  <c r="AH5" i="2"/>
  <c r="W48" i="2" s="1"/>
  <c r="E63" i="3" l="1"/>
  <c r="P13" i="2"/>
  <c r="P16" i="2"/>
  <c r="Q16" i="2" s="1"/>
  <c r="R16" i="2" s="1"/>
  <c r="S16" i="2" s="1"/>
  <c r="E64" i="3"/>
  <c r="M29" i="2"/>
  <c r="AI5" i="2"/>
  <c r="X48" i="2" s="1"/>
  <c r="AH22" i="2"/>
  <c r="A42" i="3"/>
  <c r="A46" i="3" s="1"/>
  <c r="A50" i="3" s="1"/>
  <c r="A54" i="3" s="1"/>
  <c r="A39" i="3"/>
  <c r="Q13" i="2" l="1"/>
  <c r="M7" i="2"/>
  <c r="M24" i="2" s="1"/>
  <c r="N31" i="2"/>
  <c r="T16" i="2"/>
  <c r="H51" i="2"/>
  <c r="AJ5" i="2"/>
  <c r="Y48" i="2" s="1"/>
  <c r="AI22" i="2"/>
  <c r="M30" i="2"/>
  <c r="N7" i="2"/>
  <c r="N29" i="2"/>
  <c r="E65" i="3"/>
  <c r="A40" i="3"/>
  <c r="A43" i="3"/>
  <c r="A47" i="3" s="1"/>
  <c r="A51" i="3" s="1"/>
  <c r="A55" i="3" s="1"/>
  <c r="R13" i="2" l="1"/>
  <c r="N24" i="2"/>
  <c r="P15" i="2"/>
  <c r="O31" i="2"/>
  <c r="U16" i="2"/>
  <c r="I51" i="2"/>
  <c r="O7" i="2"/>
  <c r="O29" i="2"/>
  <c r="N30" i="2"/>
  <c r="A44" i="3"/>
  <c r="E66" i="3"/>
  <c r="AK5" i="2"/>
  <c r="Z48" i="2" s="1"/>
  <c r="AJ22" i="2"/>
  <c r="S13" i="2" l="1"/>
  <c r="Q15" i="2"/>
  <c r="P31" i="2"/>
  <c r="O24" i="2"/>
  <c r="V16" i="2"/>
  <c r="J51" i="2"/>
  <c r="A48" i="3"/>
  <c r="O30" i="2"/>
  <c r="P14" i="2"/>
  <c r="P7" i="2"/>
  <c r="P29" i="2"/>
  <c r="AL5" i="2"/>
  <c r="AA48" i="2" s="1"/>
  <c r="AK22" i="2"/>
  <c r="E67" i="3"/>
  <c r="T13" i="2" l="1"/>
  <c r="P24" i="2"/>
  <c r="R15" i="2"/>
  <c r="Q31" i="2"/>
  <c r="W16" i="2"/>
  <c r="K51" i="2"/>
  <c r="Q7" i="2"/>
  <c r="Q29" i="2"/>
  <c r="P30" i="2"/>
  <c r="Q14" i="2"/>
  <c r="E68" i="3"/>
  <c r="AM5" i="2"/>
  <c r="AB48" i="2" s="1"/>
  <c r="AL22" i="2"/>
  <c r="A52" i="3"/>
  <c r="U13" i="2" l="1"/>
  <c r="Q24" i="2"/>
  <c r="S15" i="2"/>
  <c r="R31" i="2"/>
  <c r="X16" i="2"/>
  <c r="L51" i="2"/>
  <c r="AM22" i="2"/>
  <c r="A56" i="3"/>
  <c r="F73" i="3"/>
  <c r="F72" i="3"/>
  <c r="F64" i="3"/>
  <c r="G66" i="3"/>
  <c r="F71" i="3"/>
  <c r="F66" i="3"/>
  <c r="F62" i="3"/>
  <c r="F70" i="3"/>
  <c r="F61" i="3"/>
  <c r="G64" i="3"/>
  <c r="G72" i="3"/>
  <c r="G71" i="3"/>
  <c r="G62" i="3"/>
  <c r="G61" i="3"/>
  <c r="F63" i="3"/>
  <c r="Q30" i="2"/>
  <c r="R14" i="2"/>
  <c r="E69" i="3"/>
  <c r="G68" i="3"/>
  <c r="F68" i="3"/>
  <c r="F65" i="3"/>
  <c r="R29" i="2"/>
  <c r="R7" i="2"/>
  <c r="V13" i="2" l="1"/>
  <c r="R24" i="2"/>
  <c r="H50" i="2"/>
  <c r="S31" i="2"/>
  <c r="T15" i="2"/>
  <c r="Y16" i="2"/>
  <c r="M51" i="2"/>
  <c r="H68" i="3"/>
  <c r="H61" i="3"/>
  <c r="H62" i="3"/>
  <c r="H71" i="3"/>
  <c r="L12" i="2" s="1"/>
  <c r="H72" i="3"/>
  <c r="H64" i="3"/>
  <c r="S29" i="2"/>
  <c r="S7" i="2"/>
  <c r="H66" i="3"/>
  <c r="G12" i="2" s="1"/>
  <c r="G73" i="3"/>
  <c r="H73" i="3" s="1"/>
  <c r="G65" i="3"/>
  <c r="H65" i="3" s="1"/>
  <c r="F67" i="3"/>
  <c r="G70" i="3"/>
  <c r="H70" i="3" s="1"/>
  <c r="K12" i="2" s="1"/>
  <c r="G63" i="3"/>
  <c r="H63" i="3" s="1"/>
  <c r="F69" i="3"/>
  <c r="G69" i="3"/>
  <c r="S14" i="2"/>
  <c r="R30" i="2"/>
  <c r="G67" i="3"/>
  <c r="F12" i="2" l="1"/>
  <c r="C12" i="2"/>
  <c r="C23" i="2" s="1"/>
  <c r="C25" i="2" s="1"/>
  <c r="B12" i="2"/>
  <c r="B6" i="2" s="1"/>
  <c r="M12" i="2"/>
  <c r="M6" i="2" s="1"/>
  <c r="D12" i="2"/>
  <c r="D6" i="2" s="1"/>
  <c r="E12" i="2"/>
  <c r="E23" i="2" s="1"/>
  <c r="E25" i="2" s="1"/>
  <c r="H49" i="2"/>
  <c r="W13" i="2"/>
  <c r="S24" i="2"/>
  <c r="I50" i="2"/>
  <c r="T31" i="2"/>
  <c r="U15" i="2"/>
  <c r="L6" i="2"/>
  <c r="L8" i="2" s="1"/>
  <c r="Z16" i="2"/>
  <c r="N51" i="2"/>
  <c r="I12" i="2"/>
  <c r="I6" i="2" s="1"/>
  <c r="L23" i="2"/>
  <c r="L25" i="2" s="1"/>
  <c r="F6" i="2"/>
  <c r="F23" i="2"/>
  <c r="F25" i="2" s="1"/>
  <c r="T14" i="2"/>
  <c r="S30" i="2"/>
  <c r="G6" i="2"/>
  <c r="G23" i="2"/>
  <c r="G25" i="2" s="1"/>
  <c r="K6" i="2"/>
  <c r="K8" i="2" s="1"/>
  <c r="K23" i="2"/>
  <c r="K25" i="2" s="1"/>
  <c r="T29" i="2"/>
  <c r="T7" i="2"/>
  <c r="H67" i="3"/>
  <c r="H12" i="2" s="1"/>
  <c r="H69" i="3"/>
  <c r="J12" i="2" s="1"/>
  <c r="C6" i="2" l="1"/>
  <c r="D23" i="2"/>
  <c r="D25" i="2" s="1"/>
  <c r="B23" i="2"/>
  <c r="B25" i="2" s="1"/>
  <c r="B52" i="2"/>
  <c r="M8" i="2"/>
  <c r="E6" i="2"/>
  <c r="I49" i="2"/>
  <c r="X13" i="2"/>
  <c r="T24" i="2"/>
  <c r="J50" i="2"/>
  <c r="U31" i="2"/>
  <c r="V15" i="2"/>
  <c r="B57" i="2"/>
  <c r="D57" i="2" s="1"/>
  <c r="AA16" i="2"/>
  <c r="O51" i="2"/>
  <c r="I23" i="2"/>
  <c r="I25" i="2" s="1"/>
  <c r="J23" i="2"/>
  <c r="J25" i="2" s="1"/>
  <c r="J6" i="2"/>
  <c r="J8" i="2" s="1"/>
  <c r="U14" i="2"/>
  <c r="T30" i="2"/>
  <c r="H6" i="2"/>
  <c r="H23" i="2"/>
  <c r="H25" i="2" s="1"/>
  <c r="U29" i="2"/>
  <c r="U7" i="2"/>
  <c r="D48" i="2" l="1"/>
  <c r="Y13" i="2"/>
  <c r="J49" i="2"/>
  <c r="U24" i="2"/>
  <c r="K50" i="2"/>
  <c r="V31" i="2"/>
  <c r="W15" i="2"/>
  <c r="AB16" i="2"/>
  <c r="P51" i="2"/>
  <c r="V14" i="2"/>
  <c r="U30" i="2"/>
  <c r="V29" i="2"/>
  <c r="V7" i="2"/>
  <c r="Z13" i="2" l="1"/>
  <c r="K49" i="2"/>
  <c r="V24" i="2"/>
  <c r="L50" i="2"/>
  <c r="W31" i="2"/>
  <c r="X15" i="2"/>
  <c r="AC16" i="2"/>
  <c r="Q51" i="2"/>
  <c r="W29" i="2"/>
  <c r="W7" i="2"/>
  <c r="W14" i="2"/>
  <c r="V30" i="2"/>
  <c r="M25" i="2"/>
  <c r="AA13" i="2" l="1"/>
  <c r="L49" i="2"/>
  <c r="M50" i="2"/>
  <c r="B60" i="2" s="1"/>
  <c r="D60" i="2" s="1"/>
  <c r="E60" i="2" s="1" a="1"/>
  <c r="X31" i="2"/>
  <c r="Y15" i="2"/>
  <c r="AD16" i="2"/>
  <c r="R51" i="2"/>
  <c r="X14" i="2"/>
  <c r="W30" i="2"/>
  <c r="W24" i="2"/>
  <c r="X29" i="2"/>
  <c r="X7" i="2"/>
  <c r="AB13" i="2" l="1"/>
  <c r="M49" i="2"/>
  <c r="N50" i="2"/>
  <c r="Y31" i="2"/>
  <c r="Z15" i="2"/>
  <c r="F61" i="2"/>
  <c r="F60" i="2"/>
  <c r="F62" i="2"/>
  <c r="E62" i="2"/>
  <c r="E60" i="2"/>
  <c r="E61" i="2"/>
  <c r="AE16" i="2"/>
  <c r="S51" i="2"/>
  <c r="X24" i="2"/>
  <c r="Y29" i="2"/>
  <c r="Y7" i="2"/>
  <c r="X30" i="2"/>
  <c r="Y14" i="2"/>
  <c r="AC13" i="2" l="1"/>
  <c r="N49" i="2"/>
  <c r="O50" i="2"/>
  <c r="Z31" i="2"/>
  <c r="AA15" i="2"/>
  <c r="P50" i="2" s="1"/>
  <c r="AF16" i="2"/>
  <c r="T51" i="2"/>
  <c r="Z14" i="2"/>
  <c r="Y30" i="2"/>
  <c r="Y24" i="2"/>
  <c r="Z29" i="2"/>
  <c r="Z7" i="2"/>
  <c r="AD13" i="2" l="1"/>
  <c r="O49" i="2"/>
  <c r="AA31" i="2"/>
  <c r="AB15" i="2"/>
  <c r="AG16" i="2"/>
  <c r="U51" i="2"/>
  <c r="Z24" i="2"/>
  <c r="AA7" i="2"/>
  <c r="AA29" i="2"/>
  <c r="AA14" i="2"/>
  <c r="Z30" i="2"/>
  <c r="P49" i="2" l="1"/>
  <c r="AE13" i="2"/>
  <c r="Q50" i="2"/>
  <c r="AB31" i="2"/>
  <c r="AC15" i="2"/>
  <c r="AH16" i="2"/>
  <c r="V51" i="2"/>
  <c r="AB14" i="2"/>
  <c r="AA30" i="2"/>
  <c r="AB7" i="2"/>
  <c r="AB29" i="2"/>
  <c r="AA24" i="2"/>
  <c r="Q49" i="2" l="1"/>
  <c r="AF13" i="2"/>
  <c r="AC31" i="2"/>
  <c r="R50" i="2"/>
  <c r="AD15" i="2"/>
  <c r="AI16" i="2"/>
  <c r="W51" i="2"/>
  <c r="AB24" i="2"/>
  <c r="AB30" i="2"/>
  <c r="AC14" i="2"/>
  <c r="AC29" i="2"/>
  <c r="AC7" i="2"/>
  <c r="R49" i="2" l="1"/>
  <c r="AG13" i="2"/>
  <c r="AD31" i="2"/>
  <c r="AE15" i="2"/>
  <c r="S50" i="2"/>
  <c r="AJ16" i="2"/>
  <c r="X51" i="2"/>
  <c r="AC24" i="2"/>
  <c r="AD7" i="2"/>
  <c r="AD29" i="2"/>
  <c r="AC30" i="2"/>
  <c r="AD14" i="2"/>
  <c r="S49" i="2" l="1"/>
  <c r="AH13" i="2"/>
  <c r="AE31" i="2"/>
  <c r="T50" i="2"/>
  <c r="AF15" i="2"/>
  <c r="AK16" i="2"/>
  <c r="Y51" i="2"/>
  <c r="AE7" i="2"/>
  <c r="AE29" i="2"/>
  <c r="AD30" i="2"/>
  <c r="AE14" i="2"/>
  <c r="AD24" i="2"/>
  <c r="T49" i="2" l="1"/>
  <c r="AI13" i="2"/>
  <c r="AJ13" i="2" s="1"/>
  <c r="AK13" i="2" s="1"/>
  <c r="AL13" i="2" s="1"/>
  <c r="AM13" i="2" s="1"/>
  <c r="AF31" i="2"/>
  <c r="U50" i="2"/>
  <c r="AG15" i="2"/>
  <c r="AL16" i="2"/>
  <c r="Z51" i="2"/>
  <c r="AE30" i="2"/>
  <c r="AF14" i="2"/>
  <c r="AF7" i="2"/>
  <c r="AF29" i="2"/>
  <c r="AE24" i="2"/>
  <c r="U49" i="2" l="1"/>
  <c r="AG31" i="2"/>
  <c r="V50" i="2"/>
  <c r="AH15" i="2"/>
  <c r="AM16" i="2"/>
  <c r="AA51" i="2"/>
  <c r="AF30" i="2"/>
  <c r="AG14" i="2"/>
  <c r="AG7" i="2"/>
  <c r="AG29" i="2"/>
  <c r="AF24" i="2"/>
  <c r="V49" i="2" l="1"/>
  <c r="AH31" i="2"/>
  <c r="W50" i="2"/>
  <c r="AI15" i="2"/>
  <c r="AB51" i="2"/>
  <c r="AG30" i="2"/>
  <c r="AH14" i="2"/>
  <c r="AH7" i="2"/>
  <c r="AH29" i="2"/>
  <c r="AG24" i="2"/>
  <c r="W49" i="2" l="1"/>
  <c r="D52" i="2"/>
  <c r="AI31" i="2"/>
  <c r="X50" i="2"/>
  <c r="AJ15" i="2"/>
  <c r="AI7" i="2"/>
  <c r="AI29" i="2"/>
  <c r="AH24" i="2"/>
  <c r="AH30" i="2"/>
  <c r="AI14" i="2"/>
  <c r="N27" i="2" l="1"/>
  <c r="X49" i="2"/>
  <c r="AJ31" i="2"/>
  <c r="Y50" i="2"/>
  <c r="AK15" i="2"/>
  <c r="AI30" i="2"/>
  <c r="AJ14" i="2"/>
  <c r="AJ7" i="2"/>
  <c r="AJ29" i="2"/>
  <c r="AI24" i="2"/>
  <c r="N25" i="2" l="1"/>
  <c r="Y49" i="2"/>
  <c r="AK31" i="2"/>
  <c r="Z50" i="2"/>
  <c r="AL15" i="2"/>
  <c r="AK7" i="2"/>
  <c r="AK29" i="2"/>
  <c r="AJ24" i="2"/>
  <c r="AJ30" i="2"/>
  <c r="AK14" i="2"/>
  <c r="N26" i="2" l="1"/>
  <c r="Z49" i="2"/>
  <c r="AL31" i="2"/>
  <c r="AM15" i="2"/>
  <c r="AA50" i="2"/>
  <c r="AK30" i="2"/>
  <c r="AL14" i="2"/>
  <c r="AL29" i="2"/>
  <c r="AL7" i="2"/>
  <c r="AK24" i="2"/>
  <c r="AA49" i="2" l="1"/>
  <c r="AM31" i="2"/>
  <c r="AB50" i="2"/>
  <c r="B58" i="2" s="1"/>
  <c r="D58" i="2" s="1"/>
  <c r="E57" i="2" s="1" a="1"/>
  <c r="AL24" i="2"/>
  <c r="AM29" i="2"/>
  <c r="AM7" i="2"/>
  <c r="AM14" i="2"/>
  <c r="B53" i="2" s="1"/>
  <c r="D53" i="2" s="1"/>
  <c r="E52" i="2" s="1" a="1"/>
  <c r="AL30" i="2"/>
  <c r="E58" i="2" l="1"/>
  <c r="E57" i="2"/>
  <c r="F57" i="2"/>
  <c r="F59" i="2"/>
  <c r="F58" i="2"/>
  <c r="E59" i="2"/>
  <c r="E53" i="2"/>
  <c r="E54" i="2"/>
  <c r="F52" i="2"/>
  <c r="F54" i="2"/>
  <c r="E52" i="2"/>
  <c r="F53" i="2"/>
  <c r="AB49" i="2"/>
  <c r="B50" i="2" s="1"/>
  <c r="AM30" i="2"/>
  <c r="AM24" i="2"/>
  <c r="B49" i="2" l="1"/>
  <c r="D49" i="2" s="1"/>
  <c r="E48" i="2" s="1" a="1"/>
  <c r="D50" i="2"/>
  <c r="P9" i="2"/>
  <c r="P26" i="2" s="1"/>
  <c r="U9" i="2"/>
  <c r="U26" i="2" s="1"/>
  <c r="R9" i="2"/>
  <c r="R26" i="2" s="1"/>
  <c r="AI9" i="2"/>
  <c r="AI26" i="2" s="1"/>
  <c r="O9" i="2"/>
  <c r="O26" i="2" s="1"/>
  <c r="AC9" i="2"/>
  <c r="AC26" i="2" s="1"/>
  <c r="T9" i="2"/>
  <c r="T26" i="2" s="1"/>
  <c r="X9" i="2"/>
  <c r="X26" i="2" s="1"/>
  <c r="W9" i="2"/>
  <c r="W26" i="2" s="1"/>
  <c r="AG9" i="2"/>
  <c r="AG26" i="2" s="1"/>
  <c r="S9" i="2"/>
  <c r="S26" i="2" s="1"/>
  <c r="AF9" i="2"/>
  <c r="AF26" i="2" s="1"/>
  <c r="AK9" i="2"/>
  <c r="AK26" i="2" s="1"/>
  <c r="Z9" i="2"/>
  <c r="Z26" i="2" s="1"/>
  <c r="AH9" i="2"/>
  <c r="AH26" i="2" s="1"/>
  <c r="AD9" i="2"/>
  <c r="AD26" i="2" s="1"/>
  <c r="Q9" i="2"/>
  <c r="Q26" i="2" s="1"/>
  <c r="AJ9" i="2"/>
  <c r="AJ26" i="2" s="1"/>
  <c r="AA9" i="2"/>
  <c r="AA26" i="2" s="1"/>
  <c r="Y9" i="2"/>
  <c r="Y26" i="2" s="1"/>
  <c r="V9" i="2"/>
  <c r="V26" i="2" s="1"/>
  <c r="AL9" i="2"/>
  <c r="AE9" i="2"/>
  <c r="AE26" i="2" s="1"/>
  <c r="AB9" i="2"/>
  <c r="AB26" i="2" s="1"/>
  <c r="AM9" i="2"/>
  <c r="Z10" i="2"/>
  <c r="Z27" i="2" s="1"/>
  <c r="U10" i="2"/>
  <c r="U27" i="2" s="1"/>
  <c r="AB10" i="2"/>
  <c r="AB27" i="2" s="1"/>
  <c r="AL10" i="2"/>
  <c r="AL27" i="2" s="1"/>
  <c r="AE10" i="2"/>
  <c r="AE27" i="2" s="1"/>
  <c r="AM10" i="2"/>
  <c r="AM27" i="2" s="1"/>
  <c r="T10" i="2"/>
  <c r="T27" i="2" s="1"/>
  <c r="W10" i="2"/>
  <c r="W27" i="2" s="1"/>
  <c r="AH10" i="2"/>
  <c r="AH27" i="2" s="1"/>
  <c r="AC10" i="2"/>
  <c r="AC27" i="2" s="1"/>
  <c r="V10" i="2"/>
  <c r="V27" i="2" s="1"/>
  <c r="AF10" i="2"/>
  <c r="AF27" i="2" s="1"/>
  <c r="R10" i="2"/>
  <c r="R27" i="2" s="1"/>
  <c r="AA10" i="2"/>
  <c r="AA27" i="2" s="1"/>
  <c r="P10" i="2"/>
  <c r="P27" i="2" s="1"/>
  <c r="AI10" i="2"/>
  <c r="AI27" i="2" s="1"/>
  <c r="AK10" i="2"/>
  <c r="AK27" i="2" s="1"/>
  <c r="S10" i="2"/>
  <c r="S27" i="2" s="1"/>
  <c r="X10" i="2"/>
  <c r="X27" i="2" s="1"/>
  <c r="AJ10" i="2"/>
  <c r="AJ27" i="2" s="1"/>
  <c r="AD10" i="2"/>
  <c r="AD27" i="2" s="1"/>
  <c r="Q10" i="2"/>
  <c r="Q27" i="2" s="1"/>
  <c r="O10" i="2"/>
  <c r="O27" i="2" s="1"/>
  <c r="Y10" i="2"/>
  <c r="Y27" i="2" s="1"/>
  <c r="AG10" i="2"/>
  <c r="AG27" i="2" s="1"/>
  <c r="E48" i="2" l="1"/>
  <c r="F50" i="2"/>
  <c r="E49" i="2"/>
  <c r="F49" i="2"/>
  <c r="F48" i="2"/>
  <c r="E50" i="2"/>
  <c r="AL26" i="2"/>
  <c r="AM26" i="2"/>
  <c r="X8" i="2" l="1"/>
  <c r="X25" i="2" s="1"/>
  <c r="AD8" i="2"/>
  <c r="AD25" i="2" s="1"/>
  <c r="Z8" i="2"/>
  <c r="Z25" i="2" s="1"/>
  <c r="S8" i="2"/>
  <c r="S25" i="2" s="1"/>
  <c r="W8" i="2"/>
  <c r="W25" i="2" s="1"/>
  <c r="R8" i="2"/>
  <c r="R25" i="2" s="1"/>
  <c r="Y8" i="2"/>
  <c r="Y25" i="2" s="1"/>
  <c r="AL8" i="2"/>
  <c r="AL25" i="2" s="1"/>
  <c r="AH8" i="2"/>
  <c r="AH25" i="2" s="1"/>
  <c r="T8" i="2"/>
  <c r="T25" i="2" s="1"/>
  <c r="AI8" i="2"/>
  <c r="AI25" i="2" s="1"/>
  <c r="P8" i="2"/>
  <c r="P25" i="2" s="1"/>
  <c r="AF8" i="2"/>
  <c r="AF25" i="2" s="1"/>
  <c r="V8" i="2"/>
  <c r="V25" i="2" s="1"/>
  <c r="Q8" i="2"/>
  <c r="Q25" i="2" s="1"/>
  <c r="AE8" i="2"/>
  <c r="AE25" i="2" s="1"/>
  <c r="AK8" i="2"/>
  <c r="AK25" i="2" s="1"/>
  <c r="AM8" i="2"/>
  <c r="AM25" i="2" s="1"/>
  <c r="AB8" i="2"/>
  <c r="AB25" i="2" s="1"/>
  <c r="U8" i="2"/>
  <c r="U25" i="2" s="1"/>
  <c r="AJ8" i="2"/>
  <c r="AJ25" i="2" s="1"/>
  <c r="AA8" i="2"/>
  <c r="AA25" i="2" s="1"/>
  <c r="AC8" i="2"/>
  <c r="AC25" i="2" s="1"/>
  <c r="O8" i="2"/>
  <c r="O25" i="2" s="1"/>
  <c r="AG8" i="2"/>
  <c r="AG25" i="2" s="1"/>
</calcChain>
</file>

<file path=xl/sharedStrings.xml><?xml version="1.0" encoding="utf-8"?>
<sst xmlns="http://schemas.openxmlformats.org/spreadsheetml/2006/main" count="113" uniqueCount="108">
  <si>
    <t>PROPOSED AMENDMENTS TO THE CALIFORNIA CAP ON GREENHOUSE GAS EMISSIONS AND</t>
  </si>
  <si>
    <t>MARKET-BASED COMPLIANCE MECHANISMS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</si>
  <si>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</si>
  <si>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Annual Average Auction Sale Price</t>
  </si>
  <si>
    <t>Price Floor</t>
  </si>
  <si>
    <r>
      <t>Annual Average Auction Sale Price</t>
    </r>
    <r>
      <rPr>
        <vertAlign val="superscript"/>
        <sz val="11"/>
        <color theme="1"/>
        <rFont val="Calibri"/>
        <family val="2"/>
        <scheme val="minor"/>
      </rPr>
      <t>2</t>
    </r>
  </si>
  <si>
    <r>
      <t>Annual Auction Reserve  Price</t>
    </r>
    <r>
      <rPr>
        <vertAlign val="superscript"/>
        <sz val="11"/>
        <color theme="1"/>
        <rFont val="Calibri"/>
        <family val="2"/>
        <scheme val="minor"/>
      </rPr>
      <t>3</t>
    </r>
  </si>
  <si>
    <t>Tier 1 Price</t>
  </si>
  <si>
    <t>Tier 2 Price</t>
  </si>
  <si>
    <t>Price Ceiling</t>
  </si>
  <si>
    <t>CPI Annual Rate of Change</t>
  </si>
  <si>
    <t>Reserve Price</t>
  </si>
  <si>
    <t>Annual Percent Change</t>
  </si>
  <si>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</si>
  <si>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4</t>
    </r>
    <r>
      <rPr>
        <sz val="11"/>
        <color indexed="8"/>
        <rFont val="Calibri"/>
        <family val="2"/>
      </rPr>
      <t xml:space="preserve"> 17 CCR § § 95915. Price Ceiling Sales.</t>
    </r>
  </si>
  <si>
    <t>Regression Estimates for exponential curves</t>
  </si>
  <si>
    <t>Current and Target Price in YEAR, Nominal</t>
  </si>
  <si>
    <t>Mid case</t>
  </si>
  <si>
    <t>Fitted exponential coefs</t>
  </si>
  <si>
    <t>REAL</t>
  </si>
  <si>
    <t>Mid</t>
  </si>
  <si>
    <t>t</t>
  </si>
  <si>
    <t>APCR</t>
  </si>
  <si>
    <t>high price</t>
  </si>
  <si>
    <r>
      <rPr>
        <b/>
        <sz val="12"/>
        <rFont val="Arial"/>
        <family val="2"/>
      </rPr>
      <t>SUMMARY OF JOINT AUCTION SETTLEMENT PRICES AND RESULTS</t>
    </r>
  </si>
  <si>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</si>
  <si>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</si>
  <si>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</si>
  <si>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</si>
  <si>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</si>
  <si>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</si>
  <si>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</si>
  <si>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t>Revenues</t>
  </si>
  <si>
    <r>
      <rPr>
        <b/>
        <sz val="12"/>
        <rFont val="Calibri"/>
        <family val="2"/>
      </rPr>
      <t>August 2023 Joint Auction #36</t>
    </r>
  </si>
  <si>
    <t>May 2023 Joint Auction #35</t>
  </si>
  <si>
    <t>February 2023 Joint Auction #34</t>
  </si>
  <si>
    <t>November 2022 Joint Auction #33</t>
  </si>
  <si>
    <r>
      <rPr>
        <b/>
        <sz val="12"/>
        <rFont val="Trebuchet MS"/>
        <family val="2"/>
      </rPr>
      <t>August 2022 Joint Auction #32</t>
    </r>
  </si>
  <si>
    <r>
      <rPr>
        <b/>
        <sz val="12"/>
        <rFont val="Trebuchet MS"/>
        <family val="2"/>
      </rPr>
      <t>May 2022 Joint Auction #31</t>
    </r>
  </si>
  <si>
    <r>
      <rPr>
        <b/>
        <sz val="12"/>
        <rFont val="Trebuchet MS"/>
        <family val="2"/>
      </rPr>
      <t>February 2022 Joint Auction #30</t>
    </r>
  </si>
  <si>
    <r>
      <rPr>
        <b/>
        <sz val="12"/>
        <rFont val="Trebuchet MS"/>
        <family val="2"/>
      </rPr>
      <t>November 2021 Joint Auction #29</t>
    </r>
  </si>
  <si>
    <r>
      <rPr>
        <b/>
        <sz val="12"/>
        <rFont val="Trebuchet MS"/>
        <family val="2"/>
      </rPr>
      <t>August 2021 Joint Auction #28</t>
    </r>
  </si>
  <si>
    <r>
      <rPr>
        <b/>
        <sz val="12"/>
        <rFont val="Trebuchet MS"/>
        <family val="2"/>
      </rPr>
      <t>May 2021 Joint Auction #27</t>
    </r>
  </si>
  <si>
    <t>February 2021 Joint Auction #26</t>
  </si>
  <si>
    <r>
      <rPr>
        <b/>
        <sz val="12"/>
        <rFont val="Arial"/>
        <family val="2"/>
      </rPr>
      <t>November 2020 Joint Auction #25</t>
    </r>
  </si>
  <si>
    <r>
      <rPr>
        <b/>
        <sz val="12"/>
        <rFont val="Arial"/>
        <family val="2"/>
      </rPr>
      <t>August 2020 Joint Auction #24</t>
    </r>
  </si>
  <si>
    <r>
      <rPr>
        <b/>
        <sz val="12"/>
        <rFont val="Arial"/>
        <family val="2"/>
      </rPr>
      <t>May 2020 Joint Auction #23</t>
    </r>
  </si>
  <si>
    <t>February 2020 Joint Auction #22</t>
  </si>
  <si>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</si>
  <si>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</si>
  <si>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</si>
  <si>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</si>
  <si>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November 2018 Joint Auction #17</t>
  </si>
  <si>
    <t>August 2018 Joint Auction #16</t>
  </si>
  <si>
    <t>May 2018 Joint Auction #15</t>
  </si>
  <si>
    <t>February 2018 Joint Auction #14</t>
  </si>
  <si>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</si>
  <si>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</si>
  <si>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</si>
  <si>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</si>
  <si>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</si>
  <si>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</si>
  <si>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</si>
  <si>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</si>
  <si>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</si>
  <si>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</si>
  <si>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</si>
  <si>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</si>
  <si>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</si>
  <si>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</si>
  <si>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</si>
  <si>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</si>
  <si>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</si>
  <si>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</si>
  <si>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</si>
  <si>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</si>
  <si>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</si>
  <si>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Annual</t>
  </si>
  <si>
    <t>volume</t>
  </si>
  <si>
    <t>revenues</t>
  </si>
  <si>
    <t>price</t>
  </si>
  <si>
    <t>NOTE: Auction revenues will include consigned allowances, so revenues column include proceeds distributed to utilities</t>
  </si>
  <si>
    <t xml:space="preserve">State versus consignment revenues may be found at: </t>
  </si>
  <si>
    <r>
      <rPr>
        <b/>
        <sz val="12"/>
        <rFont val="Calibri"/>
        <family val="2"/>
      </rPr>
      <t>August 2024 Joint Auction #40</t>
    </r>
  </si>
  <si>
    <r>
      <rPr>
        <b/>
        <sz val="12"/>
        <rFont val="Calibri"/>
        <family val="2"/>
      </rPr>
      <t>May 2024 Joint Auction #39</t>
    </r>
  </si>
  <si>
    <r>
      <rPr>
        <b/>
        <sz val="12"/>
        <rFont val="Calibri"/>
        <family val="2"/>
      </rPr>
      <t>February 2024 Joint Auction #38</t>
    </r>
  </si>
  <si>
    <r>
      <rPr>
        <b/>
        <sz val="12"/>
        <rFont val="Calibri"/>
        <family val="2"/>
      </rPr>
      <t>November 2023 Joint Auction #37</t>
    </r>
  </si>
  <si>
    <t>Regulation for the California Cap on Greenhouse Gas Emissions and Market-Based Compliance Mechanisms 2024 Amendments</t>
  </si>
  <si>
    <t>Low Price Scenario</t>
  </si>
  <si>
    <t>High Price Scenario</t>
  </si>
  <si>
    <t>High price scenario</t>
  </si>
  <si>
    <r>
      <t>CPI: Urban Consumer - All Items, (Index, 2024=1)</t>
    </r>
    <r>
      <rPr>
        <vertAlign val="superscript"/>
        <sz val="11"/>
        <color theme="1"/>
        <rFont val="Calibri"/>
        <family val="2"/>
        <scheme val="minor"/>
      </rPr>
      <t>5</t>
    </r>
  </si>
  <si>
    <r>
      <t xml:space="preserve">Carbon Price </t>
    </r>
    <r>
      <rPr>
        <b/>
        <sz val="11"/>
        <color indexed="8"/>
        <rFont val="Calibri"/>
        <family val="2"/>
      </rPr>
      <t>(2024$/metric ton CO</t>
    </r>
    <r>
      <rPr>
        <b/>
        <vertAlign val="subscript"/>
        <sz val="11"/>
        <color indexed="8"/>
        <rFont val="Calibri"/>
        <family val="2"/>
      </rPr>
      <t>2</t>
    </r>
    <r>
      <rPr>
        <b/>
        <sz val="11"/>
        <color indexed="8"/>
        <rFont val="Calibri"/>
        <family val="2"/>
      </rPr>
      <t>e)</t>
    </r>
  </si>
  <si>
    <t xml:space="preserve"> 2025 IEPR GHG Allowance Price Projections</t>
  </si>
  <si>
    <r>
      <rPr>
        <vertAlign val="superscript"/>
        <sz val="12"/>
        <color indexed="8"/>
        <rFont val="Calibri"/>
        <family val="2"/>
      </rPr>
      <t>5</t>
    </r>
    <r>
      <rPr>
        <sz val="11"/>
        <color indexed="8"/>
        <rFont val="Calibri"/>
        <family val="2"/>
      </rPr>
      <t xml:space="preserve"> Moody's Analytics, May 2025</t>
    </r>
  </si>
  <si>
    <r>
      <t>Mid Price Scenario</t>
    </r>
    <r>
      <rPr>
        <b/>
        <vertAlign val="superscript"/>
        <sz val="11"/>
        <color theme="1"/>
        <rFont val="Calibri"/>
        <family val="2"/>
        <scheme val="minor"/>
      </rPr>
      <t>1</t>
    </r>
  </si>
  <si>
    <t>Mid Price Scenario</t>
  </si>
  <si>
    <t>November 2025 Joint Auction #45</t>
  </si>
  <si>
    <t>August 2025 Joint Auction #44</t>
  </si>
  <si>
    <t>May 2025 Joint Auction #43</t>
  </si>
  <si>
    <t>February 2025 Joint Auction #42</t>
  </si>
  <si>
    <t>November 2024 Joint Auction #41</t>
  </si>
  <si>
    <r>
      <rPr>
        <vertAlign val="superscript"/>
        <sz val="11"/>
        <color indexed="8"/>
        <rFont val="Calibri"/>
        <family val="2"/>
      </rPr>
      <t>1</t>
    </r>
    <r>
      <rPr>
        <sz val="11"/>
        <color rgb="FF000000"/>
        <rFont val="Calibri"/>
        <family val="2"/>
      </rPr>
      <t xml:space="preserve"> P</t>
    </r>
    <r>
      <rPr>
        <sz val="11"/>
        <color indexed="8"/>
        <rFont val="Calibri"/>
        <family val="2"/>
      </rPr>
      <t xml:space="preserve">rices are assumed to reach Tier 1 Price by 2050.
</t>
    </r>
  </si>
  <si>
    <r>
      <rPr>
        <vertAlign val="superscript"/>
        <sz val="11"/>
        <color theme="1"/>
        <rFont val="Calibri"/>
        <family val="2"/>
      </rPr>
      <t>2</t>
    </r>
    <r>
      <rPr>
        <sz val="11"/>
        <color theme="1"/>
        <rFont val="Calibri"/>
        <family val="2"/>
      </rPr>
      <t xml:space="preserve"> 2013 through 2025 prices are the volume-weighed average Vintage Settlement Price of all auctions (February, May, August and November). 2024 is the average of Q1-Q3 prices.</t>
    </r>
  </si>
  <si>
    <r>
      <t xml:space="preserve">GDP Implicit Deflator Series  2024=1 </t>
    </r>
    <r>
      <rPr>
        <vertAlign val="superscript"/>
        <sz val="11"/>
        <color theme="1"/>
        <rFont val="Calibri"/>
        <family val="2"/>
        <scheme val="minor"/>
      </rPr>
      <t>5</t>
    </r>
  </si>
  <si>
    <t>CALIFORNIA CAP-AND-INVEST PROGRAM</t>
  </si>
  <si>
    <t>Source:https://ww2.arb.ca.gov/our-work/programs/cap-and-trade-program/auction-information</t>
  </si>
  <si>
    <t>https://ww2.arb.ca.gov/sites/default/files/2020-09/proceeds_summary.pdf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</si>
</sst>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0000000000000000_);_(* \(#,##0.000000000000000000\);_(* &quot;-&quot;??_);_(@_)"/>
    <numFmt numFmtId="165" formatCode="_(* #,##0.0000_);_(* \(#,##0.0000\);_(* &quot;-&quot;??_);_(@_)"/>
    <numFmt numFmtId="166" formatCode="_(* #,##0_);_(* \(#,##0\);_(* &quot;-&quot;??_);_(@_)"/>
    <numFmt numFmtId="167" formatCode="0.00000000000"/>
    <numFmt numFmtId="168" formatCode="_(* #,##0.000_);_(* \(#,##0.000\);_(* &quot;-&quot;??_);_(@_)"/>
    <numFmt numFmtId="169" formatCode="0_);\(0\)"/>
    <numFmt numFmtId="170" formatCode="0.0000"/>
    <numFmt numFmtId="171" formatCode="0.0%"/>
    <numFmt numFmtId="172" formatCode="0.000"/>
    <numFmt numFmtId="173" formatCode="0.00000"/>
    <numFmt numFmtId="174" formatCode="_(* #,##0.0_);_(* \(#,##0.0\);_(* &quot;-&quot;??_);_(@_)"/>
    <numFmt numFmtId="175" formatCode="&quot;$&quot;0.00"/>
    <numFmt numFmtId="176" formatCode="\$0.00"/>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b/>
      <sz val="12"/>
      <name val="Arial"/>
      <family val="2"/>
    </font>
    <font>
      <b/>
      <sz val="11"/>
      <name val="Arial"/>
      <family val="2"/>
    </font>
    <font>
      <b/>
      <sz val="12"/>
      <color indexed="8"/>
      <name val="Trebuchet MS"/>
      <family val="2"/>
    </font>
    <font>
      <sz val="12"/>
      <color indexed="8"/>
      <name val="Arial"/>
      <family val="2"/>
    </font>
    <font>
      <sz val="12"/>
      <color rgb="FF000000"/>
      <name val="Arial"/>
      <family val="2"/>
    </font>
    <font>
      <b/>
      <sz val="12"/>
      <name val="Calibri"/>
      <family val="2"/>
    </font>
    <font>
      <sz val="12"/>
      <color rgb="FF000000"/>
      <name val="AvenirNextforSAS"/>
      <family val="2"/>
    </font>
    <font>
      <b/>
      <sz val="12"/>
      <name val="Trebuchet MS"/>
      <family val="2"/>
    </font>
    <font>
      <b/>
      <sz val="12"/>
      <color indexed="8"/>
      <name val="Arial"/>
      <family val="2"/>
    </font>
    <font>
      <sz val="11"/>
      <name val="Calibri"/>
      <family val="2"/>
      <scheme val="minor"/>
    </font>
    <font>
      <b/>
      <vertAlign val="superscript"/>
      <sz val="11"/>
      <color theme="1"/>
      <name val="Calibri"/>
      <family val="2"/>
      <scheme val="minor"/>
    </font>
    <font>
      <sz val="11"/>
      <color rgb="FF000000"/>
      <name val="Calibri"/>
      <family val="2"/>
    </font>
    <font>
      <u/>
      <sz val="11"/>
      <color theme="1"/>
      <name val="Calibri"/>
      <family val="2"/>
      <scheme val="minor"/>
    </font>
    <font>
      <b/>
      <sz val="12"/>
      <name val="Calibri"/>
      <family val="2"/>
    </font>
    <font>
      <b/>
      <sz val="12"/>
      <name val="Calibri"/>
      <family val="2"/>
      <scheme val="minor"/>
    </font>
    <font>
      <sz val="12"/>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4F81BC"/>
      </patternFill>
    </fill>
    <fill>
      <patternFill patternType="solid">
        <fgColor rgb="FFCDE9F7"/>
      </patternFill>
    </fill>
    <fill>
      <patternFill patternType="solid">
        <fgColor rgb="FFCDE9F7"/>
        <bgColor indexed="64"/>
      </patternFill>
    </fill>
    <fill>
      <patternFill patternType="solid">
        <fgColor rgb="FFBBE3F7"/>
      </patternFill>
    </fill>
    <fill>
      <patternFill patternType="solid">
        <fgColor rgb="FFDBE4F0"/>
        <bgColor indexed="64"/>
      </patternFill>
    </fill>
    <fill>
      <patternFill patternType="solid">
        <fgColor rgb="FFDBE4F0"/>
      </patternFill>
    </fill>
    <fill>
      <patternFill patternType="solid">
        <fgColor rgb="FFB8CCE3"/>
        <bgColor indexed="64"/>
      </patternFill>
    </fill>
    <fill>
      <patternFill patternType="solid">
        <fgColor rgb="FFB8CCE3"/>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F5A7B"/>
      </top>
      <bottom style="thin">
        <color rgb="FF000000"/>
      </bottom>
      <diagonal/>
    </border>
    <border>
      <left style="thin">
        <color rgb="FF000000"/>
      </left>
      <right/>
      <top style="thin">
        <color rgb="FF0F5A7B"/>
      </top>
      <bottom style="thin">
        <color rgb="FF000000"/>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cellStyleXfs>
  <cellXfs count="168">
    <xf numFmtId="0" fontId="0" fillId="0" borderId="0" xfId="0"/>
    <xf numFmtId="164" fontId="0" fillId="0" borderId="0" xfId="1" applyNumberFormat="1" applyFont="1"/>
    <xf numFmtId="165" fontId="0" fillId="0" borderId="0" xfId="1" applyNumberFormat="1" applyFont="1"/>
    <xf numFmtId="166" fontId="0" fillId="0" borderId="0" xfId="1" applyNumberFormat="1" applyFont="1"/>
    <xf numFmtId="0" fontId="2" fillId="0" borderId="0" xfId="0" applyFont="1"/>
    <xf numFmtId="167" fontId="0" fillId="0" borderId="0" xfId="1" applyNumberFormat="1" applyFont="1"/>
    <xf numFmtId="0" fontId="3" fillId="0" borderId="0" xfId="0" applyFont="1" applyAlignment="1">
      <alignment horizontal="left" vertical="top" wrapText="1"/>
    </xf>
    <xf numFmtId="167" fontId="0" fillId="0" borderId="0" xfId="0" applyNumberFormat="1"/>
    <xf numFmtId="168" fontId="0" fillId="0" borderId="0" xfId="1" applyNumberFormat="1" applyFont="1"/>
    <xf numFmtId="168" fontId="0" fillId="0" borderId="0" xfId="0" applyNumberFormat="1"/>
    <xf numFmtId="8" fontId="0" fillId="0" borderId="0" xfId="0" applyNumberFormat="1" applyAlignment="1">
      <alignment wrapText="1"/>
    </xf>
    <xf numFmtId="0" fontId="4" fillId="0" borderId="0" xfId="0" applyFont="1" applyAlignment="1">
      <alignment wrapText="1"/>
    </xf>
    <xf numFmtId="169" fontId="0" fillId="0" borderId="0" xfId="1" applyNumberFormat="1" applyFont="1"/>
    <xf numFmtId="43" fontId="0" fillId="0" borderId="0" xfId="0" applyNumberFormat="1"/>
    <xf numFmtId="43" fontId="2" fillId="0" borderId="0" xfId="1" applyFont="1"/>
    <xf numFmtId="43" fontId="2" fillId="2" borderId="0" xfId="1" applyFont="1" applyFill="1"/>
    <xf numFmtId="2" fontId="0" fillId="0" borderId="0" xfId="0" applyNumberFormat="1"/>
    <xf numFmtId="43" fontId="0" fillId="0" borderId="0" xfId="1" applyFont="1"/>
    <xf numFmtId="0" fontId="0" fillId="2" borderId="0" xfId="0" applyFill="1"/>
    <xf numFmtId="170" fontId="1" fillId="0" borderId="0" xfId="2" applyNumberFormat="1" applyFont="1" applyFill="1"/>
    <xf numFmtId="43" fontId="1" fillId="0" borderId="0" xfId="1" applyFont="1" applyFill="1"/>
    <xf numFmtId="168" fontId="1" fillId="0" borderId="0" xfId="1" applyNumberFormat="1" applyFont="1" applyFill="1"/>
    <xf numFmtId="0" fontId="0" fillId="0" borderId="0" xfId="0" applyAlignment="1">
      <alignment wrapText="1"/>
    </xf>
    <xf numFmtId="10" fontId="1" fillId="0" borderId="0" xfId="2" applyNumberFormat="1" applyFont="1" applyFill="1"/>
    <xf numFmtId="10" fontId="0" fillId="0" borderId="0" xfId="1" applyNumberFormat="1" applyFont="1"/>
    <xf numFmtId="0" fontId="4" fillId="0" borderId="0" xfId="0" applyFont="1"/>
    <xf numFmtId="171" fontId="0" fillId="0" borderId="0" xfId="2" applyNumberFormat="1" applyFont="1"/>
    <xf numFmtId="0" fontId="9" fillId="0" borderId="0" xfId="0" applyFont="1" applyAlignment="1">
      <alignment vertical="top"/>
    </xf>
    <xf numFmtId="0" fontId="11" fillId="0" borderId="0" xfId="0" applyFont="1" applyAlignment="1">
      <alignment vertical="top" wrapText="1"/>
    </xf>
    <xf numFmtId="0" fontId="9" fillId="0" borderId="0" xfId="0" applyFont="1" applyAlignment="1">
      <alignment wrapText="1"/>
    </xf>
    <xf numFmtId="0" fontId="9" fillId="0" borderId="0" xfId="0" applyFont="1"/>
    <xf numFmtId="0" fontId="9"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wrapText="1"/>
    </xf>
    <xf numFmtId="0" fontId="0" fillId="0" borderId="4" xfId="0" applyBorder="1" applyAlignment="1">
      <alignment horizontal="right" indent="5"/>
    </xf>
    <xf numFmtId="43" fontId="0" fillId="3" borderId="0" xfId="1" applyFont="1" applyFill="1" applyBorder="1"/>
    <xf numFmtId="169" fontId="0" fillId="0" borderId="0" xfId="0" applyNumberFormat="1" applyAlignment="1">
      <alignment horizontal="left" vertical="top"/>
    </xf>
    <xf numFmtId="172" fontId="0" fillId="0" borderId="0" xfId="0" applyNumberFormat="1" applyAlignment="1">
      <alignment horizontal="left" vertical="top"/>
    </xf>
    <xf numFmtId="172" fontId="2" fillId="0" borderId="0" xfId="1" applyNumberFormat="1" applyFont="1" applyFill="1" applyBorder="1" applyAlignment="1">
      <alignment horizontal="left" vertical="top"/>
    </xf>
    <xf numFmtId="172" fontId="2" fillId="0" borderId="5" xfId="1" applyNumberFormat="1" applyFont="1" applyFill="1" applyBorder="1" applyAlignment="1">
      <alignment horizontal="left" vertical="top"/>
    </xf>
    <xf numFmtId="172" fontId="0" fillId="0" borderId="5" xfId="0" applyNumberFormat="1" applyBorder="1" applyAlignment="1">
      <alignment horizontal="left" vertical="top"/>
    </xf>
    <xf numFmtId="43" fontId="2" fillId="0" borderId="0" xfId="0" applyNumberFormat="1" applyFont="1"/>
    <xf numFmtId="0" fontId="0" fillId="0" borderId="4" xfId="0" applyBorder="1" applyAlignment="1">
      <alignment horizontal="right"/>
    </xf>
    <xf numFmtId="173" fontId="0" fillId="0" borderId="0" xfId="0" applyNumberFormat="1" applyAlignment="1">
      <alignment horizontal="left" vertical="top"/>
    </xf>
    <xf numFmtId="43" fontId="0" fillId="0" borderId="4" xfId="0" applyNumberFormat="1" applyBorder="1" applyAlignment="1">
      <alignment horizontal="right"/>
    </xf>
    <xf numFmtId="43" fontId="0" fillId="0" borderId="0" xfId="1" applyFont="1" applyBorder="1"/>
    <xf numFmtId="172" fontId="0" fillId="0" borderId="0" xfId="0" applyNumberFormat="1"/>
    <xf numFmtId="172" fontId="2" fillId="0" borderId="0" xfId="0" applyNumberFormat="1" applyFont="1"/>
    <xf numFmtId="172" fontId="0" fillId="0" borderId="5" xfId="0" applyNumberFormat="1" applyBorder="1"/>
    <xf numFmtId="172" fontId="0" fillId="0" borderId="6" xfId="0" applyNumberFormat="1" applyBorder="1" applyAlignment="1">
      <alignment horizontal="left" vertical="top"/>
    </xf>
    <xf numFmtId="172" fontId="0" fillId="0" borderId="7" xfId="0" applyNumberFormat="1" applyBorder="1" applyAlignment="1">
      <alignment horizontal="left" vertical="top"/>
    </xf>
    <xf numFmtId="0" fontId="0" fillId="0" borderId="8" xfId="0" applyBorder="1" applyAlignment="1">
      <alignment horizontal="right" indent="5"/>
    </xf>
    <xf numFmtId="174" fontId="2" fillId="0" borderId="6" xfId="0" applyNumberFormat="1" applyFont="1" applyBorder="1"/>
    <xf numFmtId="169" fontId="0" fillId="0" borderId="6" xfId="0" applyNumberFormat="1" applyBorder="1" applyAlignment="1">
      <alignment horizontal="left" vertical="top"/>
    </xf>
    <xf numFmtId="0" fontId="2" fillId="0" borderId="0" xfId="0" applyFont="1" applyAlignment="1">
      <alignment vertical="center"/>
    </xf>
    <xf numFmtId="0" fontId="14" fillId="0" borderId="0" xfId="3" applyAlignment="1">
      <alignment horizontal="left" vertical="top"/>
    </xf>
    <xf numFmtId="0" fontId="15" fillId="0" borderId="0" xfId="3" applyFont="1" applyAlignment="1">
      <alignment horizontal="left" vertical="top"/>
    </xf>
    <xf numFmtId="0" fontId="14" fillId="0" borderId="0" xfId="3" applyAlignment="1">
      <alignment horizontal="center"/>
    </xf>
    <xf numFmtId="0" fontId="14" fillId="0" borderId="0" xfId="3" applyAlignment="1">
      <alignment horizontal="center" vertical="top"/>
    </xf>
    <xf numFmtId="166" fontId="14" fillId="0" borderId="0" xfId="1" applyNumberFormat="1" applyFont="1" applyFill="1" applyBorder="1" applyAlignment="1">
      <alignment horizontal="center"/>
    </xf>
    <xf numFmtId="0" fontId="16" fillId="0" borderId="0" xfId="3" applyFont="1" applyAlignment="1">
      <alignment horizontal="center" vertical="top"/>
    </xf>
    <xf numFmtId="3" fontId="14" fillId="0" borderId="0" xfId="3" applyNumberFormat="1" applyAlignment="1">
      <alignment horizontal="center" vertical="top"/>
    </xf>
    <xf numFmtId="0" fontId="15" fillId="4" borderId="9" xfId="3" applyFont="1" applyFill="1" applyBorder="1" applyAlignment="1">
      <alignment horizontal="left" vertical="top" wrapText="1"/>
    </xf>
    <xf numFmtId="0" fontId="15" fillId="4" borderId="10" xfId="3" applyFont="1" applyFill="1" applyBorder="1" applyAlignment="1">
      <alignment horizontal="center" wrapText="1"/>
    </xf>
    <xf numFmtId="166" fontId="15" fillId="4" borderId="10" xfId="1" applyNumberFormat="1" applyFont="1" applyFill="1" applyBorder="1" applyAlignment="1">
      <alignment horizontal="center" wrapText="1"/>
    </xf>
    <xf numFmtId="0" fontId="17" fillId="0" borderId="11" xfId="0" applyFont="1" applyBorder="1" applyAlignment="1">
      <alignment horizontal="left" vertical="top" wrapText="1"/>
    </xf>
    <xf numFmtId="3" fontId="18" fillId="0" borderId="12" xfId="0" applyNumberFormat="1" applyFont="1" applyBorder="1" applyAlignment="1">
      <alignment horizontal="left" vertical="top" indent="2" shrinkToFit="1"/>
    </xf>
    <xf numFmtId="175" fontId="18" fillId="0" borderId="12" xfId="0" applyNumberFormat="1" applyFont="1" applyBorder="1" applyAlignment="1">
      <alignment horizontal="left" vertical="top" indent="2" shrinkToFit="1"/>
    </xf>
    <xf numFmtId="3" fontId="18" fillId="0" borderId="12" xfId="0" applyNumberFormat="1" applyFont="1" applyBorder="1" applyAlignment="1">
      <alignment horizontal="left" vertical="top" indent="4" shrinkToFit="1"/>
    </xf>
    <xf numFmtId="3" fontId="18" fillId="0" borderId="12" xfId="0" applyNumberFormat="1" applyFont="1" applyBorder="1" applyAlignment="1">
      <alignment horizontal="left" vertical="top" indent="3" shrinkToFit="1"/>
    </xf>
    <xf numFmtId="175" fontId="18" fillId="0" borderId="13" xfId="0" applyNumberFormat="1" applyFont="1" applyBorder="1" applyAlignment="1">
      <alignment horizontal="left" vertical="top" indent="2" shrinkToFit="1"/>
    </xf>
    <xf numFmtId="166" fontId="19" fillId="0" borderId="10" xfId="1" applyNumberFormat="1" applyFont="1" applyFill="1" applyBorder="1" applyAlignment="1">
      <alignment horizontal="center" wrapText="1"/>
    </xf>
    <xf numFmtId="0" fontId="20" fillId="5" borderId="14" xfId="0" applyFont="1" applyFill="1" applyBorder="1" applyAlignment="1">
      <alignment horizontal="left" vertical="top" wrapText="1"/>
    </xf>
    <xf numFmtId="3" fontId="21" fillId="5" borderId="14" xfId="0" applyNumberFormat="1" applyFont="1" applyFill="1" applyBorder="1" applyAlignment="1">
      <alignment horizontal="right" vertical="top" shrinkToFit="1"/>
    </xf>
    <xf numFmtId="176" fontId="21" fillId="5" borderId="14" xfId="0" applyNumberFormat="1" applyFont="1" applyFill="1" applyBorder="1" applyAlignment="1">
      <alignment horizontal="center" vertical="top" shrinkToFit="1"/>
    </xf>
    <xf numFmtId="176" fontId="21" fillId="5" borderId="15" xfId="0" applyNumberFormat="1" applyFont="1" applyFill="1" applyBorder="1" applyAlignment="1">
      <alignment horizontal="right" vertical="top" indent="1" shrinkToFit="1"/>
    </xf>
    <xf numFmtId="0" fontId="17" fillId="0" borderId="10" xfId="0" applyFont="1" applyBorder="1" applyAlignment="1">
      <alignment horizontal="left" vertical="top" wrapText="1"/>
    </xf>
    <xf numFmtId="3" fontId="18" fillId="0" borderId="10" xfId="0" applyNumberFormat="1" applyFont="1" applyBorder="1" applyAlignment="1">
      <alignment horizontal="right" vertical="top" shrinkToFit="1"/>
    </xf>
    <xf numFmtId="175" fontId="18" fillId="0" borderId="10" xfId="0" applyNumberFormat="1" applyFont="1" applyBorder="1" applyAlignment="1">
      <alignment horizontal="right" vertical="top" indent="2" shrinkToFit="1"/>
    </xf>
    <xf numFmtId="175" fontId="18" fillId="0" borderId="10" xfId="0" applyNumberFormat="1" applyFont="1" applyBorder="1" applyAlignment="1">
      <alignment horizontal="center" vertical="top" shrinkToFit="1"/>
    </xf>
    <xf numFmtId="0" fontId="17" fillId="6" borderId="10" xfId="0" applyFont="1" applyFill="1" applyBorder="1" applyAlignment="1">
      <alignment horizontal="left" vertical="top" wrapText="1"/>
    </xf>
    <xf numFmtId="3" fontId="18" fillId="6" borderId="10" xfId="0" applyNumberFormat="1" applyFont="1" applyFill="1" applyBorder="1" applyAlignment="1">
      <alignment horizontal="right" vertical="top" shrinkToFit="1"/>
    </xf>
    <xf numFmtId="175" fontId="18" fillId="6" borderId="10" xfId="0" applyNumberFormat="1" applyFont="1" applyFill="1" applyBorder="1" applyAlignment="1">
      <alignment horizontal="right" vertical="top" indent="2" shrinkToFit="1"/>
    </xf>
    <xf numFmtId="175" fontId="18" fillId="6" borderId="10" xfId="0" applyNumberFormat="1" applyFont="1" applyFill="1" applyBorder="1" applyAlignment="1">
      <alignment horizontal="center" vertical="top" shrinkToFit="1"/>
    </xf>
    <xf numFmtId="0" fontId="22" fillId="7" borderId="10" xfId="0" applyFont="1" applyFill="1" applyBorder="1" applyAlignment="1">
      <alignment horizontal="left" vertical="top" wrapText="1"/>
    </xf>
    <xf numFmtId="3" fontId="19" fillId="7" borderId="10" xfId="0" applyNumberFormat="1" applyFont="1" applyFill="1" applyBorder="1" applyAlignment="1">
      <alignment horizontal="right" vertical="top" shrinkToFit="1"/>
    </xf>
    <xf numFmtId="176" fontId="19" fillId="7" borderId="10" xfId="0" applyNumberFormat="1" applyFont="1" applyFill="1" applyBorder="1" applyAlignment="1">
      <alignment horizontal="right" vertical="top" indent="2" shrinkToFit="1"/>
    </xf>
    <xf numFmtId="176" fontId="19" fillId="7" borderId="10" xfId="0" applyNumberFormat="1" applyFont="1" applyFill="1" applyBorder="1" applyAlignment="1">
      <alignment horizontal="center" vertical="top" shrinkToFit="1"/>
    </xf>
    <xf numFmtId="0" fontId="22" fillId="0" borderId="10" xfId="0" applyFont="1" applyBorder="1" applyAlignment="1">
      <alignment horizontal="left" vertical="top" wrapText="1"/>
    </xf>
    <xf numFmtId="3" fontId="19" fillId="0" borderId="10" xfId="0" applyNumberFormat="1" applyFont="1" applyBorder="1" applyAlignment="1">
      <alignment horizontal="right" vertical="top" shrinkToFit="1"/>
    </xf>
    <xf numFmtId="176" fontId="19" fillId="0" borderId="10" xfId="0" applyNumberFormat="1" applyFont="1" applyBorder="1" applyAlignment="1">
      <alignment horizontal="right" vertical="top" indent="2" shrinkToFit="1"/>
    </xf>
    <xf numFmtId="176" fontId="19" fillId="0" borderId="10" xfId="0" applyNumberFormat="1" applyFont="1" applyBorder="1" applyAlignment="1">
      <alignment horizontal="center" vertical="top" shrinkToFit="1"/>
    </xf>
    <xf numFmtId="0" fontId="22" fillId="5" borderId="10" xfId="0" applyFont="1" applyFill="1" applyBorder="1" applyAlignment="1">
      <alignment horizontal="left" vertical="top" wrapText="1"/>
    </xf>
    <xf numFmtId="3" fontId="19" fillId="5" borderId="10" xfId="0" applyNumberFormat="1" applyFont="1" applyFill="1" applyBorder="1" applyAlignment="1">
      <alignment horizontal="right" vertical="top" shrinkToFit="1"/>
    </xf>
    <xf numFmtId="176" fontId="19" fillId="5" borderId="10" xfId="0" applyNumberFormat="1" applyFont="1" applyFill="1" applyBorder="1" applyAlignment="1">
      <alignment horizontal="right" vertical="top" indent="2" shrinkToFit="1"/>
    </xf>
    <xf numFmtId="176" fontId="19" fillId="5" borderId="10" xfId="0" applyNumberFormat="1" applyFont="1" applyFill="1" applyBorder="1" applyAlignment="1">
      <alignment horizontal="center" vertical="top" shrinkToFit="1"/>
    </xf>
    <xf numFmtId="0" fontId="23" fillId="8" borderId="10" xfId="0" applyFont="1" applyFill="1" applyBorder="1" applyAlignment="1">
      <alignment horizontal="left" vertical="top" wrapText="1"/>
    </xf>
    <xf numFmtId="3" fontId="18" fillId="8" borderId="10" xfId="0" applyNumberFormat="1" applyFont="1" applyFill="1" applyBorder="1" applyAlignment="1">
      <alignment horizontal="right" vertical="top" shrinkToFit="1"/>
    </xf>
    <xf numFmtId="175" fontId="18" fillId="8" borderId="10" xfId="0" applyNumberFormat="1" applyFont="1" applyFill="1" applyBorder="1" applyAlignment="1">
      <alignment horizontal="left" vertical="top" indent="2" shrinkToFit="1"/>
    </xf>
    <xf numFmtId="175" fontId="18" fillId="8" borderId="9" xfId="0" applyNumberFormat="1" applyFont="1" applyFill="1" applyBorder="1" applyAlignment="1">
      <alignment horizontal="right" vertical="top" indent="1" shrinkToFit="1"/>
    </xf>
    <xf numFmtId="175" fontId="0" fillId="0" borderId="0" xfId="0" applyNumberFormat="1"/>
    <xf numFmtId="0" fontId="15" fillId="0" borderId="10" xfId="0" applyFont="1" applyBorder="1" applyAlignment="1">
      <alignment horizontal="left" vertical="top" wrapText="1"/>
    </xf>
    <xf numFmtId="176" fontId="19" fillId="0" borderId="10" xfId="0" applyNumberFormat="1" applyFont="1" applyBorder="1" applyAlignment="1">
      <alignment horizontal="left" vertical="top" indent="2" shrinkToFit="1"/>
    </xf>
    <xf numFmtId="0" fontId="15" fillId="9" borderId="10" xfId="0" applyFont="1" applyFill="1" applyBorder="1" applyAlignment="1">
      <alignment horizontal="left" vertical="top" wrapText="1"/>
    </xf>
    <xf numFmtId="3" fontId="19" fillId="9" borderId="10" xfId="0" applyNumberFormat="1" applyFont="1" applyFill="1" applyBorder="1" applyAlignment="1">
      <alignment horizontal="right" vertical="top" shrinkToFit="1"/>
    </xf>
    <xf numFmtId="176" fontId="19" fillId="9" borderId="10" xfId="0" applyNumberFormat="1" applyFont="1" applyFill="1" applyBorder="1" applyAlignment="1">
      <alignment horizontal="left" vertical="top" indent="2" shrinkToFit="1"/>
    </xf>
    <xf numFmtId="176" fontId="19" fillId="9" borderId="10" xfId="0" applyNumberFormat="1" applyFont="1" applyFill="1" applyBorder="1" applyAlignment="1">
      <alignment horizontal="right" vertical="top" indent="2" shrinkToFit="1"/>
    </xf>
    <xf numFmtId="0" fontId="15" fillId="0" borderId="16" xfId="0" applyFont="1" applyBorder="1" applyAlignment="1">
      <alignment horizontal="left" vertical="top" wrapText="1"/>
    </xf>
    <xf numFmtId="3" fontId="19" fillId="0" borderId="16" xfId="0" applyNumberFormat="1" applyFont="1" applyBorder="1" applyAlignment="1">
      <alignment horizontal="right" vertical="top" wrapText="1"/>
    </xf>
    <xf numFmtId="176" fontId="19" fillId="0" borderId="16" xfId="0" applyNumberFormat="1" applyFont="1" applyBorder="1" applyAlignment="1">
      <alignment horizontal="left" vertical="top" wrapText="1" indent="2"/>
    </xf>
    <xf numFmtId="176" fontId="19" fillId="0" borderId="17" xfId="0" applyNumberFormat="1" applyFont="1" applyBorder="1" applyAlignment="1">
      <alignment horizontal="right" vertical="top" wrapText="1" indent="1"/>
    </xf>
    <xf numFmtId="3" fontId="19" fillId="9" borderId="10" xfId="0" applyNumberFormat="1" applyFont="1" applyFill="1" applyBorder="1" applyAlignment="1">
      <alignment horizontal="right" vertical="top" wrapText="1"/>
    </xf>
    <xf numFmtId="176" fontId="19" fillId="9" borderId="10" xfId="0" applyNumberFormat="1" applyFont="1" applyFill="1" applyBorder="1" applyAlignment="1">
      <alignment horizontal="left" vertical="top" wrapText="1" indent="2"/>
    </xf>
    <xf numFmtId="176" fontId="19" fillId="9" borderId="9" xfId="0" applyNumberFormat="1" applyFont="1" applyFill="1" applyBorder="1" applyAlignment="1">
      <alignment horizontal="right" vertical="top" wrapText="1" indent="1"/>
    </xf>
    <xf numFmtId="3" fontId="19" fillId="0" borderId="10" xfId="0" applyNumberFormat="1" applyFont="1" applyBorder="1" applyAlignment="1">
      <alignment horizontal="right" vertical="top" wrapText="1"/>
    </xf>
    <xf numFmtId="176" fontId="19" fillId="0" borderId="10" xfId="0" applyNumberFormat="1" applyFont="1" applyBorder="1" applyAlignment="1">
      <alignment horizontal="left" vertical="top" wrapText="1" indent="2"/>
    </xf>
    <xf numFmtId="176" fontId="19" fillId="0" borderId="9" xfId="0" applyNumberFormat="1" applyFont="1" applyBorder="1" applyAlignment="1">
      <alignment horizontal="right" vertical="top" wrapText="1" indent="1"/>
    </xf>
    <xf numFmtId="0" fontId="23" fillId="0" borderId="18" xfId="0" applyFont="1" applyBorder="1" applyAlignment="1">
      <alignment horizontal="left" vertical="top" wrapText="1"/>
    </xf>
    <xf numFmtId="3" fontId="18" fillId="0" borderId="18" xfId="0" applyNumberFormat="1" applyFont="1" applyBorder="1" applyAlignment="1">
      <alignment horizontal="center" wrapText="1"/>
    </xf>
    <xf numFmtId="176" fontId="19" fillId="0" borderId="10" xfId="3" applyNumberFormat="1" applyFont="1" applyBorder="1" applyAlignment="1">
      <alignment horizontal="center" wrapText="1"/>
    </xf>
    <xf numFmtId="0" fontId="23" fillId="10" borderId="10" xfId="0" applyFont="1" applyFill="1" applyBorder="1" applyAlignment="1">
      <alignment horizontal="left" vertical="top" wrapText="1"/>
    </xf>
    <xf numFmtId="3" fontId="18" fillId="10" borderId="10" xfId="0" applyNumberFormat="1" applyFont="1" applyFill="1" applyBorder="1" applyAlignment="1">
      <alignment horizontal="center" wrapText="1"/>
    </xf>
    <xf numFmtId="176" fontId="19" fillId="11" borderId="10" xfId="3" applyNumberFormat="1" applyFont="1" applyFill="1" applyBorder="1" applyAlignment="1">
      <alignment horizontal="center" wrapText="1"/>
    </xf>
    <xf numFmtId="0" fontId="15" fillId="0" borderId="9" xfId="3" applyFont="1" applyBorder="1" applyAlignment="1">
      <alignment horizontal="left" vertical="top" wrapText="1"/>
    </xf>
    <xf numFmtId="0" fontId="15" fillId="11" borderId="9" xfId="3" applyFont="1" applyFill="1" applyBorder="1" applyAlignment="1">
      <alignment horizontal="left" vertical="top" wrapText="1"/>
    </xf>
    <xf numFmtId="3" fontId="19" fillId="11" borderId="10" xfId="3" applyNumberFormat="1" applyFont="1" applyFill="1" applyBorder="1" applyAlignment="1">
      <alignment horizontal="center" wrapText="1"/>
    </xf>
    <xf numFmtId="3" fontId="19" fillId="0" borderId="10" xfId="3" applyNumberFormat="1" applyFont="1" applyBorder="1" applyAlignment="1">
      <alignment horizontal="center" wrapText="1"/>
    </xf>
    <xf numFmtId="0" fontId="15" fillId="11" borderId="10" xfId="3" applyFont="1" applyFill="1" applyBorder="1" applyAlignment="1">
      <alignment horizontal="left" vertical="top" wrapText="1"/>
    </xf>
    <xf numFmtId="0" fontId="15" fillId="0" borderId="10" xfId="3" applyFont="1" applyBorder="1" applyAlignment="1">
      <alignment horizontal="left" vertical="top" wrapText="1"/>
    </xf>
    <xf numFmtId="0" fontId="14" fillId="2" borderId="0" xfId="3" applyFill="1" applyAlignment="1">
      <alignment horizontal="left" vertical="top"/>
    </xf>
    <xf numFmtId="43" fontId="14" fillId="0" borderId="0" xfId="1" applyFont="1" applyFill="1" applyBorder="1" applyAlignment="1">
      <alignment horizontal="center" vertical="top"/>
    </xf>
    <xf numFmtId="43" fontId="14" fillId="0" borderId="0" xfId="3" applyNumberFormat="1" applyAlignment="1">
      <alignment horizontal="center" vertical="top"/>
    </xf>
    <xf numFmtId="0" fontId="24" fillId="0" borderId="0" xfId="0" applyFont="1"/>
    <xf numFmtId="0" fontId="0" fillId="0" borderId="0" xfId="0" applyAlignment="1">
      <alignment horizontal="center"/>
    </xf>
    <xf numFmtId="43" fontId="0" fillId="0" borderId="0" xfId="0" applyNumberFormat="1" applyAlignment="1">
      <alignment horizontal="center"/>
    </xf>
    <xf numFmtId="0" fontId="24" fillId="0" borderId="0" xfId="3" applyFont="1" applyAlignment="1">
      <alignment horizontal="left" vertical="top"/>
    </xf>
    <xf numFmtId="166" fontId="0" fillId="0" borderId="0" xfId="0" applyNumberFormat="1" applyAlignment="1">
      <alignment horizontal="center"/>
    </xf>
    <xf numFmtId="0" fontId="9" fillId="0" borderId="0" xfId="0" applyFont="1" applyAlignment="1">
      <alignment vertical="top" wrapText="1"/>
    </xf>
    <xf numFmtId="0" fontId="28" fillId="5" borderId="10" xfId="0" applyFont="1" applyFill="1" applyBorder="1" applyAlignment="1">
      <alignment horizontal="left" vertical="top" wrapText="1"/>
    </xf>
    <xf numFmtId="3" fontId="21" fillId="5" borderId="10" xfId="0" applyNumberFormat="1" applyFont="1" applyFill="1" applyBorder="1" applyAlignment="1">
      <alignment horizontal="center" vertical="top" shrinkToFit="1"/>
    </xf>
    <xf numFmtId="176" fontId="21" fillId="5" borderId="10" xfId="0" applyNumberFormat="1" applyFont="1" applyFill="1" applyBorder="1" applyAlignment="1">
      <alignment horizontal="center" vertical="top" shrinkToFit="1"/>
    </xf>
    <xf numFmtId="0" fontId="28" fillId="0" borderId="10" xfId="0" applyFont="1" applyBorder="1" applyAlignment="1">
      <alignment horizontal="left" vertical="top" wrapText="1"/>
    </xf>
    <xf numFmtId="3" fontId="21" fillId="0" borderId="10" xfId="0" applyNumberFormat="1" applyFont="1" applyBorder="1" applyAlignment="1">
      <alignment horizontal="center" vertical="top" shrinkToFit="1"/>
    </xf>
    <xf numFmtId="176" fontId="21" fillId="0" borderId="10" xfId="0" applyNumberFormat="1" applyFont="1" applyBorder="1" applyAlignment="1">
      <alignment horizontal="center" vertical="top" shrinkToFit="1"/>
    </xf>
    <xf numFmtId="2" fontId="0" fillId="2" borderId="0" xfId="0" applyNumberFormat="1" applyFill="1"/>
    <xf numFmtId="43" fontId="0" fillId="2" borderId="0" xfId="0" applyNumberFormat="1" applyFill="1"/>
    <xf numFmtId="0" fontId="29" fillId="0" borderId="10" xfId="0" applyFont="1" applyBorder="1" applyAlignment="1">
      <alignment horizontal="left" vertical="top" wrapText="1"/>
    </xf>
    <xf numFmtId="3" fontId="30" fillId="0" borderId="10" xfId="0" applyNumberFormat="1" applyFont="1" applyBorder="1" applyAlignment="1">
      <alignment horizontal="center" vertical="top" shrinkToFit="1"/>
    </xf>
    <xf numFmtId="176" fontId="30" fillId="0" borderId="10" xfId="0" applyNumberFormat="1" applyFont="1" applyBorder="1" applyAlignment="1">
      <alignment horizontal="center" vertical="top" shrinkToFit="1"/>
    </xf>
    <xf numFmtId="0" fontId="29" fillId="5" borderId="10" xfId="0" applyFont="1" applyFill="1" applyBorder="1" applyAlignment="1">
      <alignment horizontal="left" vertical="top" wrapText="1"/>
    </xf>
    <xf numFmtId="3" fontId="30" fillId="5" borderId="10" xfId="0" applyNumberFormat="1" applyFont="1" applyFill="1" applyBorder="1" applyAlignment="1">
      <alignment horizontal="center" vertical="top" shrinkToFit="1"/>
    </xf>
    <xf numFmtId="176" fontId="30" fillId="5" borderId="10" xfId="0" applyNumberFormat="1" applyFont="1" applyFill="1" applyBorder="1" applyAlignment="1">
      <alignment horizontal="center" vertical="top" shrinkToFit="1"/>
    </xf>
    <xf numFmtId="174" fontId="0" fillId="0" borderId="0" xfId="1" applyNumberFormat="1" applyFont="1"/>
    <xf numFmtId="174" fontId="2" fillId="0" borderId="0" xfId="1" applyNumberFormat="1" applyFont="1"/>
    <xf numFmtId="174" fontId="2" fillId="0" borderId="0" xfId="1" applyNumberFormat="1" applyFont="1" applyFill="1"/>
    <xf numFmtId="174" fontId="2" fillId="2" borderId="0" xfId="1" applyNumberFormat="1" applyFont="1" applyFill="1"/>
    <xf numFmtId="174" fontId="0" fillId="0" borderId="0" xfId="1" applyNumberFormat="1" applyFont="1" applyFill="1"/>
    <xf numFmtId="174" fontId="0" fillId="2" borderId="0" xfId="1" applyNumberFormat="1" applyFont="1" applyFill="1"/>
    <xf numFmtId="174" fontId="1" fillId="0" borderId="0" xfId="1" applyNumberFormat="1" applyFont="1" applyFill="1"/>
    <xf numFmtId="174" fontId="1" fillId="0" borderId="0" xfId="1" applyNumberFormat="1" applyFont="1"/>
    <xf numFmtId="174" fontId="1" fillId="2" borderId="0" xfId="1" applyNumberFormat="1" applyFont="1" applyFill="1"/>
    <xf numFmtId="43" fontId="1" fillId="0" borderId="0" xfId="1" applyFont="1"/>
    <xf numFmtId="171" fontId="1" fillId="0" borderId="0" xfId="2" applyNumberFormat="1" applyFont="1"/>
    <xf numFmtId="174" fontId="27" fillId="2" borderId="0" xfId="1" applyNumberFormat="1" applyFont="1" applyFill="1"/>
    <xf numFmtId="174" fontId="0" fillId="0" borderId="0" xfId="0" applyNumberFormat="1"/>
  </cellXfs>
  <cellStyles count="4">
    <cellStyle name="Comma" xfId="1" builtinId="3"/>
    <cellStyle name="Normal" xfId="0" builtinId="0"/>
    <cellStyle name="Normal 2" xfId="3" xr:uid="{A3A22643-8AAA-4081-8954-75B1A153E65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12</xdr:col>
      <xdr:colOff>552061</xdr:colOff>
      <xdr:row>83</xdr:row>
      <xdr:rowOff>132184</xdr:rowOff>
    </xdr:to>
    <xdr:sp macro="" textlink="">
      <xdr:nvSpPr>
        <xdr:cNvPr id="2" name="TextBox 1">
          <a:extLst>
            <a:ext uri="{FF2B5EF4-FFF2-40B4-BE49-F238E27FC236}">
              <a16:creationId xmlns:a16="http://schemas.microsoft.com/office/drawing/2014/main" id="{65D12DD4-07F1-4B8B-ADB1-E4FA5275C945}"/>
            </a:ext>
          </a:extLst>
        </xdr:cNvPr>
        <xdr:cNvSpPr txBox="1"/>
      </xdr:nvSpPr>
      <xdr:spPr>
        <a:xfrm>
          <a:off x="0" y="9524"/>
          <a:ext cx="7223449" cy="1561147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2025 IEPR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2-20-26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California Energy Commission. Lynn.Marshall@energy.ca.gov </a:t>
          </a:r>
        </a:p>
        <a:p>
          <a:pPr eaLnBrk="1" fontAlgn="auto" latinLnBrk="0" hangingPunct="1"/>
          <a:endParaRPr lang="en-US">
            <a:effectLst/>
          </a:endParaRPr>
        </a:p>
        <a:p>
          <a:r>
            <a:rPr lang="en-US" sz="1100" b="1">
              <a:effectLst/>
              <a:latin typeface="+mn-lt"/>
              <a:ea typeface="+mn-ea"/>
              <a:cs typeface="+mn-cs"/>
            </a:rPr>
            <a:t>Summary:</a:t>
          </a:r>
          <a:r>
            <a:rPr lang="en-US" sz="1100">
              <a:effectLst/>
              <a:latin typeface="+mn-lt"/>
              <a:ea typeface="+mn-ea"/>
              <a:cs typeface="+mn-cs"/>
            </a:rPr>
            <a:t>   This spreadsheet presents California Cap and Invest Program greenhouse</a:t>
          </a:r>
          <a:r>
            <a:rPr lang="en-US" sz="1100" baseline="0">
              <a:effectLst/>
              <a:latin typeface="+mn-lt"/>
              <a:ea typeface="+mn-ea"/>
              <a:cs typeface="+mn-cs"/>
            </a:rPr>
            <a:t> gas </a:t>
          </a:r>
          <a:r>
            <a:rPr lang="en-US" sz="1100">
              <a:effectLst/>
              <a:latin typeface="+mn-lt"/>
              <a:ea typeface="+mn-ea"/>
              <a:cs typeface="+mn-cs"/>
            </a:rPr>
            <a:t>allowance price projections in support of the </a:t>
          </a:r>
          <a:r>
            <a:rPr lang="en-US" sz="1100" i="1">
              <a:effectLst/>
              <a:latin typeface="+mn-lt"/>
              <a:ea typeface="+mn-ea"/>
              <a:cs typeface="+mn-cs"/>
            </a:rPr>
            <a:t>2025 IEPR </a:t>
          </a:r>
          <a:r>
            <a:rPr lang="en-US" sz="1100">
              <a:effectLst/>
              <a:latin typeface="+mn-lt"/>
              <a:ea typeface="+mn-ea"/>
              <a:cs typeface="+mn-cs"/>
            </a:rPr>
            <a:t>and related analyses. These projections are consistent with the Regulations for the California Cap on Greenhouse Gas Emissions and Market-Based Compliance Mechanisms approved by the California Air Resource Board (CARB) December 13, 2018, and January 2026 proposed amendments extending the program to 2045. The adopted regulations have the following features: </a:t>
          </a:r>
        </a:p>
        <a:p>
          <a:pPr marL="171450" lvl="0" indent="-171450">
            <a:buFont typeface="Arial" panose="020B0604020202020204" pitchFamily="34" charset="0"/>
            <a:buChar char="•"/>
          </a:pPr>
          <a:r>
            <a:rPr lang="en-US" sz="1100">
              <a:effectLst/>
              <a:latin typeface="+mn-lt"/>
              <a:ea typeface="+mn-ea"/>
              <a:cs typeface="+mn-cs"/>
            </a:rPr>
            <a:t> A $65 (nominal) price ceiling value in 2021. </a:t>
          </a:r>
        </a:p>
        <a:p>
          <a:pPr marL="171450" lvl="0" indent="-171450">
            <a:buFont typeface="Arial" panose="020B0604020202020204" pitchFamily="34" charset="0"/>
            <a:buChar char="•"/>
          </a:pPr>
          <a:r>
            <a:rPr lang="en-US" sz="1100">
              <a:effectLst/>
              <a:latin typeface="+mn-lt"/>
              <a:ea typeface="+mn-ea"/>
              <a:cs typeface="+mn-cs"/>
            </a:rPr>
            <a:t>An Allowance Price Containment Reserve (APCR)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a:effectLst/>
              <a:latin typeface="+mn-lt"/>
              <a:ea typeface="+mn-ea"/>
              <a:cs typeface="+mn-cs"/>
            </a:rPr>
            <a:t>An</a:t>
          </a:r>
          <a:r>
            <a:rPr lang="en-US" sz="1100" baseline="0">
              <a:effectLst/>
              <a:latin typeface="+mn-lt"/>
              <a:ea typeface="+mn-ea"/>
              <a:cs typeface="+mn-cs"/>
            </a:rPr>
            <a:t> </a:t>
          </a:r>
          <a:r>
            <a:rPr lang="en-US" sz="1100">
              <a:effectLst/>
              <a:latin typeface="+mn-lt"/>
              <a:ea typeface="+mn-ea"/>
              <a:cs typeface="+mn-cs"/>
            </a:rPr>
            <a:t> APCR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a:effectLst/>
              <a:latin typeface="+mn-lt"/>
              <a:ea typeface="+mn-ea"/>
              <a:cs typeface="+mn-cs"/>
            </a:rPr>
            <a:t>After 2021, tier prices and the price ceiling escalate annually at 5 percent plus inflation, measured by the all-urban Consumer Price Index (CPI). The Auction Reserve Price escalates at the same rate.</a:t>
          </a:r>
        </a:p>
        <a:p>
          <a:endParaRPr lang="en-US" sz="1100">
            <a:effectLst/>
            <a:latin typeface="+mn-lt"/>
            <a:ea typeface="+mn-ea"/>
            <a:cs typeface="+mn-cs"/>
          </a:endParaRPr>
        </a:p>
        <a:p>
          <a:r>
            <a:rPr lang="en-US" sz="1100">
              <a:effectLst/>
              <a:latin typeface="+mn-lt"/>
              <a:ea typeface="+mn-ea"/>
              <a:cs typeface="+mn-cs"/>
            </a:rPr>
            <a:t>When prices approach a given tier price, regulated entities may purchase from a pool of allowances set aside for that tier. If prices reach the ceiling, CARB must make unlimited allowances available at that price. Meanwhile, the increased supply of allowances at Tier 1 and Tier 2 will slow price increases at those levels. </a:t>
          </a:r>
        </a:p>
        <a:p>
          <a:r>
            <a:rPr lang="en-US" sz="1100">
              <a:effectLst/>
              <a:latin typeface="+mn-lt"/>
              <a:ea typeface="+mn-ea"/>
              <a:cs typeface="+mn-cs"/>
            </a:rPr>
            <a:t>In April 2024, CARB released a Standardized Regulatory Impact Assessment (SRIA) evaluating alternative reductions to the currently allocated supply. The January 2026 proposed regulations modify the annual allowance budgets and propose other changes, but the cumulative number of allowances through 2045 is the same as in the SRIA. CARB staff analysis for the SRIA indicated that if all complementary policies in the Scoping Plan deliver GHG reductions as expected, average allowance prices under their proposal may find a middle ground between the auction price floor and the Tier 1 price.  Another analysis of the proposed changes was published by Resources for the Future (RFF) using the RFF Haiku emissions market model (Roy et al. 2024). In the RFF analysis, when Scoping Plan emission reductions occur as expected, allowance price projections were somewhat below the SRIA price scenario. In the RFF Delayed Scoping Plan scenario, in which emission reductions from vehicles, building decarbonization, and refineries are delayed or reduced, prices approach the Tier 2 price by 2045.  </a:t>
          </a:r>
        </a:p>
        <a:p>
          <a:endParaRPr lang="en-US" sz="1100">
            <a:effectLst/>
            <a:latin typeface="+mn-lt"/>
            <a:ea typeface="+mn-ea"/>
            <a:cs typeface="+mn-cs"/>
          </a:endParaRPr>
        </a:p>
        <a:p>
          <a:r>
            <a:rPr lang="en-US" sz="1100">
              <a:effectLst/>
              <a:latin typeface="+mn-lt"/>
              <a:ea typeface="+mn-ea"/>
              <a:cs typeface="+mn-cs"/>
            </a:rPr>
            <a:t>While the</a:t>
          </a:r>
          <a:r>
            <a:rPr lang="en-US" sz="1100" baseline="0">
              <a:effectLst/>
              <a:latin typeface="+mn-lt"/>
              <a:ea typeface="+mn-ea"/>
              <a:cs typeface="+mn-cs"/>
            </a:rPr>
            <a:t> proposed</a:t>
          </a:r>
          <a:r>
            <a:rPr lang="en-US" sz="1100">
              <a:effectLst/>
              <a:latin typeface="+mn-lt"/>
              <a:ea typeface="+mn-ea"/>
              <a:cs typeface="+mn-cs"/>
            </a:rPr>
            <a:t> amendments only extend the program through 2045, this forecast is extended to 2050 to support long run scenario modeling. For the mid case, staff assumed prices reach the Tier 1 price by 2050, as a balance between the optimistic SRIA assumptions and the more pessimistic RFF Delayed Scoping Plan scenario. Also included in this workbook are a low price scenario, comparable to the SRIA case, and a high price scenario, in which prices reach Tier 2 by 2050.  </a:t>
          </a:r>
        </a:p>
        <a:p>
          <a:pPr eaLnBrk="1" fontAlgn="auto" latinLnBrk="0" hangingPunct="1"/>
          <a:r>
            <a:rPr lang="en-US" sz="1100" b="1" i="0" baseline="0">
              <a:effectLst/>
              <a:latin typeface="+mn-lt"/>
              <a:ea typeface="+mn-ea"/>
              <a:cs typeface="+mn-cs"/>
            </a:rPr>
            <a:t>Key Caveats: </a:t>
          </a:r>
          <a:r>
            <a:rPr lang="en-US" sz="1100">
              <a:effectLst/>
              <a:latin typeface="+mn-lt"/>
              <a:ea typeface="+mn-ea"/>
              <a:cs typeface="+mn-cs"/>
            </a:rPr>
            <a:t>At the time of this forecast, the proposed amendments are posted for comment and a hearing is scheduled for May 28, 2026. CARB may propose additional changes in response to comments. Also, because of t</a:t>
          </a:r>
          <a:r>
            <a:rPr lang="en-US" sz="1100" b="0" i="0">
              <a:effectLst/>
              <a:latin typeface="+mn-lt"/>
              <a:ea typeface="+mn-ea"/>
              <a:cs typeface="+mn-cs"/>
            </a:rPr>
            <a:t>he many non-market policies that affect California emissions and abatement, emissions uncertainty is very large and increases the probability that prices will be near the floor or ceiling.</a:t>
          </a:r>
          <a:endParaRPr lang="en-US">
            <a:effectLst/>
          </a:endParaRPr>
        </a:p>
        <a:p>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CARB Quarterly  GHG auction price results: https://ww2.arb.ca.gov/sites/default/files/2020-08/results_summary.pdf.  All prices are in USD. </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baseline="0">
              <a:effectLst/>
              <a:latin typeface="+mn-lt"/>
              <a:ea typeface="+mn-ea"/>
              <a:cs typeface="+mn-cs"/>
            </a:rPr>
            <a:t>Standardized Regulatory Impact Assessment (SRIA) </a:t>
          </a:r>
          <a:r>
            <a:rPr lang="en-US" sz="1100" b="0" i="0" baseline="0">
              <a:effectLst/>
              <a:latin typeface="+mn-lt"/>
              <a:ea typeface="+mn-ea"/>
              <a:cs typeface="+mn-cs"/>
            </a:rPr>
            <a:t>for </a:t>
          </a:r>
          <a:r>
            <a:rPr lang="en-US" sz="1100" b="0" i="1">
              <a:effectLst/>
              <a:latin typeface="+mn-lt"/>
              <a:ea typeface="+mn-ea"/>
              <a:cs typeface="+mn-cs"/>
            </a:rPr>
            <a:t>Regulation for the California Cap on Greenhouse Gas Emissions and Market-Based Compliance Mechanisms 2024 Amendments</a:t>
          </a:r>
          <a:r>
            <a:rPr lang="en-US" sz="1100" b="1" i="1">
              <a:effectLst/>
              <a:latin typeface="+mn-lt"/>
              <a:ea typeface="+mn-ea"/>
              <a:cs typeface="+mn-cs"/>
            </a:rPr>
            <a:t>,</a:t>
          </a:r>
          <a:r>
            <a:rPr lang="en-US" sz="1100" b="1" i="1" baseline="0">
              <a:effectLst/>
              <a:latin typeface="+mn-lt"/>
              <a:ea typeface="+mn-ea"/>
              <a:cs typeface="+mn-cs"/>
            </a:rPr>
            <a:t> </a:t>
          </a:r>
          <a:r>
            <a:rPr lang="en-US" sz="1100" b="0" i="0" baseline="0">
              <a:effectLst/>
              <a:latin typeface="+mn-lt"/>
              <a:ea typeface="+mn-ea"/>
              <a:cs typeface="+mn-cs"/>
            </a:rPr>
            <a:t>April 19, 2024,  https://ww2.arb.ca.gov/resources/documents/cap-and-trade-program-sria</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lang="en-US" sz="1100">
              <a:effectLst/>
              <a:latin typeface="Calibri" panose="020F0502020204030204" pitchFamily="34" charset="0"/>
            </a:rPr>
            <a:t>	CARB</a:t>
          </a:r>
          <a:r>
            <a:rPr lang="en-US" sz="1100" baseline="0">
              <a:effectLst/>
              <a:latin typeface="Calibri" panose="020F0502020204030204" pitchFamily="34" charset="0"/>
            </a:rPr>
            <a:t> </a:t>
          </a:r>
          <a:r>
            <a:rPr lang="en-US" sz="1100">
              <a:effectLst/>
              <a:latin typeface="Calibri" panose="020F0502020204030204" pitchFamily="34" charset="0"/>
            </a:rPr>
            <a:t>Cap</a:t>
          </a:r>
          <a:r>
            <a:rPr lang="en-US" sz="1100" baseline="0">
              <a:effectLst/>
              <a:latin typeface="Calibri" panose="020F0502020204030204" pitchFamily="34" charset="0"/>
            </a:rPr>
            <a:t> and Trade Meetings and Workshops</a:t>
          </a:r>
          <a:r>
            <a:rPr lang="en-US" sz="1100">
              <a:effectLst/>
              <a:latin typeface="Calibri" panose="020F0502020204030204" pitchFamily="34" charset="0"/>
            </a:rPr>
            <a:t>,</a:t>
          </a:r>
          <a:r>
            <a:rPr lang="en-US" sz="1100" baseline="0">
              <a:effectLst/>
              <a:latin typeface="Calibri" panose="020F0502020204030204" pitchFamily="34" charset="0"/>
            </a:rPr>
            <a:t> https://ww2.arb.ca.gov/our-work/programs/cap-and-trade-program/cap-and-trade-meetings-workshops, November 16, 2023 Combined Presentation, https://ww2.arb.ca.gov/sites/default/files/2023-11/nc-combinedSlides_Nov162023.pdf</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lang="en-US" sz="1100" b="0" i="0" baseline="0">
              <a:effectLst/>
              <a:latin typeface="+mn-lt"/>
              <a:ea typeface="+mn-ea"/>
              <a:cs typeface="+mn-cs"/>
            </a:rPr>
            <a:t>	California Energy Demand Forecast, 2025-2045 Deflator Series, using Moody's Analytics, May 2025 GDP Deflator and CPI Forecast.</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lang="en-US" sz="1100" b="0" i="0" baseline="0">
              <a:effectLst/>
              <a:latin typeface="+mn-lt"/>
              <a:ea typeface="+mn-ea"/>
              <a:cs typeface="+mn-cs"/>
            </a:rPr>
            <a:t>	"</a:t>
          </a:r>
          <a:r>
            <a:rPr lang="en-US" sz="1100" b="0" i="0" u="none" baseline="0">
              <a:effectLst/>
              <a:latin typeface="+mn-lt"/>
              <a:ea typeface="+mn-ea"/>
              <a:cs typeface="+mn-cs"/>
            </a:rPr>
            <a:t>Designing for Uncertainty: Amendments to California’s Cap-and-Trade Market"</a:t>
          </a:r>
          <a:r>
            <a:rPr lang="en-US" sz="1100" b="0" i="0" baseline="0">
              <a:effectLst/>
              <a:latin typeface="+mn-lt"/>
              <a:ea typeface="+mn-ea"/>
              <a:cs typeface="+mn-cs"/>
            </a:rPr>
            <a:t>, Roy, Domeshek and Burtraw, May 2024, https://www.rff.org/publications/reports/designing-for-uncertainty-amendments-to-californias-cap-and-trade-market/.</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lang="en-US" sz="1100" b="0" i="0" baseline="0">
              <a:effectLst/>
              <a:latin typeface="+mn-lt"/>
              <a:ea typeface="+mn-ea"/>
              <a:cs typeface="+mn-cs"/>
            </a:rPr>
            <a:t>	</a:t>
          </a:r>
          <a:r>
            <a:rPr lang="en-US" sz="1100" b="0" i="1" baseline="0">
              <a:effectLst/>
              <a:latin typeface="+mn-lt"/>
              <a:ea typeface="+mn-ea"/>
              <a:cs typeface="+mn-cs"/>
            </a:rPr>
            <a:t>CARB </a:t>
          </a:r>
          <a:r>
            <a:rPr lang="en-US" sz="1100" b="0" i="1">
              <a:effectLst/>
              <a:latin typeface="+mn-lt"/>
              <a:ea typeface="+mn-ea"/>
              <a:cs typeface="+mn-cs"/>
            </a:rPr>
            <a:t>California Cap on Greenhouse Gas Emissions and Market-Based Compliance Mechanisms Regulation</a:t>
          </a:r>
          <a:r>
            <a:rPr lang="en-US" sz="1100" b="0" i="0">
              <a:effectLst/>
              <a:latin typeface="+mn-lt"/>
              <a:ea typeface="+mn-ea"/>
              <a:cs typeface="+mn-cs"/>
            </a:rPr>
            <a:t>,</a:t>
          </a:r>
          <a:r>
            <a:rPr lang="en-US" sz="1100" b="0" i="0" baseline="0">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tab pos="182880" algn="l"/>
            </a:tabLst>
            <a:defRPr/>
          </a:pPr>
          <a:r>
            <a:rPr lang="en-US" sz="1100" b="0" i="0" baseline="0">
              <a:effectLst/>
              <a:latin typeface="+mn-lt"/>
              <a:ea typeface="+mn-ea"/>
              <a:cs typeface="+mn-cs"/>
            </a:rPr>
            <a:t>	</a:t>
          </a: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tab pos="182880" algn="l"/>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Revision Log: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February 2026:  i</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ncorporated changes to reflect April 2024 SRIA and July 2024 workshop,and RFF analysis</a:t>
          </a: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CPI and GDP deflator to May 2025 Moody's.</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February 2024: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to 2023 auction prices, 2024 reserve prices, and revised the forecast to reach tier 2 by 2030.</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October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Uses the August 2023 auction price as the 2023 average price, so that the forecast reflects market response after CARB outlined the scope of planned revisons beginning in 2025. It is now assumed that the forecast will reach the tier 1 price by 2030, and stay at tier 1 for the remainder of the forecast.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Added 2023 reserve price ($19.20) and final 2022 auction prices. Extended the mid-case scenario to reach the CARB Scoping Plan estimated cost per ton of remaining emissions in 2045 ($236 in 2018$).</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Sept. 2022: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mid case to reflect 2022 auction prices to date.</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Dec.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auction reserve price to 19.7; incorporated 2021 auction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Sept. 2021 </a:t>
          </a:r>
          <a:r>
            <a:rPr lang="en-US" sz="1100" b="0" i="0" baseline="0">
              <a:effectLst/>
              <a:latin typeface="+mn-lt"/>
              <a:ea typeface="+mn-ea"/>
              <a:cs typeface="+mn-cs"/>
            </a:rPr>
            <a:t>Updated 2021 price to include August 2021 auction and updated deflators.</a:t>
          </a: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April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Set tier 1 price target for 2035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54864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82E3-F08C-4A2C-954B-C338A1F9181D}">
  <sheetPr>
    <pageSetUpPr fitToPage="1"/>
  </sheetPr>
  <dimension ref="A1:B65"/>
  <sheetViews>
    <sheetView tabSelected="1" topLeftCell="B1" zoomScale="91" zoomScaleNormal="107" workbookViewId="0">
      <selection activeCell="O5" sqref="O5"/>
    </sheetView>
  </sheetViews>
  <sheetFormatPr defaultRowHeight="14.4" x14ac:dyDescent="0.3"/>
  <cols>
    <col min="1" max="1" width="2.44140625" hidden="1" customWidth="1"/>
  </cols>
  <sheetData>
    <row r="1" spans="2:2" x14ac:dyDescent="0.3">
      <c r="B1" t="s">
        <v>0</v>
      </c>
    </row>
    <row r="2" spans="2:2" x14ac:dyDescent="0.3">
      <c r="B2" t="s">
        <v>1</v>
      </c>
    </row>
    <row r="65" spans="1:1" x14ac:dyDescent="0.3">
      <c r="A65" t="s">
        <v>87</v>
      </c>
    </row>
  </sheetData>
  <pageMargins left="0.7" right="0.7" top="0.75" bottom="0.75" header="0.3" footer="0.3"/>
  <pageSetup scale="8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581C-20C4-45B7-9D45-6E09167DDFD5}">
  <dimension ref="A1:AV62"/>
  <sheetViews>
    <sheetView zoomScale="68" zoomScaleNormal="68" workbookViewId="0">
      <pane xSplit="1" ySplit="5" topLeftCell="B27" activePane="bottomRight" state="frozen"/>
      <selection activeCell="P47" sqref="P47"/>
      <selection pane="topRight" activeCell="P47" sqref="P47"/>
      <selection pane="bottomLeft" activeCell="P47" sqref="P47"/>
      <selection pane="bottomRight" activeCell="B1" sqref="B1:AM1048576"/>
    </sheetView>
  </sheetViews>
  <sheetFormatPr defaultRowHeight="14.4" x14ac:dyDescent="0.3"/>
  <cols>
    <col min="1" max="1" width="64.109375" customWidth="1"/>
    <col min="2" max="23" width="8.77734375" customWidth="1"/>
    <col min="24" max="24" width="8.77734375" style="3" customWidth="1"/>
    <col min="25" max="39" width="8.77734375" customWidth="1"/>
  </cols>
  <sheetData>
    <row r="1" spans="1:41" x14ac:dyDescent="0.3">
      <c r="F1" s="1"/>
      <c r="G1" s="1"/>
      <c r="H1" s="2"/>
      <c r="I1" s="1"/>
      <c r="J1" s="1"/>
      <c r="K1" s="1"/>
      <c r="L1" s="1"/>
      <c r="M1" s="1"/>
      <c r="N1" s="1"/>
      <c r="O1" s="1"/>
      <c r="P1" s="1"/>
      <c r="Q1" s="1"/>
      <c r="R1" s="1"/>
      <c r="S1" s="1"/>
    </row>
    <row r="2" spans="1:41" x14ac:dyDescent="0.3">
      <c r="A2" s="4"/>
      <c r="F2" s="5"/>
      <c r="G2" s="5"/>
      <c r="H2" s="5"/>
      <c r="I2" s="5"/>
      <c r="J2" s="5"/>
      <c r="K2" s="5"/>
      <c r="L2" s="5"/>
      <c r="M2" s="5"/>
      <c r="N2" s="5"/>
      <c r="O2" s="5"/>
      <c r="P2" s="5"/>
      <c r="Q2" s="5"/>
      <c r="R2" s="5"/>
      <c r="S2" s="5"/>
    </row>
    <row r="3" spans="1:41" ht="39" customHeight="1" x14ac:dyDescent="0.3">
      <c r="A3" s="6" t="s">
        <v>93</v>
      </c>
      <c r="F3" s="7"/>
      <c r="G3" s="7"/>
      <c r="H3" s="7"/>
      <c r="I3" s="8"/>
      <c r="J3" s="8"/>
      <c r="K3" s="9"/>
      <c r="L3" s="9"/>
      <c r="M3" s="10"/>
      <c r="N3" s="9"/>
      <c r="O3" s="9"/>
      <c r="P3" s="9"/>
      <c r="Q3" s="9"/>
      <c r="R3" s="9"/>
      <c r="S3" s="9"/>
      <c r="T3" s="9"/>
      <c r="U3" s="9"/>
      <c r="V3" s="9"/>
      <c r="W3" s="9"/>
      <c r="Y3" s="9"/>
      <c r="Z3" s="9"/>
      <c r="AA3" s="9"/>
      <c r="AB3" s="9"/>
      <c r="AC3" s="9"/>
    </row>
    <row r="4" spans="1:41" ht="26.25" customHeight="1" x14ac:dyDescent="0.35">
      <c r="A4" s="11" t="s">
        <v>2</v>
      </c>
      <c r="B4" s="11"/>
      <c r="C4" s="11"/>
      <c r="D4" s="11"/>
      <c r="E4" s="11"/>
      <c r="F4" s="11"/>
      <c r="G4" s="11"/>
      <c r="H4" s="11"/>
      <c r="I4" s="11"/>
      <c r="J4" s="11"/>
      <c r="K4" s="11"/>
      <c r="L4" s="11"/>
      <c r="M4" s="11"/>
      <c r="N4" s="11"/>
      <c r="O4" s="11"/>
      <c r="P4" s="11"/>
      <c r="Q4" s="11"/>
      <c r="R4" s="11"/>
      <c r="S4" s="11"/>
    </row>
    <row r="5" spans="1:41" x14ac:dyDescent="0.3">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s="12">
        <v>2035</v>
      </c>
      <c r="Y5">
        <v>2036</v>
      </c>
      <c r="Z5">
        <v>2037</v>
      </c>
      <c r="AA5">
        <v>2038</v>
      </c>
      <c r="AB5">
        <v>2039</v>
      </c>
      <c r="AC5">
        <v>2040</v>
      </c>
      <c r="AD5">
        <v>2041</v>
      </c>
      <c r="AE5">
        <v>2042</v>
      </c>
      <c r="AF5">
        <v>2043</v>
      </c>
      <c r="AG5">
        <v>2044</v>
      </c>
      <c r="AH5">
        <f t="shared" ref="AH5:AM5" si="0">+AG5+1</f>
        <v>2045</v>
      </c>
      <c r="AI5">
        <f t="shared" si="0"/>
        <v>2046</v>
      </c>
      <c r="AJ5">
        <f t="shared" si="0"/>
        <v>2047</v>
      </c>
      <c r="AK5">
        <f t="shared" si="0"/>
        <v>2048</v>
      </c>
      <c r="AL5">
        <f t="shared" si="0"/>
        <v>2049</v>
      </c>
      <c r="AM5">
        <f t="shared" si="0"/>
        <v>2050</v>
      </c>
    </row>
    <row r="6" spans="1:41" x14ac:dyDescent="0.3">
      <c r="A6" t="s">
        <v>3</v>
      </c>
      <c r="B6" s="155">
        <f>+B12</f>
        <v>12.766366054493103</v>
      </c>
      <c r="C6" s="155">
        <f t="shared" ref="C6:N6" si="1">+C12</f>
        <v>11.663986959374096</v>
      </c>
      <c r="D6" s="155">
        <f t="shared" si="1"/>
        <v>12.437281556525077</v>
      </c>
      <c r="E6" s="155">
        <f t="shared" si="1"/>
        <v>12.73</v>
      </c>
      <c r="F6" s="155">
        <f t="shared" si="1"/>
        <v>14.486740520427819</v>
      </c>
      <c r="G6" s="155">
        <f t="shared" si="1"/>
        <v>14.880124463738202</v>
      </c>
      <c r="H6" s="155">
        <f t="shared" si="1"/>
        <v>16.77847358151163</v>
      </c>
      <c r="I6" s="155">
        <f t="shared" si="1"/>
        <v>17.1180838726224</v>
      </c>
      <c r="J6" s="155">
        <f t="shared" si="1"/>
        <v>22.235634395651466</v>
      </c>
      <c r="K6" s="155">
        <f t="shared" si="1"/>
        <v>28.461403648612958</v>
      </c>
      <c r="L6" s="155">
        <f t="shared" si="1"/>
        <v>33.055958286711466</v>
      </c>
      <c r="M6" s="155">
        <f t="shared" si="1"/>
        <v>35.213877924788868</v>
      </c>
      <c r="N6" s="155">
        <f t="shared" si="1"/>
        <v>28.139882691293032</v>
      </c>
      <c r="O6" s="155"/>
      <c r="P6" s="155"/>
      <c r="Q6" s="155"/>
      <c r="R6" s="155"/>
      <c r="S6" s="155"/>
      <c r="T6" s="155"/>
      <c r="U6" s="155"/>
      <c r="V6" s="155"/>
      <c r="W6" s="155"/>
      <c r="X6" s="155"/>
      <c r="Y6" s="155"/>
      <c r="Z6" s="155"/>
      <c r="AA6" s="155"/>
      <c r="AB6" s="155"/>
      <c r="AC6" s="155"/>
      <c r="AD6" s="155"/>
      <c r="AE6" s="155"/>
      <c r="AF6" s="155"/>
      <c r="AG6" s="155"/>
      <c r="AH6" s="155"/>
      <c r="AI6" s="162"/>
      <c r="AJ6" s="155"/>
      <c r="AK6" s="155"/>
      <c r="AL6" s="155"/>
      <c r="AM6" s="155"/>
    </row>
    <row r="7" spans="1:41" s="14" customFormat="1" x14ac:dyDescent="0.3">
      <c r="A7" t="s">
        <v>4</v>
      </c>
      <c r="B7" s="156">
        <f>B13</f>
        <v>12.002742366814928</v>
      </c>
      <c r="C7" s="156">
        <f t="shared" ref="C7:K7" si="2">C13</f>
        <v>11.663986959374096</v>
      </c>
      <c r="D7" s="156">
        <f t="shared" si="2"/>
        <v>12.437281556525077</v>
      </c>
      <c r="E7" s="156">
        <f t="shared" si="2"/>
        <v>12.73</v>
      </c>
      <c r="F7" s="156">
        <f t="shared" si="2"/>
        <v>13.57</v>
      </c>
      <c r="G7" s="156">
        <f t="shared" si="2"/>
        <v>14.53</v>
      </c>
      <c r="H7" s="156">
        <f t="shared" si="2"/>
        <v>15.62</v>
      </c>
      <c r="I7" s="156">
        <f t="shared" si="2"/>
        <v>16.68</v>
      </c>
      <c r="J7" s="156">
        <f t="shared" si="2"/>
        <v>17.71</v>
      </c>
      <c r="K7" s="156">
        <f t="shared" si="2"/>
        <v>19.2</v>
      </c>
      <c r="L7" s="156">
        <f>+L13</f>
        <v>22.21</v>
      </c>
      <c r="M7" s="156">
        <f t="shared" ref="M7:AM7" si="3">+M13</f>
        <v>24.04</v>
      </c>
      <c r="N7" s="156">
        <f t="shared" si="3"/>
        <v>25.87</v>
      </c>
      <c r="O7" s="156">
        <f t="shared" si="3"/>
        <v>27.94</v>
      </c>
      <c r="P7" s="156">
        <f t="shared" si="3"/>
        <v>30.180983203642825</v>
      </c>
      <c r="Q7" s="156">
        <f t="shared" si="3"/>
        <v>32.299589372149605</v>
      </c>
      <c r="R7" s="156">
        <f t="shared" si="3"/>
        <v>34.564857609482686</v>
      </c>
      <c r="S7" s="156">
        <f t="shared" si="3"/>
        <v>36.931233791013547</v>
      </c>
      <c r="T7" s="156">
        <f t="shared" si="3"/>
        <v>39.481126866818641</v>
      </c>
      <c r="U7" s="156">
        <f t="shared" si="3"/>
        <v>42.278486744400603</v>
      </c>
      <c r="V7" s="156">
        <f t="shared" si="3"/>
        <v>45.336963381456485</v>
      </c>
      <c r="W7" s="156">
        <f t="shared" si="3"/>
        <v>48.676862302608043</v>
      </c>
      <c r="X7" s="156">
        <f t="shared" si="3"/>
        <v>52.274695417272859</v>
      </c>
      <c r="Y7" s="156">
        <f t="shared" si="3"/>
        <v>56.127293213279444</v>
      </c>
      <c r="Z7" s="156">
        <f t="shared" si="3"/>
        <v>60.257087593521078</v>
      </c>
      <c r="AA7" s="156">
        <f t="shared" si="3"/>
        <v>64.700649366525695</v>
      </c>
      <c r="AB7" s="156">
        <f t="shared" si="3"/>
        <v>69.502406074052942</v>
      </c>
      <c r="AC7" s="156">
        <f t="shared" si="3"/>
        <v>74.706280139019213</v>
      </c>
      <c r="AD7" s="156">
        <f t="shared" si="3"/>
        <v>80.343713398721377</v>
      </c>
      <c r="AE7" s="156">
        <f t="shared" si="3"/>
        <v>86.424390607104982</v>
      </c>
      <c r="AF7" s="156">
        <f t="shared" si="3"/>
        <v>92.970613687118188</v>
      </c>
      <c r="AG7" s="156">
        <f t="shared" si="3"/>
        <v>100.01202321030307</v>
      </c>
      <c r="AH7" s="156">
        <f t="shared" si="3"/>
        <v>107.58991797616244</v>
      </c>
      <c r="AI7" s="162">
        <f t="shared" si="3"/>
        <v>115.73513081684506</v>
      </c>
      <c r="AJ7" s="156">
        <f t="shared" si="3"/>
        <v>124.50109575311878</v>
      </c>
      <c r="AK7" s="156">
        <f t="shared" si="3"/>
        <v>133.93696626042015</v>
      </c>
      <c r="AL7" s="156">
        <f t="shared" si="3"/>
        <v>144.08802649044657</v>
      </c>
      <c r="AM7" s="156">
        <f t="shared" si="3"/>
        <v>155.00553918341902</v>
      </c>
    </row>
    <row r="8" spans="1:41" s="14" customFormat="1" ht="16.2" x14ac:dyDescent="0.3">
      <c r="A8" s="4" t="s">
        <v>95</v>
      </c>
      <c r="B8" s="157"/>
      <c r="C8" s="156"/>
      <c r="D8" s="156"/>
      <c r="E8" s="156"/>
      <c r="F8" s="157"/>
      <c r="G8" s="157"/>
      <c r="H8" s="157"/>
      <c r="I8" s="157"/>
      <c r="J8" s="157">
        <f>J6</f>
        <v>22.235634395651466</v>
      </c>
      <c r="K8" s="157">
        <f t="shared" ref="K8:N8" si="4">K6</f>
        <v>28.461403648612958</v>
      </c>
      <c r="L8" s="157">
        <f t="shared" si="4"/>
        <v>33.055958286711466</v>
      </c>
      <c r="M8" s="157">
        <f t="shared" si="4"/>
        <v>35.213877924788868</v>
      </c>
      <c r="N8" s="157">
        <f t="shared" si="4"/>
        <v>28.139882691293032</v>
      </c>
      <c r="O8" s="158">
        <f>MAX(EXP($E$48*(O$22-2025)+$F$48),O$7)</f>
        <v>31.16832123991102</v>
      </c>
      <c r="P8" s="158">
        <f t="shared" ref="P8:AM8" si="5">MAX(EXP($E$48*(P$22-2025)+$F$48),P$7)</f>
        <v>34.522682968215662</v>
      </c>
      <c r="Q8" s="158">
        <f t="shared" si="5"/>
        <v>38.238044011103455</v>
      </c>
      <c r="R8" s="158">
        <f t="shared" si="5"/>
        <v>42.353255427489636</v>
      </c>
      <c r="S8" s="158">
        <f t="shared" si="5"/>
        <v>46.911349460900858</v>
      </c>
      <c r="T8" s="158">
        <f t="shared" si="5"/>
        <v>51.959989522184451</v>
      </c>
      <c r="U8" s="158">
        <f t="shared" si="5"/>
        <v>57.551968599746857</v>
      </c>
      <c r="V8" s="158">
        <f t="shared" si="5"/>
        <v>63.745761309133457</v>
      </c>
      <c r="W8" s="158">
        <f t="shared" si="5"/>
        <v>70.606135354662626</v>
      </c>
      <c r="X8" s="158">
        <f t="shared" si="5"/>
        <v>78.204828797089903</v>
      </c>
      <c r="Y8" s="158">
        <f t="shared" si="5"/>
        <v>86.621300209405362</v>
      </c>
      <c r="Z8" s="158">
        <f t="shared" si="5"/>
        <v>95.943559565047423</v>
      </c>
      <c r="AA8" s="158">
        <f t="shared" si="5"/>
        <v>106.26908854702579</v>
      </c>
      <c r="AB8" s="158">
        <f t="shared" si="5"/>
        <v>117.70585990150954</v>
      </c>
      <c r="AC8" s="158">
        <f t="shared" si="5"/>
        <v>130.37346649513103</v>
      </c>
      <c r="AD8" s="158">
        <f t="shared" si="5"/>
        <v>144.40437188241538</v>
      </c>
      <c r="AE8" s="158">
        <f t="shared" si="5"/>
        <v>159.94529546035878</v>
      </c>
      <c r="AF8" s="158">
        <f t="shared" si="5"/>
        <v>177.1587466945432</v>
      </c>
      <c r="AG8" s="158">
        <f t="shared" si="5"/>
        <v>196.22472445999475</v>
      </c>
      <c r="AH8" s="158">
        <f t="shared" si="5"/>
        <v>217.34259926657549</v>
      </c>
      <c r="AI8" s="163">
        <f t="shared" si="5"/>
        <v>240.73319805110398</v>
      </c>
      <c r="AJ8" s="158">
        <f t="shared" si="5"/>
        <v>266.64111333660856</v>
      </c>
      <c r="AK8" s="158">
        <f t="shared" si="5"/>
        <v>295.3372609052999</v>
      </c>
      <c r="AL8" s="158">
        <f t="shared" si="5"/>
        <v>327.12171273052417</v>
      </c>
      <c r="AM8" s="158">
        <f t="shared" si="5"/>
        <v>362.3268347913064</v>
      </c>
    </row>
    <row r="9" spans="1:41" s="14" customFormat="1" x14ac:dyDescent="0.3">
      <c r="A9" t="s">
        <v>88</v>
      </c>
      <c r="B9" s="157"/>
      <c r="C9" s="156"/>
      <c r="D9" s="156"/>
      <c r="E9" s="156"/>
      <c r="F9" s="157"/>
      <c r="G9" s="157"/>
      <c r="H9" s="157"/>
      <c r="I9" s="157"/>
      <c r="J9" s="157"/>
      <c r="K9" s="157"/>
      <c r="L9" s="157"/>
      <c r="M9" s="157"/>
      <c r="N9" s="157"/>
      <c r="O9" s="158">
        <f>MAX(EXP($E$52*(O$22-2025)+$F$52),O$7)</f>
        <v>30.750981200136575</v>
      </c>
      <c r="P9" s="158">
        <f t="shared" ref="P9:AM9" si="6">MAX(EXP($E$52*(P$22-2025)+$F$52),P$7)</f>
        <v>33.604363427703483</v>
      </c>
      <c r="Q9" s="158">
        <f t="shared" si="6"/>
        <v>36.722510869869737</v>
      </c>
      <c r="R9" s="158">
        <f t="shared" si="6"/>
        <v>40.129991079550116</v>
      </c>
      <c r="S9" s="158">
        <f t="shared" si="6"/>
        <v>43.85365123184139</v>
      </c>
      <c r="T9" s="158">
        <f t="shared" si="6"/>
        <v>47.922829650066888</v>
      </c>
      <c r="U9" s="158">
        <f t="shared" si="6"/>
        <v>52.369586959313658</v>
      </c>
      <c r="V9" s="158">
        <f t="shared" si="6"/>
        <v>57.228958688696437</v>
      </c>
      <c r="W9" s="158">
        <f t="shared" si="6"/>
        <v>62.539231312574948</v>
      </c>
      <c r="X9" s="158">
        <f t="shared" si="6"/>
        <v>68.342243905623633</v>
      </c>
      <c r="Y9" s="158">
        <f t="shared" si="6"/>
        <v>74.683717788462999</v>
      </c>
      <c r="Z9" s="158">
        <f t="shared" si="6"/>
        <v>81.613616761093994</v>
      </c>
      <c r="AA9" s="158">
        <f t="shared" si="6"/>
        <v>89.186540762378513</v>
      </c>
      <c r="AB9" s="158">
        <f t="shared" si="6"/>
        <v>97.462156057164961</v>
      </c>
      <c r="AC9" s="158">
        <f t="shared" si="6"/>
        <v>106.50566534046006</v>
      </c>
      <c r="AD9" s="158">
        <f t="shared" si="6"/>
        <v>116.38832146254522</v>
      </c>
      <c r="AE9" s="158">
        <f t="shared" si="6"/>
        <v>127.18798882262598</v>
      </c>
      <c r="AF9" s="158">
        <f t="shared" si="6"/>
        <v>138.98975685417241</v>
      </c>
      <c r="AG9" s="158">
        <f t="shared" si="6"/>
        <v>151.88661043553984</v>
      </c>
      <c r="AH9" s="158">
        <f t="shared" si="6"/>
        <v>165.98016250796022</v>
      </c>
      <c r="AI9" s="163">
        <f t="shared" si="6"/>
        <v>181.38145467312793</v>
      </c>
      <c r="AJ9" s="158">
        <f t="shared" si="6"/>
        <v>198.21183207819863</v>
      </c>
      <c r="AK9" s="158">
        <f t="shared" si="6"/>
        <v>216.60389948133238</v>
      </c>
      <c r="AL9" s="158">
        <f t="shared" si="6"/>
        <v>236.70256603051467</v>
      </c>
      <c r="AM9" s="158">
        <f t="shared" si="6"/>
        <v>258.66618698736261</v>
      </c>
    </row>
    <row r="10" spans="1:41" s="18" customFormat="1" x14ac:dyDescent="0.3">
      <c r="A10" t="s">
        <v>89</v>
      </c>
      <c r="B10" s="155"/>
      <c r="C10" s="155"/>
      <c r="D10" s="155"/>
      <c r="E10" s="155"/>
      <c r="F10" s="155"/>
      <c r="G10" s="155"/>
      <c r="H10" s="155"/>
      <c r="I10" s="155"/>
      <c r="J10" s="155"/>
      <c r="K10" s="155"/>
      <c r="L10" s="155"/>
      <c r="M10" s="155"/>
      <c r="N10" s="155"/>
      <c r="O10" s="158">
        <f>MAX(EXP($E$57*(O$22-2025)+$F$57),O$7)</f>
        <v>31.482473247381623</v>
      </c>
      <c r="P10" s="158">
        <f t="shared" ref="P10:AM10" si="7">MAX(EXP($E$57*(P$22-2025)+$F$57),P$7)</f>
        <v>35.222112780121066</v>
      </c>
      <c r="Q10" s="158">
        <f t="shared" si="7"/>
        <v>39.405964675877151</v>
      </c>
      <c r="R10" s="158">
        <f t="shared" si="7"/>
        <v>44.086794614798791</v>
      </c>
      <c r="S10" s="158">
        <f t="shared" si="7"/>
        <v>49.323636038208157</v>
      </c>
      <c r="T10" s="158">
        <f t="shared" si="7"/>
        <v>55.182534663406699</v>
      </c>
      <c r="U10" s="158">
        <f t="shared" si="7"/>
        <v>61.737381435529478</v>
      </c>
      <c r="V10" s="158">
        <f t="shared" si="7"/>
        <v>69.070844421425008</v>
      </c>
      <c r="W10" s="158">
        <f t="shared" si="7"/>
        <v>77.275411398371077</v>
      </c>
      <c r="X10" s="158">
        <f t="shared" si="7"/>
        <v>86.454556286490316</v>
      </c>
      <c r="Y10" s="158">
        <f t="shared" si="7"/>
        <v>96.724044135615827</v>
      </c>
      <c r="Z10" s="158">
        <f t="shared" si="7"/>
        <v>108.21339112477163</v>
      </c>
      <c r="AA10" s="158">
        <f t="shared" si="7"/>
        <v>121.06749798740977</v>
      </c>
      <c r="AB10" s="158">
        <f t="shared" si="7"/>
        <v>135.44847746275082</v>
      </c>
      <c r="AC10" s="158">
        <f t="shared" si="7"/>
        <v>151.53769882058043</v>
      </c>
      <c r="AD10" s="158">
        <f t="shared" si="7"/>
        <v>169.53807524453038</v>
      </c>
      <c r="AE10" s="158">
        <f t="shared" si="7"/>
        <v>189.67662292174401</v>
      </c>
      <c r="AF10" s="158">
        <f t="shared" si="7"/>
        <v>212.20732411351466</v>
      </c>
      <c r="AG10" s="158">
        <f t="shared" si="7"/>
        <v>237.41433031521927</v>
      </c>
      <c r="AH10" s="158">
        <f t="shared" si="7"/>
        <v>265.6155459029905</v>
      </c>
      <c r="AI10" s="163">
        <f t="shared" si="7"/>
        <v>297.16663746316834</v>
      </c>
      <c r="AJ10" s="158">
        <f t="shared" si="7"/>
        <v>332.46551936918047</v>
      </c>
      <c r="AK10" s="158">
        <f t="shared" si="7"/>
        <v>371.9573721768104</v>
      </c>
      <c r="AL10" s="158">
        <f t="shared" si="7"/>
        <v>416.14025712858142</v>
      </c>
      <c r="AM10" s="158">
        <f t="shared" si="7"/>
        <v>465.57139757596741</v>
      </c>
      <c r="AN10" s="14"/>
    </row>
    <row r="11" spans="1:41" s="18" customFormat="1" x14ac:dyDescent="0.3">
      <c r="A11"/>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62"/>
      <c r="AJ11" s="155"/>
      <c r="AK11" s="155"/>
      <c r="AL11" s="155"/>
      <c r="AM11" s="155"/>
      <c r="AN11" s="14"/>
    </row>
    <row r="12" spans="1:41" s="18" customFormat="1" ht="16.2" x14ac:dyDescent="0.3">
      <c r="A12" t="s">
        <v>5</v>
      </c>
      <c r="B12" s="159">
        <f>VLOOKUP(B$5,'Auction Data'!$E$60:$H$73,4,FALSE)</f>
        <v>12.766366054493103</v>
      </c>
      <c r="C12" s="159">
        <f>VLOOKUP(C$5,'Auction Data'!$E$60:$H$73,4,FALSE)</f>
        <v>11.663986959374096</v>
      </c>
      <c r="D12" s="159">
        <f>VLOOKUP(D$5,'Auction Data'!$E$60:$H$73,4,FALSE)</f>
        <v>12.437281556525077</v>
      </c>
      <c r="E12" s="159">
        <f>VLOOKUP(E$5,'Auction Data'!$E$60:$H$73,4,FALSE)</f>
        <v>12.73</v>
      </c>
      <c r="F12" s="159">
        <f>VLOOKUP(F$5,'Auction Data'!$E$60:$H$73,4,FALSE)</f>
        <v>14.486740520427819</v>
      </c>
      <c r="G12" s="159">
        <f>VLOOKUP(G$5,'Auction Data'!$E$60:$H$73,4,FALSE)</f>
        <v>14.880124463738202</v>
      </c>
      <c r="H12" s="159">
        <f>VLOOKUP(H$5,'Auction Data'!$E$60:$H$73,4,FALSE)</f>
        <v>16.77847358151163</v>
      </c>
      <c r="I12" s="159">
        <f>VLOOKUP(I$5,'Auction Data'!$E$60:$H$73,4,FALSE)</f>
        <v>17.1180838726224</v>
      </c>
      <c r="J12" s="159">
        <f>VLOOKUP(J$5,'Auction Data'!$E$60:$H$73,4,FALSE)</f>
        <v>22.235634395651466</v>
      </c>
      <c r="K12" s="159">
        <f>VLOOKUP(K$5,'Auction Data'!$E$60:$H$73,4,FALSE)</f>
        <v>28.461403648612958</v>
      </c>
      <c r="L12" s="159">
        <f>VLOOKUP(L$5,'Auction Data'!$E$60:$H$73,4,FALSE)</f>
        <v>33.055958286711466</v>
      </c>
      <c r="M12" s="159">
        <f>VLOOKUP(M$5,'Auction Data'!$E$60:$H$73,4,FALSE)</f>
        <v>35.213877924788868</v>
      </c>
      <c r="N12" s="159">
        <f>VLOOKUP(N$5,'Auction Data'!$E$60:$H$73,4,FALSE)</f>
        <v>28.139882691293032</v>
      </c>
      <c r="O12" s="155"/>
      <c r="P12" s="155"/>
      <c r="Q12" s="155"/>
      <c r="R12" s="155"/>
      <c r="S12" s="155"/>
      <c r="T12" s="155"/>
      <c r="U12" s="160"/>
      <c r="V12" s="160"/>
      <c r="W12" s="160"/>
      <c r="X12" s="160"/>
      <c r="Y12" s="160"/>
      <c r="Z12" s="160"/>
      <c r="AA12" s="160"/>
      <c r="AB12" s="160"/>
      <c r="AC12" s="160"/>
      <c r="AD12" s="160"/>
      <c r="AE12" s="160"/>
      <c r="AF12" s="160"/>
      <c r="AG12" s="160"/>
      <c r="AH12" s="160"/>
      <c r="AI12" s="163"/>
      <c r="AJ12" s="160"/>
      <c r="AK12" s="160"/>
      <c r="AL12" s="160"/>
      <c r="AM12" s="160"/>
      <c r="AN12" s="14"/>
    </row>
    <row r="13" spans="1:41" s="18" customFormat="1" ht="16.2" x14ac:dyDescent="0.3">
      <c r="A13" t="s">
        <v>6</v>
      </c>
      <c r="B13" s="155">
        <v>12.002742366814928</v>
      </c>
      <c r="C13" s="155">
        <v>11.663986959374096</v>
      </c>
      <c r="D13" s="155">
        <v>12.437281556525077</v>
      </c>
      <c r="E13" s="159">
        <v>12.73</v>
      </c>
      <c r="F13" s="159">
        <v>13.57</v>
      </c>
      <c r="G13" s="155">
        <v>14.53</v>
      </c>
      <c r="H13" s="155">
        <v>15.62</v>
      </c>
      <c r="I13" s="155">
        <v>16.68</v>
      </c>
      <c r="J13" s="155">
        <v>17.71</v>
      </c>
      <c r="K13" s="155">
        <v>19.2</v>
      </c>
      <c r="L13" s="155">
        <v>22.21</v>
      </c>
      <c r="M13" s="155">
        <v>24.04</v>
      </c>
      <c r="N13" s="155">
        <v>25.87</v>
      </c>
      <c r="O13" s="155">
        <v>27.94</v>
      </c>
      <c r="P13" s="155">
        <f t="shared" ref="P13:AM13" si="8">O13*(O$18+1.05)</f>
        <v>30.180983203642825</v>
      </c>
      <c r="Q13" s="155">
        <f t="shared" si="8"/>
        <v>32.299589372149605</v>
      </c>
      <c r="R13" s="155">
        <f t="shared" si="8"/>
        <v>34.564857609482686</v>
      </c>
      <c r="S13" s="155">
        <f t="shared" si="8"/>
        <v>36.931233791013547</v>
      </c>
      <c r="T13" s="155">
        <f t="shared" si="8"/>
        <v>39.481126866818641</v>
      </c>
      <c r="U13" s="155">
        <f t="shared" si="8"/>
        <v>42.278486744400603</v>
      </c>
      <c r="V13" s="155">
        <f t="shared" si="8"/>
        <v>45.336963381456485</v>
      </c>
      <c r="W13" s="155">
        <f t="shared" si="8"/>
        <v>48.676862302608043</v>
      </c>
      <c r="X13" s="155">
        <f t="shared" si="8"/>
        <v>52.274695417272859</v>
      </c>
      <c r="Y13" s="155">
        <f t="shared" si="8"/>
        <v>56.127293213279444</v>
      </c>
      <c r="Z13" s="155">
        <f t="shared" si="8"/>
        <v>60.257087593521078</v>
      </c>
      <c r="AA13" s="155">
        <f t="shared" si="8"/>
        <v>64.700649366525695</v>
      </c>
      <c r="AB13" s="155">
        <f t="shared" si="8"/>
        <v>69.502406074052942</v>
      </c>
      <c r="AC13" s="155">
        <f t="shared" si="8"/>
        <v>74.706280139019213</v>
      </c>
      <c r="AD13" s="155">
        <f t="shared" si="8"/>
        <v>80.343713398721377</v>
      </c>
      <c r="AE13" s="155">
        <f t="shared" si="8"/>
        <v>86.424390607104982</v>
      </c>
      <c r="AF13" s="155">
        <f t="shared" si="8"/>
        <v>92.970613687118188</v>
      </c>
      <c r="AG13" s="155">
        <f t="shared" si="8"/>
        <v>100.01202321030307</v>
      </c>
      <c r="AH13" s="155">
        <f t="shared" si="8"/>
        <v>107.58991797616244</v>
      </c>
      <c r="AI13" s="162">
        <f t="shared" si="8"/>
        <v>115.73513081684506</v>
      </c>
      <c r="AJ13" s="155">
        <f t="shared" si="8"/>
        <v>124.50109575311878</v>
      </c>
      <c r="AK13" s="155">
        <f t="shared" si="8"/>
        <v>133.93696626042015</v>
      </c>
      <c r="AL13" s="155">
        <f t="shared" si="8"/>
        <v>144.08802649044657</v>
      </c>
      <c r="AM13" s="155">
        <f t="shared" si="8"/>
        <v>155.00553918341902</v>
      </c>
      <c r="AN13" s="14"/>
    </row>
    <row r="14" spans="1:41" x14ac:dyDescent="0.3">
      <c r="A14" t="s">
        <v>7</v>
      </c>
      <c r="B14" s="161"/>
      <c r="C14" s="161"/>
      <c r="D14" s="161"/>
      <c r="E14" s="161"/>
      <c r="F14" s="161"/>
      <c r="G14" s="161"/>
      <c r="H14" s="161"/>
      <c r="I14" s="161"/>
      <c r="J14" s="161">
        <v>41.4</v>
      </c>
      <c r="K14" s="161">
        <v>46.05</v>
      </c>
      <c r="L14" s="161">
        <v>51.92</v>
      </c>
      <c r="M14" s="161">
        <v>56.2</v>
      </c>
      <c r="N14" s="161">
        <v>60.47</v>
      </c>
      <c r="O14" s="161">
        <v>65.31</v>
      </c>
      <c r="P14" s="161">
        <f t="shared" ref="P14:AM16" si="9">O14*(1.05+O$18)</f>
        <v>70.548318290261733</v>
      </c>
      <c r="Q14" s="161">
        <f t="shared" si="9"/>
        <v>75.500579165894436</v>
      </c>
      <c r="R14" s="161">
        <f t="shared" si="9"/>
        <v>80.795663939703431</v>
      </c>
      <c r="S14" s="161">
        <f t="shared" si="9"/>
        <v>86.327089437762865</v>
      </c>
      <c r="T14" s="161">
        <f t="shared" si="9"/>
        <v>92.287487318250712</v>
      </c>
      <c r="U14" s="161">
        <f t="shared" si="9"/>
        <v>98.826341062161873</v>
      </c>
      <c r="V14" s="161">
        <f t="shared" si="9"/>
        <v>105.97555756774955</v>
      </c>
      <c r="W14" s="161">
        <f t="shared" si="9"/>
        <v>113.78260118050575</v>
      </c>
      <c r="X14" s="161">
        <f t="shared" si="9"/>
        <v>122.19256827852863</v>
      </c>
      <c r="Y14" s="161">
        <f t="shared" si="9"/>
        <v>131.19805009875734</v>
      </c>
      <c r="Z14" s="161">
        <f t="shared" si="9"/>
        <v>140.85148141491987</v>
      </c>
      <c r="AA14" s="161">
        <f t="shared" si="9"/>
        <v>151.23834681917657</v>
      </c>
      <c r="AB14" s="161">
        <f t="shared" si="9"/>
        <v>162.46249608791686</v>
      </c>
      <c r="AC14" s="161">
        <f t="shared" si="9"/>
        <v>174.62659827771452</v>
      </c>
      <c r="AD14" s="161">
        <f t="shared" si="9"/>
        <v>187.80414896458453</v>
      </c>
      <c r="AE14" s="161">
        <f t="shared" si="9"/>
        <v>202.01778634753131</v>
      </c>
      <c r="AF14" s="161">
        <f t="shared" si="9"/>
        <v>217.31964137099811</v>
      </c>
      <c r="AG14" s="161">
        <f t="shared" si="9"/>
        <v>233.77899913618083</v>
      </c>
      <c r="AH14" s="161">
        <f t="shared" si="9"/>
        <v>251.49239595644841</v>
      </c>
      <c r="AI14" s="161">
        <f t="shared" si="9"/>
        <v>270.53190385283284</v>
      </c>
      <c r="AJ14" s="161">
        <f t="shared" si="9"/>
        <v>291.02242532699307</v>
      </c>
      <c r="AK14" s="161">
        <f t="shared" si="9"/>
        <v>313.07885706757475</v>
      </c>
      <c r="AL14" s="161">
        <f t="shared" si="9"/>
        <v>336.80705118436157</v>
      </c>
      <c r="AM14" s="161">
        <f t="shared" si="9"/>
        <v>362.32683479130611</v>
      </c>
      <c r="AN14" s="14"/>
    </row>
    <row r="15" spans="1:41" x14ac:dyDescent="0.3">
      <c r="A15" t="s">
        <v>8</v>
      </c>
      <c r="B15" s="161"/>
      <c r="C15" s="161"/>
      <c r="D15" s="161"/>
      <c r="E15" s="161"/>
      <c r="F15" s="161"/>
      <c r="G15" s="161"/>
      <c r="H15" s="161"/>
      <c r="I15" s="161"/>
      <c r="J15" s="161">
        <v>53.2</v>
      </c>
      <c r="K15" s="161">
        <v>59.17</v>
      </c>
      <c r="L15" s="161">
        <v>66.709999999999994</v>
      </c>
      <c r="M15" s="161">
        <v>72.209999999999994</v>
      </c>
      <c r="N15" s="161">
        <v>77.7</v>
      </c>
      <c r="O15" s="161">
        <v>83.92</v>
      </c>
      <c r="P15" s="161">
        <f t="shared" si="9"/>
        <v>90.650970309581453</v>
      </c>
      <c r="Q15" s="161">
        <f t="shared" si="9"/>
        <v>97.014371514344845</v>
      </c>
      <c r="R15" s="161">
        <f t="shared" si="9"/>
        <v>103.81828384351421</v>
      </c>
      <c r="S15" s="161">
        <f t="shared" si="9"/>
        <v>110.92588188052459</v>
      </c>
      <c r="T15" s="161">
        <f t="shared" si="9"/>
        <v>118.58468742531926</v>
      </c>
      <c r="U15" s="161">
        <f t="shared" si="9"/>
        <v>126.98677908339651</v>
      </c>
      <c r="V15" s="161">
        <f t="shared" si="9"/>
        <v>136.17315558238468</v>
      </c>
      <c r="W15" s="161">
        <f t="shared" si="9"/>
        <v>146.20480617161297</v>
      </c>
      <c r="X15" s="161">
        <f t="shared" si="9"/>
        <v>157.01118251315455</v>
      </c>
      <c r="Y15" s="161">
        <f t="shared" si="9"/>
        <v>168.58276472650002</v>
      </c>
      <c r="Z15" s="161">
        <f t="shared" si="9"/>
        <v>180.98692880630955</v>
      </c>
      <c r="AA15" s="161">
        <f t="shared" si="9"/>
        <v>194.33351806867705</v>
      </c>
      <c r="AB15" s="161">
        <f t="shared" si="9"/>
        <v>208.75597414941026</v>
      </c>
      <c r="AC15" s="161">
        <f t="shared" si="9"/>
        <v>224.3862215199174</v>
      </c>
      <c r="AD15" s="161">
        <f t="shared" si="9"/>
        <v>241.31869822550814</v>
      </c>
      <c r="AE15" s="161">
        <f t="shared" si="9"/>
        <v>259.5824931907033</v>
      </c>
      <c r="AF15" s="161">
        <f t="shared" si="9"/>
        <v>279.24459200511666</v>
      </c>
      <c r="AG15" s="161">
        <f t="shared" si="9"/>
        <v>300.39402246988675</v>
      </c>
      <c r="AH15" s="161">
        <f t="shared" si="9"/>
        <v>323.15482879597545</v>
      </c>
      <c r="AI15" s="161">
        <f t="shared" si="9"/>
        <v>347.61961983355906</v>
      </c>
      <c r="AJ15" s="161">
        <f t="shared" si="9"/>
        <v>373.94888889054153</v>
      </c>
      <c r="AK15" s="161">
        <f t="shared" si="9"/>
        <v>402.29027231834147</v>
      </c>
      <c r="AL15" s="161">
        <f t="shared" si="9"/>
        <v>432.77978464847087</v>
      </c>
      <c r="AM15" s="161">
        <f t="shared" si="9"/>
        <v>465.57139757596724</v>
      </c>
      <c r="AN15" s="14"/>
    </row>
    <row r="16" spans="1:41" x14ac:dyDescent="0.3">
      <c r="A16" t="s">
        <v>9</v>
      </c>
      <c r="B16" s="19"/>
      <c r="C16" s="20"/>
      <c r="D16" s="20"/>
      <c r="E16" s="20"/>
      <c r="F16" s="20"/>
      <c r="G16" s="20"/>
      <c r="H16" s="21"/>
      <c r="I16" s="20"/>
      <c r="J16" s="161">
        <v>65</v>
      </c>
      <c r="K16" s="161">
        <v>72.290000000000006</v>
      </c>
      <c r="L16" s="161">
        <v>81.5</v>
      </c>
      <c r="M16" s="161">
        <v>88.21</v>
      </c>
      <c r="N16" s="161">
        <v>94.92</v>
      </c>
      <c r="O16" s="161">
        <v>102.52</v>
      </c>
      <c r="P16" s="161">
        <f t="shared" si="9"/>
        <v>110.74282025903587</v>
      </c>
      <c r="Q16" s="161">
        <f t="shared" si="9"/>
        <v>118.51660352300563</v>
      </c>
      <c r="R16" s="161">
        <f t="shared" si="9"/>
        <v>126.82853264581834</v>
      </c>
      <c r="S16" s="161">
        <f t="shared" si="9"/>
        <v>135.51145627253788</v>
      </c>
      <c r="T16" s="161">
        <f t="shared" si="9"/>
        <v>144.86775684990144</v>
      </c>
      <c r="U16" s="161">
        <f t="shared" si="9"/>
        <v>155.13208521961164</v>
      </c>
      <c r="V16" s="161">
        <f t="shared" si="9"/>
        <v>166.35452705321825</v>
      </c>
      <c r="W16" s="161">
        <f t="shared" si="9"/>
        <v>178.60958923634129</v>
      </c>
      <c r="X16" s="161">
        <f t="shared" si="9"/>
        <v>191.81108712164684</v>
      </c>
      <c r="Y16" s="161">
        <f t="shared" si="9"/>
        <v>205.94739084557648</v>
      </c>
      <c r="Z16" s="161">
        <f t="shared" si="9"/>
        <v>221.10080959512453</v>
      </c>
      <c r="AA16" s="161">
        <f t="shared" si="9"/>
        <v>237.40553232126746</v>
      </c>
      <c r="AB16" s="161">
        <f t="shared" si="9"/>
        <v>255.02457661817843</v>
      </c>
      <c r="AC16" s="161">
        <f t="shared" si="9"/>
        <v>274.11910665183416</v>
      </c>
      <c r="AD16" s="161">
        <f t="shared" si="9"/>
        <v>294.80449168349719</v>
      </c>
      <c r="AE16" s="161">
        <f t="shared" si="9"/>
        <v>317.11626789693622</v>
      </c>
      <c r="AF16" s="161">
        <f t="shared" si="9"/>
        <v>341.1362675448587</v>
      </c>
      <c r="AG16" s="161">
        <f t="shared" si="9"/>
        <v>366.97325051969455</v>
      </c>
      <c r="AH16" s="161">
        <f t="shared" si="9"/>
        <v>394.77875414875336</v>
      </c>
      <c r="AI16" s="161">
        <f t="shared" si="9"/>
        <v>424.66591307598247</v>
      </c>
      <c r="AJ16" s="161">
        <f t="shared" si="9"/>
        <v>456.83079229097103</v>
      </c>
      <c r="AK16" s="161">
        <f t="shared" si="9"/>
        <v>491.45375021539962</v>
      </c>
      <c r="AL16" s="161">
        <f t="shared" si="9"/>
        <v>528.70094759486653</v>
      </c>
      <c r="AM16" s="161">
        <f t="shared" si="9"/>
        <v>568.76048235805683</v>
      </c>
      <c r="AN16" s="156"/>
      <c r="AO16" s="167"/>
    </row>
    <row r="17" spans="1:48" ht="16.2" x14ac:dyDescent="0.3">
      <c r="A17" s="22" t="s">
        <v>91</v>
      </c>
      <c r="B17" s="20">
        <v>0.74259916788289382</v>
      </c>
      <c r="C17" s="20">
        <v>0.75459558481702416</v>
      </c>
      <c r="D17" s="20">
        <v>0.75550968102531812</v>
      </c>
      <c r="E17" s="20">
        <v>0.76508471262419742</v>
      </c>
      <c r="F17" s="20">
        <v>0.78139207209485573</v>
      </c>
      <c r="G17" s="20">
        <v>0.8004502209397899</v>
      </c>
      <c r="H17" s="20">
        <v>0.81496445358511149</v>
      </c>
      <c r="I17" s="20">
        <v>0.82517544749804361</v>
      </c>
      <c r="J17" s="20">
        <v>0.86378638254328644</v>
      </c>
      <c r="K17" s="20">
        <v>0.93282575004502744</v>
      </c>
      <c r="L17" s="20">
        <v>0.97133016007442419</v>
      </c>
      <c r="M17" s="20">
        <v>1</v>
      </c>
      <c r="N17" s="20">
        <v>1.0319369500950151</v>
      </c>
      <c r="O17" s="20">
        <v>1.063108655646146</v>
      </c>
      <c r="P17" s="20">
        <v>1.0845799684687671</v>
      </c>
      <c r="Q17" s="20">
        <v>1.1064158551159249</v>
      </c>
      <c r="R17" s="20">
        <v>1.1268424053983981</v>
      </c>
      <c r="S17" s="20">
        <v>1.1483023879043701</v>
      </c>
      <c r="T17" s="16">
        <v>1.1722480421793404</v>
      </c>
      <c r="U17" s="17">
        <v>1.198437474902242</v>
      </c>
      <c r="V17" s="17">
        <v>1.2268025028584191</v>
      </c>
      <c r="W17" s="17">
        <v>1.2561385318705947</v>
      </c>
      <c r="X17" s="17">
        <v>1.2859078795285748</v>
      </c>
      <c r="Y17" s="17">
        <v>1.3162283993145631</v>
      </c>
      <c r="Z17" s="17">
        <v>1.3474801205213951</v>
      </c>
      <c r="AA17" s="17">
        <v>1.3801093102950996</v>
      </c>
      <c r="AB17" s="17">
        <v>1.4144371745504105</v>
      </c>
      <c r="AC17" s="17">
        <v>1.4504505883693395</v>
      </c>
      <c r="AD17" s="17">
        <v>1.487702943151388</v>
      </c>
      <c r="AE17" s="17">
        <v>1.5260039864806572</v>
      </c>
      <c r="AF17" s="17">
        <v>1.565280296514568</v>
      </c>
      <c r="AG17" s="17">
        <v>1.6056173156977047</v>
      </c>
      <c r="AH17" s="17">
        <v>1.6468914712665943</v>
      </c>
      <c r="AI17" s="164">
        <v>1.6892851063101015</v>
      </c>
      <c r="AJ17" s="17">
        <v>1.7328508527920354</v>
      </c>
      <c r="AK17" s="17">
        <v>1.77754078592423</v>
      </c>
      <c r="AL17" s="17">
        <v>1.8233475546118187</v>
      </c>
      <c r="AM17" s="17">
        <v>1.8703999020154431</v>
      </c>
      <c r="AN17" s="14"/>
    </row>
    <row r="18" spans="1:48" x14ac:dyDescent="0.3">
      <c r="A18" t="s">
        <v>10</v>
      </c>
      <c r="B18" s="23">
        <v>1.4647595320435247E-2</v>
      </c>
      <c r="C18" s="23">
        <f>+C17/B17-1</f>
        <v>1.6154632879984865E-2</v>
      </c>
      <c r="D18" s="23">
        <f t="shared" ref="D18:AM18" si="10">+D17/C17-1</f>
        <v>1.2113723253703856E-3</v>
      </c>
      <c r="E18" s="23">
        <f t="shared" si="10"/>
        <v>1.2673605433996205E-2</v>
      </c>
      <c r="F18" s="23">
        <f t="shared" si="10"/>
        <v>2.1314449500271726E-2</v>
      </c>
      <c r="G18" s="23">
        <f t="shared" si="10"/>
        <v>2.4389995145254861E-2</v>
      </c>
      <c r="H18" s="23">
        <f t="shared" si="10"/>
        <v>1.8132586219141489E-2</v>
      </c>
      <c r="I18" s="23">
        <f t="shared" si="10"/>
        <v>1.2529373358571627E-2</v>
      </c>
      <c r="J18" s="23">
        <f t="shared" si="10"/>
        <v>4.6791182605241399E-2</v>
      </c>
      <c r="K18" s="23">
        <f t="shared" si="10"/>
        <v>7.9926436555372904E-2</v>
      </c>
      <c r="L18" s="23">
        <f t="shared" si="10"/>
        <v>4.1277173177882487E-2</v>
      </c>
      <c r="M18" s="23">
        <f t="shared" si="10"/>
        <v>2.9516060659929622E-2</v>
      </c>
      <c r="N18" s="23">
        <f t="shared" si="10"/>
        <v>3.1936950095015071E-2</v>
      </c>
      <c r="O18" s="23">
        <f t="shared" si="10"/>
        <v>3.0206986529807578E-2</v>
      </c>
      <c r="P18" s="23">
        <f t="shared" si="10"/>
        <v>2.0196724679634181E-2</v>
      </c>
      <c r="Q18" s="23">
        <f t="shared" si="10"/>
        <v>2.0133035167509306E-2</v>
      </c>
      <c r="R18" s="23">
        <f t="shared" si="10"/>
        <v>1.8461910309784058E-2</v>
      </c>
      <c r="S18" s="23">
        <f t="shared" si="10"/>
        <v>1.90443511915801E-2</v>
      </c>
      <c r="T18" s="23">
        <f t="shared" si="10"/>
        <v>2.085309107357225E-2</v>
      </c>
      <c r="U18" s="23">
        <f t="shared" si="10"/>
        <v>2.2341204063103026E-2</v>
      </c>
      <c r="V18" s="23">
        <f t="shared" si="10"/>
        <v>2.3668341945407567E-2</v>
      </c>
      <c r="W18" s="23">
        <f t="shared" si="10"/>
        <v>2.3912593057010767E-2</v>
      </c>
      <c r="X18" s="23">
        <f t="shared" si="10"/>
        <v>2.3699096001496445E-2</v>
      </c>
      <c r="Y18" s="23">
        <f t="shared" si="10"/>
        <v>2.3579076128769083E-2</v>
      </c>
      <c r="Z18" s="23">
        <f t="shared" si="10"/>
        <v>2.3743387715313258E-2</v>
      </c>
      <c r="AA18" s="23">
        <f t="shared" si="10"/>
        <v>2.4214969317008617E-2</v>
      </c>
      <c r="AB18" s="23">
        <f t="shared" si="10"/>
        <v>2.4873293730603763E-2</v>
      </c>
      <c r="AC18" s="23">
        <f t="shared" si="10"/>
        <v>2.5461303242666933E-2</v>
      </c>
      <c r="AD18" s="23">
        <f t="shared" si="10"/>
        <v>2.5683298059762993E-2</v>
      </c>
      <c r="AE18" s="23">
        <f t="shared" si="10"/>
        <v>2.574508809408993E-2</v>
      </c>
      <c r="AF18" s="23">
        <f t="shared" si="10"/>
        <v>2.5738012732517079E-2</v>
      </c>
      <c r="AG18" s="23">
        <f t="shared" si="10"/>
        <v>2.5769837691661746E-2</v>
      </c>
      <c r="AH18" s="23">
        <f t="shared" si="10"/>
        <v>2.5706097689258023E-2</v>
      </c>
      <c r="AI18" s="23">
        <f t="shared" si="10"/>
        <v>2.5741608225648971E-2</v>
      </c>
      <c r="AJ18" s="23">
        <f t="shared" si="10"/>
        <v>2.5789457516200098E-2</v>
      </c>
      <c r="AK18" s="23">
        <f t="shared" si="10"/>
        <v>2.5789832437216775E-2</v>
      </c>
      <c r="AL18" s="23">
        <f t="shared" si="10"/>
        <v>2.5769742697505205E-2</v>
      </c>
      <c r="AM18" s="23">
        <f t="shared" si="10"/>
        <v>2.5805473720363459E-2</v>
      </c>
      <c r="AN18" s="14"/>
    </row>
    <row r="19" spans="1:48" x14ac:dyDescent="0.3">
      <c r="B19" s="16"/>
      <c r="C19" s="16"/>
      <c r="D19" s="16"/>
      <c r="E19" s="16"/>
      <c r="F19" s="16"/>
      <c r="G19" s="16"/>
      <c r="H19" s="16"/>
      <c r="I19" s="16"/>
      <c r="J19" s="2"/>
      <c r="K19" s="24"/>
      <c r="L19" s="17"/>
      <c r="M19" s="17"/>
      <c r="N19" s="17"/>
      <c r="O19" s="17"/>
      <c r="P19" s="17"/>
      <c r="Q19" s="17"/>
      <c r="R19" s="17"/>
      <c r="S19" s="17"/>
      <c r="T19" s="17"/>
      <c r="U19" s="17"/>
      <c r="V19" s="17"/>
      <c r="W19" s="17"/>
      <c r="X19" s="17"/>
      <c r="Y19" s="17"/>
      <c r="Z19" s="17"/>
      <c r="AA19" s="17"/>
      <c r="AB19" s="17"/>
      <c r="AC19" s="17"/>
      <c r="AD19" s="16"/>
      <c r="AE19" s="16"/>
      <c r="AF19" s="16"/>
      <c r="AG19" s="16"/>
      <c r="AH19" s="17"/>
      <c r="AI19" s="164"/>
      <c r="AJ19" s="17"/>
      <c r="AK19" s="17"/>
      <c r="AL19" s="17"/>
      <c r="AM19" s="17"/>
      <c r="AN19" s="14"/>
    </row>
    <row r="20" spans="1:48" x14ac:dyDescent="0.3">
      <c r="G20" s="13"/>
      <c r="H20" s="13"/>
      <c r="I20" s="13"/>
      <c r="J20" s="13"/>
      <c r="K20" s="13"/>
      <c r="L20" s="13"/>
      <c r="M20" s="13"/>
      <c r="N20" s="13"/>
      <c r="O20" s="13"/>
      <c r="P20" s="13"/>
      <c r="Q20" s="13"/>
      <c r="R20" s="13"/>
      <c r="S20" s="13"/>
      <c r="T20" s="13"/>
      <c r="U20" s="13"/>
      <c r="V20" s="13"/>
      <c r="W20" s="13"/>
      <c r="X20" s="13"/>
      <c r="Y20" s="13"/>
      <c r="Z20" s="13"/>
      <c r="AA20" s="13"/>
      <c r="AB20" s="13"/>
      <c r="AC20" s="13"/>
      <c r="AH20" s="17"/>
      <c r="AI20" s="164"/>
      <c r="AJ20" s="17"/>
      <c r="AK20" s="17"/>
      <c r="AL20" s="17"/>
      <c r="AM20" s="17"/>
      <c r="AN20" s="14"/>
    </row>
    <row r="21" spans="1:48" ht="15.6" x14ac:dyDescent="0.35">
      <c r="A21" s="25" t="s">
        <v>92</v>
      </c>
      <c r="B21" s="25"/>
      <c r="C21" s="25"/>
      <c r="D21" s="25"/>
      <c r="E21" s="25"/>
      <c r="F21" s="25"/>
      <c r="G21" s="25"/>
      <c r="H21" s="25"/>
      <c r="I21" s="25"/>
      <c r="J21" s="25"/>
      <c r="K21" s="25"/>
      <c r="L21" s="25"/>
      <c r="M21" s="25"/>
      <c r="N21" s="25"/>
      <c r="O21" s="25"/>
      <c r="P21" s="25"/>
      <c r="Q21" s="25"/>
      <c r="R21" s="25"/>
      <c r="S21" s="25"/>
      <c r="AH21" s="17"/>
      <c r="AI21" s="164"/>
      <c r="AJ21" s="17"/>
      <c r="AK21" s="17"/>
      <c r="AL21" s="17"/>
      <c r="AM21" s="17"/>
      <c r="AN21" s="14"/>
    </row>
    <row r="22" spans="1:48" x14ac:dyDescent="0.3">
      <c r="B22">
        <v>2013</v>
      </c>
      <c r="C22">
        <v>2014</v>
      </c>
      <c r="D22">
        <v>2015</v>
      </c>
      <c r="E22">
        <v>2016</v>
      </c>
      <c r="F22">
        <v>2017</v>
      </c>
      <c r="G22">
        <v>2018</v>
      </c>
      <c r="H22">
        <v>2019</v>
      </c>
      <c r="I22">
        <v>2020</v>
      </c>
      <c r="J22">
        <v>2021</v>
      </c>
      <c r="K22">
        <v>2022</v>
      </c>
      <c r="L22">
        <v>2023</v>
      </c>
      <c r="M22">
        <v>2024</v>
      </c>
      <c r="N22">
        <f t="shared" ref="N22:AM22" si="11">+N5</f>
        <v>2025</v>
      </c>
      <c r="O22">
        <f t="shared" si="11"/>
        <v>2026</v>
      </c>
      <c r="P22">
        <f t="shared" si="11"/>
        <v>2027</v>
      </c>
      <c r="Q22">
        <f t="shared" si="11"/>
        <v>2028</v>
      </c>
      <c r="R22">
        <f t="shared" si="11"/>
        <v>2029</v>
      </c>
      <c r="S22">
        <f t="shared" si="11"/>
        <v>2030</v>
      </c>
      <c r="T22">
        <f t="shared" si="11"/>
        <v>2031</v>
      </c>
      <c r="U22">
        <f t="shared" si="11"/>
        <v>2032</v>
      </c>
      <c r="V22">
        <f t="shared" si="11"/>
        <v>2033</v>
      </c>
      <c r="W22">
        <f t="shared" si="11"/>
        <v>2034</v>
      </c>
      <c r="X22" s="3">
        <f t="shared" si="11"/>
        <v>2035</v>
      </c>
      <c r="Y22">
        <f t="shared" si="11"/>
        <v>2036</v>
      </c>
      <c r="Z22">
        <f t="shared" si="11"/>
        <v>2037</v>
      </c>
      <c r="AA22">
        <f t="shared" si="11"/>
        <v>2038</v>
      </c>
      <c r="AB22">
        <f t="shared" si="11"/>
        <v>2039</v>
      </c>
      <c r="AC22">
        <f t="shared" si="11"/>
        <v>2040</v>
      </c>
      <c r="AD22">
        <f t="shared" si="11"/>
        <v>2041</v>
      </c>
      <c r="AE22">
        <f t="shared" si="11"/>
        <v>2042</v>
      </c>
      <c r="AF22">
        <f t="shared" si="11"/>
        <v>2043</v>
      </c>
      <c r="AG22">
        <f t="shared" si="11"/>
        <v>2044</v>
      </c>
      <c r="AH22">
        <f t="shared" si="11"/>
        <v>2045</v>
      </c>
      <c r="AI22">
        <f t="shared" si="11"/>
        <v>2046</v>
      </c>
      <c r="AJ22">
        <f t="shared" si="11"/>
        <v>2047</v>
      </c>
      <c r="AK22">
        <f t="shared" si="11"/>
        <v>2048</v>
      </c>
      <c r="AL22">
        <f t="shared" si="11"/>
        <v>2049</v>
      </c>
      <c r="AM22">
        <f t="shared" si="11"/>
        <v>2050</v>
      </c>
      <c r="AN22" s="14"/>
    </row>
    <row r="23" spans="1:48" x14ac:dyDescent="0.3">
      <c r="A23" t="str">
        <f>+A6</f>
        <v>Annual Average Auction Sale Price</v>
      </c>
      <c r="B23" s="16">
        <f t="shared" ref="B23:L23" si="12">+B12/B$34</f>
        <v>16.869247880637356</v>
      </c>
      <c r="C23" s="16">
        <f t="shared" si="12"/>
        <v>15.148944288621989</v>
      </c>
      <c r="D23" s="16">
        <f t="shared" si="12"/>
        <v>16.004223793102845</v>
      </c>
      <c r="E23" s="16">
        <f t="shared" si="12"/>
        <v>16.226942672241577</v>
      </c>
      <c r="F23" s="16">
        <f t="shared" si="12"/>
        <v>18.141746819790217</v>
      </c>
      <c r="G23" s="16">
        <f t="shared" si="12"/>
        <v>18.216697364210638</v>
      </c>
      <c r="H23" s="16">
        <f t="shared" si="12"/>
        <v>20.207487231511735</v>
      </c>
      <c r="I23" s="16">
        <f t="shared" si="12"/>
        <v>20.348193851130798</v>
      </c>
      <c r="J23" s="16">
        <f t="shared" si="12"/>
        <v>25.280303631462591</v>
      </c>
      <c r="K23" s="16">
        <f t="shared" si="12"/>
        <v>30.199665258464929</v>
      </c>
      <c r="L23" s="16">
        <f t="shared" si="12"/>
        <v>33.855618540768369</v>
      </c>
      <c r="AH23" s="17"/>
      <c r="AI23" s="164"/>
      <c r="AJ23" s="17"/>
      <c r="AK23" s="17"/>
      <c r="AL23" s="17"/>
      <c r="AM23" s="17"/>
      <c r="AN23" s="14"/>
    </row>
    <row r="24" spans="1:48" x14ac:dyDescent="0.3">
      <c r="A24" t="s">
        <v>4</v>
      </c>
      <c r="B24" s="155">
        <f t="shared" ref="B24:AM24" si="13">+B7/B$34</f>
        <v>15.860209191006817</v>
      </c>
      <c r="C24" s="155">
        <f t="shared" si="13"/>
        <v>15.148944288621989</v>
      </c>
      <c r="D24" s="155">
        <f t="shared" si="13"/>
        <v>16.004223793102845</v>
      </c>
      <c r="E24" s="155">
        <f t="shared" si="13"/>
        <v>16.226942672241577</v>
      </c>
      <c r="F24" s="155">
        <f t="shared" si="13"/>
        <v>16.99371256062803</v>
      </c>
      <c r="G24" s="155">
        <f t="shared" si="13"/>
        <v>17.788064430980249</v>
      </c>
      <c r="H24" s="155">
        <f t="shared" si="13"/>
        <v>18.812256610995963</v>
      </c>
      <c r="I24" s="155">
        <f t="shared" si="13"/>
        <v>19.827445405831288</v>
      </c>
      <c r="J24" s="155">
        <f t="shared" si="13"/>
        <v>20.134985552773799</v>
      </c>
      <c r="K24" s="155">
        <f t="shared" si="13"/>
        <v>20.372627440347074</v>
      </c>
      <c r="L24" s="155">
        <f t="shared" si="13"/>
        <v>22.74728450673123</v>
      </c>
      <c r="M24" s="155">
        <f t="shared" si="13"/>
        <v>24.04</v>
      </c>
      <c r="N24" s="155">
        <f t="shared" si="13"/>
        <v>25.069094629089264</v>
      </c>
      <c r="O24" s="155">
        <f t="shared" si="13"/>
        <v>26.344178657791787</v>
      </c>
      <c r="P24" s="155">
        <f t="shared" si="13"/>
        <v>27.874076674560168</v>
      </c>
      <c r="Q24" s="155">
        <f t="shared" si="13"/>
        <v>29.238661096903023</v>
      </c>
      <c r="R24" s="155">
        <f t="shared" si="13"/>
        <v>30.736292242192764</v>
      </c>
      <c r="S24" s="155">
        <f t="shared" si="13"/>
        <v>32.290878661483553</v>
      </c>
      <c r="T24" s="155">
        <f t="shared" si="13"/>
        <v>33.91431431221158</v>
      </c>
      <c r="U24" s="155">
        <f t="shared" si="13"/>
        <v>35.640842847359615</v>
      </c>
      <c r="V24" s="155">
        <f t="shared" si="13"/>
        <v>37.471972691064749</v>
      </c>
      <c r="W24" s="155">
        <f t="shared" si="13"/>
        <v>39.441702506551238</v>
      </c>
      <c r="X24" s="155">
        <f t="shared" si="13"/>
        <v>41.528881709911659</v>
      </c>
      <c r="Y24" s="155">
        <f t="shared" si="13"/>
        <v>43.723726142566115</v>
      </c>
      <c r="Z24" s="155">
        <f t="shared" si="13"/>
        <v>46.019858376714879</v>
      </c>
      <c r="AA24" s="155">
        <f t="shared" si="13"/>
        <v>48.429393990740166</v>
      </c>
      <c r="AB24" s="155">
        <f t="shared" si="13"/>
        <v>50.967136620701758</v>
      </c>
      <c r="AC24" s="155">
        <f t="shared" si="13"/>
        <v>53.654737285129009</v>
      </c>
      <c r="AD24" s="155">
        <f t="shared" si="13"/>
        <v>56.524015275901228</v>
      </c>
      <c r="AE24" s="155">
        <f t="shared" si="13"/>
        <v>59.562088181404874</v>
      </c>
      <c r="AF24" s="155">
        <f t="shared" si="13"/>
        <v>62.764770276151339</v>
      </c>
      <c r="AG24" s="155">
        <f t="shared" si="13"/>
        <v>66.127076886519362</v>
      </c>
      <c r="AH24" s="159">
        <f t="shared" si="13"/>
        <v>69.669246575641566</v>
      </c>
      <c r="AI24" s="161">
        <f t="shared" si="13"/>
        <v>73.40919208411816</v>
      </c>
      <c r="AJ24" s="159">
        <f t="shared" si="13"/>
        <v>77.353726280731422</v>
      </c>
      <c r="AK24" s="159">
        <f t="shared" si="13"/>
        <v>81.501996418772109</v>
      </c>
      <c r="AL24" s="159">
        <f t="shared" si="13"/>
        <v>85.861884423250089</v>
      </c>
      <c r="AM24" s="159">
        <f t="shared" si="13"/>
        <v>90.435695727809161</v>
      </c>
      <c r="AN24" s="14"/>
    </row>
    <row r="25" spans="1:48" s="18" customFormat="1" x14ac:dyDescent="0.3">
      <c r="A25" s="57" t="s">
        <v>96</v>
      </c>
      <c r="B25" s="160">
        <f>B23</f>
        <v>16.869247880637356</v>
      </c>
      <c r="C25" s="160">
        <f t="shared" ref="C25:L25" si="14">C23</f>
        <v>15.148944288621989</v>
      </c>
      <c r="D25" s="160">
        <f t="shared" si="14"/>
        <v>16.004223793102845</v>
      </c>
      <c r="E25" s="160">
        <f t="shared" si="14"/>
        <v>16.226942672241577</v>
      </c>
      <c r="F25" s="160">
        <f t="shared" si="14"/>
        <v>18.141746819790217</v>
      </c>
      <c r="G25" s="160">
        <f t="shared" si="14"/>
        <v>18.216697364210638</v>
      </c>
      <c r="H25" s="160">
        <f t="shared" si="14"/>
        <v>20.207487231511735</v>
      </c>
      <c r="I25" s="160">
        <f t="shared" si="14"/>
        <v>20.348193851130798</v>
      </c>
      <c r="J25" s="160">
        <f t="shared" si="14"/>
        <v>25.280303631462591</v>
      </c>
      <c r="K25" s="160">
        <f t="shared" si="14"/>
        <v>30.199665258464929</v>
      </c>
      <c r="L25" s="160">
        <f t="shared" si="14"/>
        <v>33.855618540768369</v>
      </c>
      <c r="M25" s="160">
        <f t="shared" ref="M25:AM25" si="15">+M8/M$34</f>
        <v>35.213877924788868</v>
      </c>
      <c r="N25" s="160">
        <f t="shared" si="15"/>
        <v>27.268704369520528</v>
      </c>
      <c r="O25" s="160">
        <f t="shared" si="15"/>
        <v>29.388111066845465</v>
      </c>
      <c r="P25" s="160">
        <f t="shared" si="15"/>
        <v>31.883915297743787</v>
      </c>
      <c r="Q25" s="160">
        <f t="shared" si="15"/>
        <v>34.614347475672226</v>
      </c>
      <c r="R25" s="160">
        <f t="shared" si="15"/>
        <v>37.662010673824426</v>
      </c>
      <c r="S25" s="160">
        <f t="shared" si="15"/>
        <v>41.017007497242055</v>
      </c>
      <c r="T25" s="160">
        <f t="shared" si="15"/>
        <v>44.63366565647825</v>
      </c>
      <c r="U25" s="160">
        <f t="shared" si="15"/>
        <v>48.516416418130568</v>
      </c>
      <c r="V25" s="160">
        <f t="shared" si="15"/>
        <v>52.687239038245494</v>
      </c>
      <c r="W25" s="160">
        <f t="shared" si="15"/>
        <v>57.210470315106676</v>
      </c>
      <c r="X25" s="160">
        <f t="shared" si="15"/>
        <v>62.128704114555184</v>
      </c>
      <c r="Y25" s="160">
        <f t="shared" si="15"/>
        <v>67.478864410531799</v>
      </c>
      <c r="Z25" s="160">
        <f t="shared" si="15"/>
        <v>73.274517565899259</v>
      </c>
      <c r="AA25" s="160">
        <f t="shared" si="15"/>
        <v>79.543986168142624</v>
      </c>
      <c r="AB25" s="160">
        <f t="shared" si="15"/>
        <v>86.315438292388123</v>
      </c>
      <c r="AC25" s="160">
        <f t="shared" si="15"/>
        <v>93.635422359816346</v>
      </c>
      <c r="AD25" s="160">
        <f t="shared" si="15"/>
        <v>101.59245293631731</v>
      </c>
      <c r="AE25" s="160">
        <f t="shared" si="15"/>
        <v>110.23133313973931</v>
      </c>
      <c r="AF25" s="160">
        <f t="shared" si="15"/>
        <v>119.60045865798732</v>
      </c>
      <c r="AG25" s="160">
        <f t="shared" si="15"/>
        <v>129.74207525146244</v>
      </c>
      <c r="AH25" s="160">
        <f t="shared" si="15"/>
        <v>140.73897837759088</v>
      </c>
      <c r="AI25" s="160">
        <f t="shared" si="15"/>
        <v>152.69373656927181</v>
      </c>
      <c r="AJ25" s="160">
        <f t="shared" si="15"/>
        <v>165.66668406782134</v>
      </c>
      <c r="AK25" s="160">
        <f t="shared" si="15"/>
        <v>179.71570547470907</v>
      </c>
      <c r="AL25" s="160">
        <f t="shared" si="15"/>
        <v>194.93144138986557</v>
      </c>
      <c r="AM25" s="160">
        <f t="shared" si="15"/>
        <v>211.3942479593135</v>
      </c>
      <c r="AN25" s="15"/>
      <c r="AO25" s="15"/>
      <c r="AP25" s="147"/>
      <c r="AQ25" s="147"/>
      <c r="AR25" s="147"/>
      <c r="AS25" s="147"/>
      <c r="AT25" s="147"/>
      <c r="AU25" s="147"/>
      <c r="AV25" s="147"/>
    </row>
    <row r="26" spans="1:48" s="18" customFormat="1" x14ac:dyDescent="0.3">
      <c r="A26" s="148" t="str">
        <f>A9</f>
        <v>Low Price Scenario</v>
      </c>
      <c r="B26" s="166"/>
      <c r="C26" s="166"/>
      <c r="D26" s="166"/>
      <c r="E26" s="166"/>
      <c r="F26" s="166"/>
      <c r="G26" s="166"/>
      <c r="H26" s="166"/>
      <c r="I26" s="166"/>
      <c r="J26" s="166"/>
      <c r="K26" s="166"/>
      <c r="L26" s="166"/>
      <c r="M26" s="160"/>
      <c r="N26" s="160">
        <f t="shared" ref="N26:AM26" si="16">+N9/N$34</f>
        <v>0</v>
      </c>
      <c r="O26" s="160">
        <f t="shared" si="16"/>
        <v>28.994607825296864</v>
      </c>
      <c r="P26" s="160">
        <f t="shared" si="16"/>
        <v>31.035788213504404</v>
      </c>
      <c r="Q26" s="160">
        <f t="shared" si="16"/>
        <v>33.242436539372036</v>
      </c>
      <c r="R26" s="160">
        <f t="shared" si="16"/>
        <v>35.685005488327292</v>
      </c>
      <c r="S26" s="160">
        <f t="shared" si="16"/>
        <v>38.343504546955629</v>
      </c>
      <c r="T26" s="160">
        <f t="shared" si="16"/>
        <v>41.165742633574027</v>
      </c>
      <c r="U26" s="160">
        <f t="shared" si="16"/>
        <v>44.147659070253546</v>
      </c>
      <c r="V26" s="160">
        <f t="shared" si="16"/>
        <v>47.300961890139106</v>
      </c>
      <c r="W26" s="160">
        <f t="shared" si="16"/>
        <v>50.674050046295093</v>
      </c>
      <c r="X26" s="160">
        <f t="shared" si="16"/>
        <v>54.293515060993933</v>
      </c>
      <c r="Y26" s="160">
        <f t="shared" si="16"/>
        <v>58.179367593640876</v>
      </c>
      <c r="Z26" s="160">
        <f t="shared" si="16"/>
        <v>62.330378631855133</v>
      </c>
      <c r="AA26" s="160">
        <f t="shared" si="16"/>
        <v>66.757446231862644</v>
      </c>
      <c r="AB26" s="160">
        <f t="shared" si="16"/>
        <v>71.47043251741654</v>
      </c>
      <c r="AC26" s="160">
        <f t="shared" si="16"/>
        <v>76.49334811726952</v>
      </c>
      <c r="AD26" s="160">
        <f t="shared" si="16"/>
        <v>81.88238982230196</v>
      </c>
      <c r="AE26" s="160">
        <f t="shared" si="16"/>
        <v>87.655604542336164</v>
      </c>
      <c r="AF26" s="160">
        <f t="shared" si="16"/>
        <v>93.83244676698304</v>
      </c>
      <c r="AG26" s="160">
        <f t="shared" si="16"/>
        <v>100.42610122168851</v>
      </c>
      <c r="AH26" s="160">
        <f t="shared" si="16"/>
        <v>107.47952118519309</v>
      </c>
      <c r="AI26" s="160">
        <f t="shared" si="16"/>
        <v>115.04774697725951</v>
      </c>
      <c r="AJ26" s="160">
        <f t="shared" si="16"/>
        <v>123.15091454763518</v>
      </c>
      <c r="AK26" s="160">
        <f t="shared" si="16"/>
        <v>131.80566002588691</v>
      </c>
      <c r="AL26" s="160">
        <f t="shared" si="16"/>
        <v>141.05077890386883</v>
      </c>
      <c r="AM26" s="160">
        <f t="shared" si="16"/>
        <v>150.91497184356126</v>
      </c>
      <c r="AN26" s="15"/>
      <c r="AO26" s="15"/>
      <c r="AP26" s="147"/>
      <c r="AQ26" s="147"/>
      <c r="AR26" s="147"/>
      <c r="AS26" s="147"/>
      <c r="AT26" s="147"/>
      <c r="AU26" s="147"/>
      <c r="AV26" s="147"/>
    </row>
    <row r="27" spans="1:48" s="18" customFormat="1" x14ac:dyDescent="0.3">
      <c r="A27" s="148" t="str">
        <f>A10</f>
        <v>High Price Scenario</v>
      </c>
      <c r="B27" s="160"/>
      <c r="C27" s="160"/>
      <c r="D27" s="160"/>
      <c r="E27" s="160"/>
      <c r="F27" s="160"/>
      <c r="G27" s="160"/>
      <c r="H27" s="160"/>
      <c r="I27" s="160"/>
      <c r="J27" s="160"/>
      <c r="K27" s="160"/>
      <c r="L27" s="160"/>
      <c r="M27" s="160"/>
      <c r="N27" s="160">
        <f t="shared" ref="N27:AM27" si="17">+N10/N$34</f>
        <v>0</v>
      </c>
      <c r="O27" s="160">
        <f t="shared" si="17"/>
        <v>29.684319964859405</v>
      </c>
      <c r="P27" s="160">
        <f t="shared" si="17"/>
        <v>32.529883657156653</v>
      </c>
      <c r="Q27" s="160">
        <f t="shared" si="17"/>
        <v>35.671588052694311</v>
      </c>
      <c r="R27" s="160">
        <f t="shared" si="17"/>
        <v>39.203534949041163</v>
      </c>
      <c r="S27" s="160">
        <f t="shared" si="17"/>
        <v>43.126193819186959</v>
      </c>
      <c r="T27" s="160">
        <f t="shared" si="17"/>
        <v>47.401834082201511</v>
      </c>
      <c r="U27" s="160">
        <f t="shared" si="17"/>
        <v>52.044727212064238</v>
      </c>
      <c r="V27" s="160">
        <f t="shared" si="17"/>
        <v>57.088534451053285</v>
      </c>
      <c r="W27" s="160">
        <f t="shared" si="17"/>
        <v>62.614425894961791</v>
      </c>
      <c r="X27" s="160">
        <f t="shared" si="17"/>
        <v>68.68258174715659</v>
      </c>
      <c r="Y27" s="160">
        <f t="shared" si="17"/>
        <v>75.349003578646688</v>
      </c>
      <c r="Z27" s="160">
        <f t="shared" si="17"/>
        <v>82.645297556025554</v>
      </c>
      <c r="AA27" s="160">
        <f t="shared" si="17"/>
        <v>90.620814735421789</v>
      </c>
      <c r="AB27" s="160">
        <f t="shared" si="17"/>
        <v>99.326360709795495</v>
      </c>
      <c r="AC27" s="160">
        <f t="shared" si="17"/>
        <v>108.83576861116607</v>
      </c>
      <c r="AD27" s="160">
        <f t="shared" si="17"/>
        <v>119.27470550696795</v>
      </c>
      <c r="AE27" s="160">
        <f t="shared" si="17"/>
        <v>130.72161297353972</v>
      </c>
      <c r="AF27" s="160">
        <f t="shared" si="17"/>
        <v>143.26186975301218</v>
      </c>
      <c r="AG27" s="160">
        <f t="shared" si="17"/>
        <v>156.97628315851</v>
      </c>
      <c r="AH27" s="160">
        <f t="shared" si="17"/>
        <v>171.99785360872843</v>
      </c>
      <c r="AI27" s="160">
        <f t="shared" si="17"/>
        <v>188.48868633542102</v>
      </c>
      <c r="AJ27" s="160">
        <f t="shared" si="17"/>
        <v>206.564019597559</v>
      </c>
      <c r="AK27" s="160">
        <f t="shared" si="17"/>
        <v>226.33981686688972</v>
      </c>
      <c r="AL27" s="160">
        <f t="shared" si="17"/>
        <v>247.97748662207451</v>
      </c>
      <c r="AM27" s="160">
        <f t="shared" si="17"/>
        <v>271.63076540722074</v>
      </c>
      <c r="AN27" s="15"/>
      <c r="AO27" s="147"/>
      <c r="AP27" s="147"/>
      <c r="AQ27" s="147"/>
      <c r="AR27" s="147"/>
      <c r="AS27" s="147"/>
      <c r="AT27" s="147"/>
      <c r="AU27" s="147"/>
      <c r="AV27" s="147"/>
    </row>
    <row r="28" spans="1:48" x14ac:dyDescent="0.3">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62"/>
      <c r="AJ28" s="155"/>
      <c r="AK28" s="155"/>
      <c r="AL28" s="155"/>
      <c r="AM28" s="155"/>
    </row>
    <row r="29" spans="1:48" x14ac:dyDescent="0.3">
      <c r="A29" t="s">
        <v>11</v>
      </c>
      <c r="B29" s="155">
        <f t="shared" ref="B29:AM29" si="18">+B13/B$34</f>
        <v>15.860209191006817</v>
      </c>
      <c r="C29" s="155">
        <f t="shared" si="18"/>
        <v>15.148944288621989</v>
      </c>
      <c r="D29" s="155">
        <f t="shared" si="18"/>
        <v>16.004223793102845</v>
      </c>
      <c r="E29" s="155">
        <f t="shared" si="18"/>
        <v>16.226942672241577</v>
      </c>
      <c r="F29" s="155">
        <f t="shared" si="18"/>
        <v>16.99371256062803</v>
      </c>
      <c r="G29" s="155">
        <f t="shared" si="18"/>
        <v>17.788064430980249</v>
      </c>
      <c r="H29" s="155">
        <f t="shared" si="18"/>
        <v>18.812256610995963</v>
      </c>
      <c r="I29" s="155">
        <f t="shared" si="18"/>
        <v>19.827445405831288</v>
      </c>
      <c r="J29" s="155">
        <f t="shared" si="18"/>
        <v>20.134985552773799</v>
      </c>
      <c r="K29" s="155">
        <f t="shared" si="18"/>
        <v>20.372627440347074</v>
      </c>
      <c r="L29" s="155">
        <f t="shared" si="18"/>
        <v>22.74728450673123</v>
      </c>
      <c r="M29" s="155">
        <f t="shared" si="18"/>
        <v>24.04</v>
      </c>
      <c r="N29" s="155">
        <f t="shared" si="18"/>
        <v>25.069094629089264</v>
      </c>
      <c r="O29" s="155">
        <f t="shared" si="18"/>
        <v>26.344178657791787</v>
      </c>
      <c r="P29" s="155">
        <f t="shared" si="18"/>
        <v>27.874076674560168</v>
      </c>
      <c r="Q29" s="155">
        <f t="shared" si="18"/>
        <v>29.238661096903023</v>
      </c>
      <c r="R29" s="155">
        <f t="shared" si="18"/>
        <v>30.736292242192764</v>
      </c>
      <c r="S29" s="155">
        <f t="shared" si="18"/>
        <v>32.290878661483553</v>
      </c>
      <c r="T29" s="155">
        <f t="shared" si="18"/>
        <v>33.91431431221158</v>
      </c>
      <c r="U29" s="155">
        <f t="shared" si="18"/>
        <v>35.640842847359615</v>
      </c>
      <c r="V29" s="155">
        <f t="shared" si="18"/>
        <v>37.471972691064749</v>
      </c>
      <c r="W29" s="155">
        <f t="shared" si="18"/>
        <v>39.441702506551238</v>
      </c>
      <c r="X29" s="155">
        <f t="shared" si="18"/>
        <v>41.528881709911659</v>
      </c>
      <c r="Y29" s="155">
        <f t="shared" si="18"/>
        <v>43.723726142566115</v>
      </c>
      <c r="Z29" s="155">
        <f t="shared" si="18"/>
        <v>46.019858376714879</v>
      </c>
      <c r="AA29" s="155">
        <f t="shared" si="18"/>
        <v>48.429393990740166</v>
      </c>
      <c r="AB29" s="155">
        <f t="shared" si="18"/>
        <v>50.967136620701758</v>
      </c>
      <c r="AC29" s="155">
        <f t="shared" si="18"/>
        <v>53.654737285129009</v>
      </c>
      <c r="AD29" s="155">
        <f t="shared" si="18"/>
        <v>56.524015275901228</v>
      </c>
      <c r="AE29" s="155">
        <f t="shared" si="18"/>
        <v>59.562088181404874</v>
      </c>
      <c r="AF29" s="155">
        <f t="shared" si="18"/>
        <v>62.764770276151339</v>
      </c>
      <c r="AG29" s="155">
        <f t="shared" si="18"/>
        <v>66.127076886519362</v>
      </c>
      <c r="AH29" s="155">
        <f t="shared" si="18"/>
        <v>69.669246575641566</v>
      </c>
      <c r="AI29" s="155">
        <f t="shared" si="18"/>
        <v>73.40919208411816</v>
      </c>
      <c r="AJ29" s="155">
        <f t="shared" si="18"/>
        <v>77.353726280731422</v>
      </c>
      <c r="AK29" s="155">
        <f t="shared" si="18"/>
        <v>81.501996418772109</v>
      </c>
      <c r="AL29" s="155">
        <f t="shared" si="18"/>
        <v>85.861884423250089</v>
      </c>
      <c r="AM29" s="155">
        <f t="shared" si="18"/>
        <v>90.435695727809161</v>
      </c>
    </row>
    <row r="30" spans="1:48" x14ac:dyDescent="0.3">
      <c r="A30" t="str">
        <f>+A14</f>
        <v>Tier 1 Price</v>
      </c>
      <c r="B30" s="155"/>
      <c r="C30" s="155"/>
      <c r="D30" s="155"/>
      <c r="E30" s="155"/>
      <c r="F30" s="155"/>
      <c r="G30" s="155"/>
      <c r="H30" s="155"/>
      <c r="I30" s="155"/>
      <c r="J30" s="155">
        <f t="shared" ref="J30:AM30" si="19">+J14/J$34</f>
        <v>47.068797396094595</v>
      </c>
      <c r="K30" s="155">
        <f t="shared" si="19"/>
        <v>48.86247362645743</v>
      </c>
      <c r="L30" s="155">
        <f t="shared" si="19"/>
        <v>53.176002322804386</v>
      </c>
      <c r="M30" s="155">
        <f t="shared" si="19"/>
        <v>56.2</v>
      </c>
      <c r="N30" s="155">
        <f t="shared" si="19"/>
        <v>58.597918524198988</v>
      </c>
      <c r="O30" s="155">
        <f t="shared" si="19"/>
        <v>61.579753333585593</v>
      </c>
      <c r="P30" s="155">
        <f t="shared" si="19"/>
        <v>65.155903636919277</v>
      </c>
      <c r="Q30" s="155">
        <f t="shared" si="19"/>
        <v>68.345631934099359</v>
      </c>
      <c r="R30" s="155">
        <f t="shared" si="19"/>
        <v>71.84635813663597</v>
      </c>
      <c r="S30" s="155">
        <f t="shared" si="19"/>
        <v>75.480217801771317</v>
      </c>
      <c r="T30" s="155">
        <f t="shared" si="19"/>
        <v>79.275013161436576</v>
      </c>
      <c r="U30" s="155">
        <f t="shared" si="19"/>
        <v>83.31078906088247</v>
      </c>
      <c r="V30" s="155">
        <f t="shared" si="19"/>
        <v>87.591071455026409</v>
      </c>
      <c r="W30" s="155">
        <f t="shared" si="19"/>
        <v>92.195332523366531</v>
      </c>
      <c r="X30" s="155">
        <f t="shared" si="19"/>
        <v>97.074132586769139</v>
      </c>
      <c r="Y30" s="155">
        <f t="shared" si="19"/>
        <v>102.2046010870076</v>
      </c>
      <c r="Z30" s="155">
        <f t="shared" si="19"/>
        <v>107.57183072953646</v>
      </c>
      <c r="AA30" s="155">
        <f t="shared" si="19"/>
        <v>113.20414178723122</v>
      </c>
      <c r="AB30" s="155">
        <f t="shared" si="19"/>
        <v>119.13613789184079</v>
      </c>
      <c r="AC30" s="155">
        <f t="shared" si="19"/>
        <v>125.41842849290532</v>
      </c>
      <c r="AD30" s="155">
        <f t="shared" si="19"/>
        <v>132.12539146990366</v>
      </c>
      <c r="AE30" s="155">
        <f t="shared" si="19"/>
        <v>139.22691407042061</v>
      </c>
      <c r="AF30" s="155">
        <f t="shared" si="19"/>
        <v>146.71321212367369</v>
      </c>
      <c r="AG30" s="155">
        <f t="shared" si="19"/>
        <v>154.57263391047167</v>
      </c>
      <c r="AH30" s="155">
        <f t="shared" si="19"/>
        <v>162.85248725322657</v>
      </c>
      <c r="AI30" s="155">
        <f t="shared" si="19"/>
        <v>171.59464334336994</v>
      </c>
      <c r="AJ30" s="155">
        <f t="shared" si="19"/>
        <v>180.81502732264025</v>
      </c>
      <c r="AK30" s="155">
        <f t="shared" si="19"/>
        <v>190.51164588797442</v>
      </c>
      <c r="AL30" s="155">
        <f t="shared" si="19"/>
        <v>200.70292310960849</v>
      </c>
      <c r="AM30" s="155">
        <f t="shared" si="19"/>
        <v>211.39424795931333</v>
      </c>
    </row>
    <row r="31" spans="1:48" x14ac:dyDescent="0.3">
      <c r="A31" t="str">
        <f>+A15</f>
        <v>Tier 2 Price</v>
      </c>
      <c r="B31" s="155"/>
      <c r="C31" s="155"/>
      <c r="D31" s="155"/>
      <c r="E31" s="155"/>
      <c r="F31" s="155"/>
      <c r="G31" s="155"/>
      <c r="H31" s="155"/>
      <c r="I31" s="155"/>
      <c r="J31" s="155">
        <f t="shared" ref="J31:AM31" si="20">+J15/J$34</f>
        <v>60.484541581454891</v>
      </c>
      <c r="K31" s="155">
        <f t="shared" si="20"/>
        <v>62.783769044027935</v>
      </c>
      <c r="L31" s="155">
        <f t="shared" si="20"/>
        <v>68.323788808826663</v>
      </c>
      <c r="M31" s="155">
        <f t="shared" si="20"/>
        <v>72.209999999999994</v>
      </c>
      <c r="N31" s="155">
        <f t="shared" si="20"/>
        <v>75.294497591041207</v>
      </c>
      <c r="O31" s="155">
        <f t="shared" si="20"/>
        <v>79.126824372293726</v>
      </c>
      <c r="P31" s="155">
        <f t="shared" si="20"/>
        <v>83.721994077633823</v>
      </c>
      <c r="Q31" s="155">
        <f t="shared" si="20"/>
        <v>87.820631326131064</v>
      </c>
      <c r="R31" s="155">
        <f t="shared" si="20"/>
        <v>92.318884930737894</v>
      </c>
      <c r="S31" s="155">
        <f t="shared" si="20"/>
        <v>96.988208205858982</v>
      </c>
      <c r="T31" s="155">
        <f t="shared" si="20"/>
        <v>101.86432559344294</v>
      </c>
      <c r="U31" s="155">
        <f t="shared" si="20"/>
        <v>107.05009061383032</v>
      </c>
      <c r="V31" s="155">
        <f t="shared" si="20"/>
        <v>112.55003393823026</v>
      </c>
      <c r="W31" s="155">
        <f t="shared" si="20"/>
        <v>118.46627324086541</v>
      </c>
      <c r="X31" s="155">
        <f t="shared" si="20"/>
        <v>124.7352810699995</v>
      </c>
      <c r="Y31" s="155">
        <f t="shared" si="20"/>
        <v>131.32766993142977</v>
      </c>
      <c r="Z31" s="155">
        <f t="shared" si="20"/>
        <v>138.22428471631756</v>
      </c>
      <c r="AA31" s="155">
        <f t="shared" si="20"/>
        <v>145.46151552265266</v>
      </c>
      <c r="AB31" s="155">
        <f t="shared" si="20"/>
        <v>153.0838262422796</v>
      </c>
      <c r="AC31" s="155">
        <f t="shared" si="20"/>
        <v>161.15624742190502</v>
      </c>
      <c r="AD31" s="155">
        <f t="shared" si="20"/>
        <v>169.77435082153298</v>
      </c>
      <c r="AE31" s="155">
        <f t="shared" si="20"/>
        <v>178.89944309890828</v>
      </c>
      <c r="AF31" s="155">
        <f t="shared" si="20"/>
        <v>188.51895209644312</v>
      </c>
      <c r="AG31" s="155">
        <f t="shared" si="20"/>
        <v>198.61790595263801</v>
      </c>
      <c r="AH31" s="155">
        <f t="shared" si="20"/>
        <v>209.25709279269296</v>
      </c>
      <c r="AI31" s="155">
        <f t="shared" si="20"/>
        <v>220.49031494986392</v>
      </c>
      <c r="AJ31" s="155">
        <f t="shared" si="20"/>
        <v>232.33803541442313</v>
      </c>
      <c r="AK31" s="155">
        <f t="shared" si="20"/>
        <v>244.79769289417879</v>
      </c>
      <c r="AL31" s="155">
        <f t="shared" si="20"/>
        <v>257.89296137434314</v>
      </c>
      <c r="AM31" s="155">
        <f t="shared" si="20"/>
        <v>271.63076540722068</v>
      </c>
    </row>
    <row r="32" spans="1:48" x14ac:dyDescent="0.3">
      <c r="A32" t="s">
        <v>9</v>
      </c>
      <c r="B32" s="155"/>
      <c r="C32" s="155"/>
      <c r="D32" s="155"/>
      <c r="E32" s="155"/>
      <c r="F32" s="155"/>
      <c r="G32" s="155"/>
      <c r="H32" s="155"/>
      <c r="I32" s="155"/>
      <c r="J32" s="155">
        <f>+J16/J$34</f>
        <v>73.900285766815188</v>
      </c>
      <c r="K32" s="155">
        <f t="shared" ref="K32:AM32" si="21">+K16/K$34</f>
        <v>76.70506446159844</v>
      </c>
      <c r="L32" s="155">
        <f t="shared" si="21"/>
        <v>83.471575294848947</v>
      </c>
      <c r="M32" s="155">
        <f t="shared" si="21"/>
        <v>88.21</v>
      </c>
      <c r="N32" s="155">
        <f t="shared" si="21"/>
        <v>91.98138624635304</v>
      </c>
      <c r="O32" s="155">
        <f t="shared" si="21"/>
        <v>96.664466571110012</v>
      </c>
      <c r="P32" s="155">
        <f t="shared" si="21"/>
        <v>102.27810811295305</v>
      </c>
      <c r="Q32" s="155">
        <f t="shared" si="21"/>
        <v>107.28516591462053</v>
      </c>
      <c r="R32" s="155">
        <f t="shared" si="21"/>
        <v>112.78041090442383</v>
      </c>
      <c r="S32" s="155">
        <f t="shared" si="21"/>
        <v>118.48464138780579</v>
      </c>
      <c r="T32" s="155">
        <f t="shared" si="21"/>
        <v>124.44149975976846</v>
      </c>
      <c r="U32" s="155">
        <f t="shared" si="21"/>
        <v>130.776635959603</v>
      </c>
      <c r="V32" s="155">
        <f t="shared" si="21"/>
        <v>137.49558483493047</v>
      </c>
      <c r="W32" s="155">
        <f t="shared" si="21"/>
        <v>144.7230973862431</v>
      </c>
      <c r="X32" s="155">
        <f t="shared" si="21"/>
        <v>152.38156595920336</v>
      </c>
      <c r="Y32" s="155">
        <f t="shared" si="21"/>
        <v>160.43508962547875</v>
      </c>
      <c r="Z32" s="155">
        <f t="shared" si="21"/>
        <v>168.86026774448132</v>
      </c>
      <c r="AA32" s="155">
        <f t="shared" si="21"/>
        <v>177.70155590303079</v>
      </c>
      <c r="AB32" s="155">
        <f t="shared" si="21"/>
        <v>187.01327295470088</v>
      </c>
      <c r="AC32" s="155">
        <f t="shared" si="21"/>
        <v>196.87486279425281</v>
      </c>
      <c r="AD32" s="155">
        <f t="shared" si="21"/>
        <v>207.40307967377922</v>
      </c>
      <c r="AE32" s="155">
        <f t="shared" si="21"/>
        <v>218.55065427192642</v>
      </c>
      <c r="AF32" s="155">
        <f t="shared" si="21"/>
        <v>230.30222794241345</v>
      </c>
      <c r="AG32" s="155">
        <f t="shared" si="21"/>
        <v>242.6395104654961</v>
      </c>
      <c r="AH32" s="155">
        <f t="shared" si="21"/>
        <v>255.63676302558233</v>
      </c>
      <c r="AI32" s="155">
        <f t="shared" si="21"/>
        <v>269.35971268660666</v>
      </c>
      <c r="AJ32" s="155">
        <f t="shared" si="21"/>
        <v>283.83335784898287</v>
      </c>
      <c r="AK32" s="155">
        <f t="shared" si="21"/>
        <v>299.05456953659666</v>
      </c>
      <c r="AL32" s="155">
        <f t="shared" si="21"/>
        <v>315.0522688286182</v>
      </c>
      <c r="AM32" s="155">
        <f t="shared" si="21"/>
        <v>331.83491503274837</v>
      </c>
    </row>
    <row r="33" spans="1:39" x14ac:dyDescent="0.3">
      <c r="B33" s="16"/>
      <c r="C33" s="16"/>
      <c r="D33" s="16"/>
      <c r="E33" s="16"/>
      <c r="F33" s="16"/>
      <c r="G33" s="16"/>
      <c r="H33" s="16"/>
      <c r="I33" s="16"/>
      <c r="J33" s="16"/>
      <c r="K33" s="16"/>
      <c r="L33" s="16"/>
      <c r="M33" s="16"/>
      <c r="N33" s="16"/>
      <c r="O33" s="16"/>
      <c r="P33" s="16"/>
      <c r="Q33" s="16"/>
      <c r="R33" s="16"/>
      <c r="S33" s="16"/>
      <c r="T33" s="16"/>
      <c r="U33" s="16"/>
      <c r="V33" s="16"/>
      <c r="W33" s="16"/>
      <c r="Y33" s="16"/>
      <c r="Z33" s="16"/>
      <c r="AA33" s="16"/>
      <c r="AB33" s="16"/>
      <c r="AC33" s="16"/>
      <c r="AD33" s="16"/>
      <c r="AE33" s="16"/>
      <c r="AF33" s="16"/>
      <c r="AG33" s="16"/>
      <c r="AH33" s="16"/>
      <c r="AI33" s="16"/>
      <c r="AJ33" s="16"/>
      <c r="AK33" s="16"/>
      <c r="AL33" s="16"/>
      <c r="AM33" s="16"/>
    </row>
    <row r="34" spans="1:39" ht="18.75" customHeight="1" x14ac:dyDescent="0.3">
      <c r="A34" t="s">
        <v>104</v>
      </c>
      <c r="B34">
        <v>0.75678335778955674</v>
      </c>
      <c r="C34" s="8">
        <v>0.76995378272891524</v>
      </c>
      <c r="D34" s="8">
        <v>0.77712494634604068</v>
      </c>
      <c r="E34" s="8">
        <v>0.78449774902923775</v>
      </c>
      <c r="F34" s="8">
        <v>0.79853063017199222</v>
      </c>
      <c r="G34" s="8">
        <v>0.81683985665658465</v>
      </c>
      <c r="H34" s="8">
        <v>0.83030974555545578</v>
      </c>
      <c r="I34" s="8">
        <v>0.84125814791523168</v>
      </c>
      <c r="J34" s="8">
        <v>0.87956358118967048</v>
      </c>
      <c r="K34" s="8">
        <v>0.94244103055530593</v>
      </c>
      <c r="L34" s="8">
        <v>0.97638027930005278</v>
      </c>
      <c r="M34" s="8">
        <v>1</v>
      </c>
      <c r="N34" s="8">
        <v>1.0319479176556059</v>
      </c>
      <c r="O34" s="8">
        <v>1.0605758624300941</v>
      </c>
      <c r="P34" s="8">
        <v>1.08276172000302</v>
      </c>
      <c r="Q34" s="8">
        <v>1.104687703212607</v>
      </c>
      <c r="R34" s="8">
        <v>1.1245617180212231</v>
      </c>
      <c r="S34" s="8">
        <v>1.1437048269319778</v>
      </c>
      <c r="T34" s="17">
        <v>1.1641434499709937</v>
      </c>
      <c r="U34" s="17">
        <v>1.186237006949254</v>
      </c>
      <c r="V34" s="17">
        <v>1.2098899557606466</v>
      </c>
      <c r="W34" s="17">
        <v>1.2341470882126058</v>
      </c>
      <c r="X34" s="3">
        <v>1.2587551907230026</v>
      </c>
      <c r="Y34" s="17">
        <v>1.2836804674484994</v>
      </c>
      <c r="Z34" s="17">
        <v>1.3093714261408929</v>
      </c>
      <c r="AA34" s="17">
        <v>1.3359789176568395</v>
      </c>
      <c r="AB34" s="17">
        <v>1.3636709982609176</v>
      </c>
      <c r="AC34" s="17">
        <v>1.392351988269354</v>
      </c>
      <c r="AD34" s="17">
        <v>1.421408458096139</v>
      </c>
      <c r="AE34" s="17">
        <v>1.4509966531711769</v>
      </c>
      <c r="AF34" s="17">
        <v>1.481254743354715</v>
      </c>
      <c r="AG34" s="17">
        <v>1.5124216571970004</v>
      </c>
      <c r="AH34" s="17">
        <v>1.5442957009639755</v>
      </c>
      <c r="AI34" s="164">
        <v>1.576575460525794</v>
      </c>
      <c r="AJ34" s="17">
        <v>1.609503533175384</v>
      </c>
      <c r="AK34" s="17">
        <v>1.6433581034288733</v>
      </c>
      <c r="AL34" s="17">
        <v>1.6781372486559325</v>
      </c>
      <c r="AM34" s="17">
        <v>1.7139862521758042</v>
      </c>
    </row>
    <row r="35" spans="1:39" ht="12.75" customHeight="1" x14ac:dyDescent="0.3">
      <c r="A35" t="s">
        <v>12</v>
      </c>
      <c r="C35" s="26">
        <f>+C34/B34-1</f>
        <v>1.7403164067755439E-2</v>
      </c>
      <c r="D35" s="26">
        <f t="shared" ref="D35:AM35" si="22">+D34/C34-1</f>
        <v>9.3137585371798615E-3</v>
      </c>
      <c r="E35" s="26">
        <f t="shared" si="22"/>
        <v>9.4872809293577998E-3</v>
      </c>
      <c r="F35" s="26">
        <f t="shared" si="22"/>
        <v>1.7887726459533182E-2</v>
      </c>
      <c r="G35" s="26">
        <f t="shared" si="22"/>
        <v>2.2928646432321509E-2</v>
      </c>
      <c r="H35" s="26">
        <f t="shared" si="22"/>
        <v>1.6490244432984635E-2</v>
      </c>
      <c r="I35" s="26">
        <f t="shared" si="22"/>
        <v>1.318592539516894E-2</v>
      </c>
      <c r="J35" s="26">
        <f t="shared" si="22"/>
        <v>4.5533506414607183E-2</v>
      </c>
      <c r="K35" s="26">
        <f t="shared" si="22"/>
        <v>7.1487099637060236E-2</v>
      </c>
      <c r="L35" s="26">
        <f t="shared" si="22"/>
        <v>3.6012066160520551E-2</v>
      </c>
      <c r="M35" s="26">
        <f t="shared" si="22"/>
        <v>2.4191107912256982E-2</v>
      </c>
      <c r="N35" s="26">
        <f t="shared" si="22"/>
        <v>3.1947917655605895E-2</v>
      </c>
      <c r="O35" s="26">
        <f t="shared" si="22"/>
        <v>2.7741656613373911E-2</v>
      </c>
      <c r="P35" s="26">
        <f t="shared" si="22"/>
        <v>2.0918689891821218E-2</v>
      </c>
      <c r="Q35" s="26">
        <f t="shared" si="22"/>
        <v>2.0250053917242106E-2</v>
      </c>
      <c r="R35" s="26">
        <f t="shared" si="22"/>
        <v>1.7990618299469796E-2</v>
      </c>
      <c r="S35" s="26">
        <f t="shared" si="22"/>
        <v>1.7022728591934433E-2</v>
      </c>
      <c r="T35" s="26">
        <f t="shared" si="22"/>
        <v>1.7870540158375636E-2</v>
      </c>
      <c r="U35" s="26">
        <f t="shared" si="22"/>
        <v>1.897838018056186E-2</v>
      </c>
      <c r="V35" s="26">
        <f t="shared" si="22"/>
        <v>1.9939479777504987E-2</v>
      </c>
      <c r="W35" s="26">
        <f t="shared" si="22"/>
        <v>2.004904027549248E-2</v>
      </c>
      <c r="X35" s="3">
        <f t="shared" si="22"/>
        <v>1.9939359534556278E-2</v>
      </c>
      <c r="Y35" s="26">
        <f t="shared" si="22"/>
        <v>1.9801528453821327E-2</v>
      </c>
      <c r="Z35" s="26">
        <f t="shared" si="22"/>
        <v>2.0013515313088703E-2</v>
      </c>
      <c r="AA35" s="26">
        <f t="shared" si="22"/>
        <v>2.0320812708099822E-2</v>
      </c>
      <c r="AB35" s="26">
        <f t="shared" si="22"/>
        <v>2.0727932333428623E-2</v>
      </c>
      <c r="AC35" s="26">
        <f t="shared" si="22"/>
        <v>2.1032191815337553E-2</v>
      </c>
      <c r="AD35" s="26">
        <f t="shared" si="22"/>
        <v>2.0868623790239349E-2</v>
      </c>
      <c r="AE35" s="26">
        <f t="shared" si="22"/>
        <v>2.0816110180369218E-2</v>
      </c>
      <c r="AF35" s="26">
        <f t="shared" si="22"/>
        <v>2.0853314938672263E-2</v>
      </c>
      <c r="AG35" s="26">
        <f t="shared" si="22"/>
        <v>2.1040887114190276E-2</v>
      </c>
      <c r="AH35" s="26">
        <f t="shared" si="22"/>
        <v>2.1074839556349589E-2</v>
      </c>
      <c r="AI35" s="165">
        <f t="shared" si="22"/>
        <v>2.0902576845657883E-2</v>
      </c>
      <c r="AJ35" s="26">
        <f t="shared" si="22"/>
        <v>2.0885820865566673E-2</v>
      </c>
      <c r="AK35" s="26">
        <f t="shared" si="22"/>
        <v>2.1034169578179052E-2</v>
      </c>
      <c r="AL35" s="26">
        <f t="shared" si="22"/>
        <v>2.1163461058482769E-2</v>
      </c>
      <c r="AM35" s="26">
        <f t="shared" si="22"/>
        <v>2.1362378761680123E-2</v>
      </c>
    </row>
    <row r="36" spans="1:39" ht="9" customHeight="1" x14ac:dyDescent="0.3">
      <c r="H36" s="9"/>
      <c r="I36" s="9"/>
      <c r="J36" s="9"/>
      <c r="K36" s="9"/>
    </row>
    <row r="37" spans="1:39" ht="22.2" customHeight="1" x14ac:dyDescent="0.3">
      <c r="A37" s="140" t="s">
        <v>102</v>
      </c>
      <c r="B37" s="27"/>
      <c r="C37" s="27"/>
      <c r="D37" s="27"/>
      <c r="E37" s="27"/>
      <c r="F37" s="27"/>
      <c r="G37" s="27"/>
      <c r="H37" s="27"/>
      <c r="I37" s="27"/>
      <c r="V37" s="16"/>
      <c r="W37" s="16"/>
      <c r="X37" s="16"/>
      <c r="Y37" s="16"/>
      <c r="Z37" s="16"/>
      <c r="AA37" s="16"/>
      <c r="AB37" s="16"/>
      <c r="AC37" s="16"/>
      <c r="AD37" s="16"/>
      <c r="AE37" s="16"/>
      <c r="AF37" s="16"/>
      <c r="AG37" s="16"/>
      <c r="AH37" s="16"/>
      <c r="AI37" s="16"/>
      <c r="AJ37" s="16"/>
      <c r="AK37" s="16"/>
      <c r="AL37" s="16"/>
      <c r="AM37" s="16"/>
    </row>
    <row r="38" spans="1:39" ht="47.25" customHeight="1" x14ac:dyDescent="0.3">
      <c r="A38" s="28" t="s">
        <v>103</v>
      </c>
      <c r="B38" s="28"/>
      <c r="C38" s="28"/>
      <c r="D38" s="28"/>
      <c r="E38" s="28"/>
      <c r="F38" s="28"/>
      <c r="G38" s="28"/>
      <c r="H38" s="28"/>
      <c r="I38" s="28"/>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row>
    <row r="39" spans="1:39" ht="33" customHeight="1" x14ac:dyDescent="0.3">
      <c r="A39" s="28" t="s">
        <v>13</v>
      </c>
      <c r="B39" s="28"/>
      <c r="C39" s="28"/>
      <c r="D39" s="28"/>
      <c r="E39" s="28"/>
      <c r="F39" s="28"/>
      <c r="G39" s="28"/>
      <c r="H39" s="28"/>
      <c r="I39" s="28"/>
      <c r="J39" s="28"/>
      <c r="K39" s="28"/>
      <c r="L39" s="28"/>
      <c r="M39" s="28"/>
      <c r="N39" s="28"/>
      <c r="O39" s="28"/>
      <c r="P39" s="28"/>
      <c r="Q39" s="28"/>
      <c r="R39" s="28"/>
      <c r="S39" s="28"/>
    </row>
    <row r="40" spans="1:39" ht="22.5" customHeight="1" x14ac:dyDescent="0.3">
      <c r="A40" s="29" t="s">
        <v>14</v>
      </c>
      <c r="B40" s="22"/>
      <c r="C40" s="22"/>
      <c r="D40" s="22"/>
      <c r="E40" s="10"/>
      <c r="F40" s="22"/>
      <c r="G40" s="22"/>
      <c r="H40" s="22"/>
      <c r="I40" s="22"/>
      <c r="J40" s="22"/>
      <c r="K40" s="22"/>
      <c r="L40" s="22"/>
      <c r="M40" s="22"/>
    </row>
    <row r="41" spans="1:39" ht="17.399999999999999" x14ac:dyDescent="0.3">
      <c r="A41" s="30" t="s">
        <v>94</v>
      </c>
    </row>
    <row r="42" spans="1:39" ht="31.2" customHeight="1" x14ac:dyDescent="0.3"/>
    <row r="44" spans="1:39" ht="20.25" customHeight="1" x14ac:dyDescent="0.3"/>
    <row r="45" spans="1:39" x14ac:dyDescent="0.3">
      <c r="A45" s="31" t="s">
        <v>15</v>
      </c>
      <c r="B45" s="32"/>
      <c r="C45" s="32"/>
      <c r="D45" s="32"/>
      <c r="E45" s="32"/>
      <c r="F45" s="33"/>
    </row>
    <row r="46" spans="1:39" x14ac:dyDescent="0.3">
      <c r="A46" s="34"/>
      <c r="B46" s="4" t="s">
        <v>16</v>
      </c>
      <c r="D46" s="4" t="s">
        <v>17</v>
      </c>
      <c r="E46" s="4" t="s">
        <v>18</v>
      </c>
      <c r="F46" s="35"/>
      <c r="G46" s="36"/>
    </row>
    <row r="47" spans="1:39" x14ac:dyDescent="0.3">
      <c r="A47" s="34" t="s">
        <v>19</v>
      </c>
      <c r="B47" t="s">
        <v>20</v>
      </c>
      <c r="C47" t="s">
        <v>21</v>
      </c>
      <c r="F47" s="35"/>
    </row>
    <row r="48" spans="1:39" x14ac:dyDescent="0.3">
      <c r="A48" s="37">
        <v>2025</v>
      </c>
      <c r="B48" s="38">
        <f>N6</f>
        <v>28.139882691293032</v>
      </c>
      <c r="C48" s="39">
        <v>0</v>
      </c>
      <c r="D48" s="40">
        <f>LN(B48)</f>
        <v>3.3371878829246406</v>
      </c>
      <c r="E48" s="41">
        <f t="array" ref="E48:F50">LINEST(D48:D49,C48:C49,1,TRUE)</f>
        <v>0.10221435120436145</v>
      </c>
      <c r="F48" s="42">
        <v>3.3371878829246402</v>
      </c>
      <c r="H48">
        <f t="shared" ref="H48:AB48" si="23">S5</f>
        <v>2030</v>
      </c>
      <c r="I48">
        <f t="shared" si="23"/>
        <v>2031</v>
      </c>
      <c r="J48">
        <f t="shared" si="23"/>
        <v>2032</v>
      </c>
      <c r="K48">
        <f t="shared" si="23"/>
        <v>2033</v>
      </c>
      <c r="L48">
        <f t="shared" si="23"/>
        <v>2034</v>
      </c>
      <c r="M48">
        <f t="shared" si="23"/>
        <v>2035</v>
      </c>
      <c r="N48">
        <f t="shared" si="23"/>
        <v>2036</v>
      </c>
      <c r="O48">
        <f t="shared" si="23"/>
        <v>2037</v>
      </c>
      <c r="P48">
        <f t="shared" si="23"/>
        <v>2038</v>
      </c>
      <c r="Q48">
        <f t="shared" si="23"/>
        <v>2039</v>
      </c>
      <c r="R48">
        <f t="shared" si="23"/>
        <v>2040</v>
      </c>
      <c r="S48">
        <f t="shared" si="23"/>
        <v>2041</v>
      </c>
      <c r="T48">
        <f t="shared" si="23"/>
        <v>2042</v>
      </c>
      <c r="U48">
        <f t="shared" si="23"/>
        <v>2043</v>
      </c>
      <c r="V48">
        <f t="shared" si="23"/>
        <v>2044</v>
      </c>
      <c r="W48">
        <f t="shared" si="23"/>
        <v>2045</v>
      </c>
      <c r="X48" s="3">
        <f t="shared" si="23"/>
        <v>2046</v>
      </c>
      <c r="Y48">
        <f t="shared" si="23"/>
        <v>2047</v>
      </c>
      <c r="Z48">
        <f t="shared" si="23"/>
        <v>2048</v>
      </c>
      <c r="AA48">
        <f t="shared" si="23"/>
        <v>2049</v>
      </c>
      <c r="AB48">
        <f t="shared" si="23"/>
        <v>2050</v>
      </c>
    </row>
    <row r="49" spans="1:39" x14ac:dyDescent="0.3">
      <c r="A49" s="37">
        <f>A50</f>
        <v>2050</v>
      </c>
      <c r="B49" s="17">
        <f>B50</f>
        <v>362.32683479130611</v>
      </c>
      <c r="C49" s="39">
        <f>+A49-A48</f>
        <v>25</v>
      </c>
      <c r="D49" s="40">
        <f>LN(B49)</f>
        <v>5.8925466630336762</v>
      </c>
      <c r="E49" s="40">
        <v>0</v>
      </c>
      <c r="F49" s="43">
        <v>0</v>
      </c>
      <c r="G49" t="str">
        <f>A14</f>
        <v>Tier 1 Price</v>
      </c>
      <c r="H49" s="13">
        <f t="shared" ref="H49:Q51" si="24">+S14</f>
        <v>86.327089437762865</v>
      </c>
      <c r="I49" s="13">
        <f t="shared" si="24"/>
        <v>92.287487318250712</v>
      </c>
      <c r="J49" s="13">
        <f t="shared" si="24"/>
        <v>98.826341062161873</v>
      </c>
      <c r="K49" s="13">
        <f t="shared" si="24"/>
        <v>105.97555756774955</v>
      </c>
      <c r="L49" s="13">
        <f t="shared" si="24"/>
        <v>113.78260118050575</v>
      </c>
      <c r="M49" s="13">
        <f t="shared" si="24"/>
        <v>122.19256827852863</v>
      </c>
      <c r="N49" s="13">
        <f t="shared" si="24"/>
        <v>131.19805009875734</v>
      </c>
      <c r="O49" s="13">
        <f t="shared" si="24"/>
        <v>140.85148141491987</v>
      </c>
      <c r="P49" s="13">
        <f t="shared" si="24"/>
        <v>151.23834681917657</v>
      </c>
      <c r="Q49" s="13">
        <f t="shared" si="24"/>
        <v>162.46249608791686</v>
      </c>
      <c r="R49" s="13">
        <f t="shared" ref="R49:AA51" si="25">+AC14</f>
        <v>174.62659827771452</v>
      </c>
      <c r="S49" s="13">
        <f t="shared" si="25"/>
        <v>187.80414896458453</v>
      </c>
      <c r="T49" s="13">
        <f t="shared" si="25"/>
        <v>202.01778634753131</v>
      </c>
      <c r="U49" s="13">
        <f t="shared" si="25"/>
        <v>217.31964137099811</v>
      </c>
      <c r="V49" s="13">
        <f t="shared" si="25"/>
        <v>233.77899913618083</v>
      </c>
      <c r="W49" s="13">
        <f t="shared" si="25"/>
        <v>251.49239595644841</v>
      </c>
      <c r="X49" s="3">
        <f t="shared" si="25"/>
        <v>270.53190385283284</v>
      </c>
      <c r="Y49" s="13">
        <f t="shared" si="25"/>
        <v>291.02242532699307</v>
      </c>
      <c r="Z49" s="13">
        <f t="shared" si="25"/>
        <v>313.07885706757475</v>
      </c>
      <c r="AA49" s="13">
        <f t="shared" si="25"/>
        <v>336.80705118436157</v>
      </c>
      <c r="AB49" s="13">
        <f t="shared" ref="AB49:AB51" si="26">+AM14</f>
        <v>362.32683479130611</v>
      </c>
      <c r="AC49" s="13"/>
      <c r="AD49" s="13"/>
      <c r="AE49" s="13"/>
      <c r="AF49" s="13"/>
      <c r="AG49" s="13"/>
      <c r="AH49" s="13"/>
      <c r="AI49" s="13"/>
      <c r="AJ49" s="13"/>
      <c r="AK49" s="13"/>
      <c r="AL49" s="13"/>
      <c r="AM49" s="13"/>
    </row>
    <row r="50" spans="1:39" x14ac:dyDescent="0.3">
      <c r="A50" s="37">
        <v>2050</v>
      </c>
      <c r="B50" s="17">
        <f>HLOOKUP(A50,H$48:AC$51,2,FALSE)</f>
        <v>362.32683479130611</v>
      </c>
      <c r="C50" s="39">
        <f>+A50-A49</f>
        <v>0</v>
      </c>
      <c r="D50" s="40">
        <f>LN(B50)</f>
        <v>5.8925466630336762</v>
      </c>
      <c r="E50" s="40">
        <v>1</v>
      </c>
      <c r="F50" s="43">
        <v>0</v>
      </c>
      <c r="G50" t="str">
        <f>A15</f>
        <v>Tier 2 Price</v>
      </c>
      <c r="H50" s="13">
        <f t="shared" si="24"/>
        <v>110.92588188052459</v>
      </c>
      <c r="I50" s="13">
        <f t="shared" si="24"/>
        <v>118.58468742531926</v>
      </c>
      <c r="J50" s="13">
        <f t="shared" si="24"/>
        <v>126.98677908339651</v>
      </c>
      <c r="K50" s="13">
        <f t="shared" si="24"/>
        <v>136.17315558238468</v>
      </c>
      <c r="L50" s="13">
        <f t="shared" si="24"/>
        <v>146.20480617161297</v>
      </c>
      <c r="M50" s="13">
        <f t="shared" si="24"/>
        <v>157.01118251315455</v>
      </c>
      <c r="N50" s="13">
        <f t="shared" si="24"/>
        <v>168.58276472650002</v>
      </c>
      <c r="O50" s="13">
        <f t="shared" si="24"/>
        <v>180.98692880630955</v>
      </c>
      <c r="P50" s="13">
        <f t="shared" si="24"/>
        <v>194.33351806867705</v>
      </c>
      <c r="Q50" s="13">
        <f t="shared" si="24"/>
        <v>208.75597414941026</v>
      </c>
      <c r="R50" s="13">
        <f t="shared" si="25"/>
        <v>224.3862215199174</v>
      </c>
      <c r="S50" s="13">
        <f t="shared" si="25"/>
        <v>241.31869822550814</v>
      </c>
      <c r="T50" s="13">
        <f t="shared" si="25"/>
        <v>259.5824931907033</v>
      </c>
      <c r="U50" s="13">
        <f t="shared" si="25"/>
        <v>279.24459200511666</v>
      </c>
      <c r="V50" s="13">
        <f t="shared" si="25"/>
        <v>300.39402246988675</v>
      </c>
      <c r="W50" s="13">
        <f t="shared" si="25"/>
        <v>323.15482879597545</v>
      </c>
      <c r="X50" s="3">
        <f t="shared" si="25"/>
        <v>347.61961983355906</v>
      </c>
      <c r="Y50" s="13">
        <f t="shared" si="25"/>
        <v>373.94888889054153</v>
      </c>
      <c r="Z50" s="13">
        <f t="shared" si="25"/>
        <v>402.29027231834147</v>
      </c>
      <c r="AA50" s="13">
        <f t="shared" si="25"/>
        <v>432.77978464847087</v>
      </c>
      <c r="AB50" s="13">
        <f t="shared" si="26"/>
        <v>465.57139757596724</v>
      </c>
      <c r="AC50" s="13"/>
      <c r="AD50" s="13"/>
      <c r="AE50" s="13"/>
      <c r="AF50" s="13"/>
      <c r="AG50" s="13"/>
      <c r="AH50" s="13"/>
      <c r="AI50" s="13"/>
      <c r="AJ50" s="13"/>
      <c r="AK50" s="13"/>
      <c r="AL50" s="13"/>
      <c r="AM50" s="13"/>
    </row>
    <row r="51" spans="1:39" x14ac:dyDescent="0.3">
      <c r="A51" s="37" t="s">
        <v>88</v>
      </c>
      <c r="B51" s="17"/>
      <c r="C51" s="39"/>
      <c r="D51" s="40"/>
      <c r="E51" s="40"/>
      <c r="F51" s="43"/>
      <c r="G51" t="str">
        <f>A16</f>
        <v>Price Ceiling</v>
      </c>
      <c r="H51" s="13">
        <f t="shared" si="24"/>
        <v>135.51145627253788</v>
      </c>
      <c r="I51" s="13">
        <f t="shared" si="24"/>
        <v>144.86775684990144</v>
      </c>
      <c r="J51" s="13">
        <f t="shared" si="24"/>
        <v>155.13208521961164</v>
      </c>
      <c r="K51" s="13">
        <f t="shared" si="24"/>
        <v>166.35452705321825</v>
      </c>
      <c r="L51" s="13">
        <f t="shared" si="24"/>
        <v>178.60958923634129</v>
      </c>
      <c r="M51" s="13">
        <f t="shared" si="24"/>
        <v>191.81108712164684</v>
      </c>
      <c r="N51" s="13">
        <f t="shared" si="24"/>
        <v>205.94739084557648</v>
      </c>
      <c r="O51" s="13">
        <f t="shared" si="24"/>
        <v>221.10080959512453</v>
      </c>
      <c r="P51" s="13">
        <f t="shared" si="24"/>
        <v>237.40553232126746</v>
      </c>
      <c r="Q51" s="13">
        <f t="shared" si="24"/>
        <v>255.02457661817843</v>
      </c>
      <c r="R51" s="13">
        <f t="shared" si="25"/>
        <v>274.11910665183416</v>
      </c>
      <c r="S51" s="13">
        <f t="shared" si="25"/>
        <v>294.80449168349719</v>
      </c>
      <c r="T51" s="13">
        <f t="shared" si="25"/>
        <v>317.11626789693622</v>
      </c>
      <c r="U51" s="13">
        <f t="shared" si="25"/>
        <v>341.1362675448587</v>
      </c>
      <c r="V51" s="13">
        <f t="shared" si="25"/>
        <v>366.97325051969455</v>
      </c>
      <c r="W51" s="13">
        <f t="shared" si="25"/>
        <v>394.77875414875336</v>
      </c>
      <c r="X51" s="13">
        <f t="shared" si="25"/>
        <v>424.66591307598247</v>
      </c>
      <c r="Y51" s="13">
        <f t="shared" si="25"/>
        <v>456.83079229097103</v>
      </c>
      <c r="Z51" s="13">
        <f t="shared" si="25"/>
        <v>491.45375021539962</v>
      </c>
      <c r="AA51" s="13">
        <f t="shared" si="25"/>
        <v>528.70094759486653</v>
      </c>
      <c r="AB51" s="13">
        <f t="shared" si="26"/>
        <v>568.76048235805683</v>
      </c>
      <c r="AC51" s="13"/>
      <c r="AD51" s="13"/>
      <c r="AE51" s="13"/>
      <c r="AF51" s="13"/>
      <c r="AG51" s="13"/>
      <c r="AH51" s="13"/>
      <c r="AI51" s="13"/>
      <c r="AJ51" s="13"/>
      <c r="AK51" s="13"/>
      <c r="AL51" s="13"/>
      <c r="AM51" s="13"/>
    </row>
    <row r="52" spans="1:39" x14ac:dyDescent="0.3">
      <c r="A52" s="45">
        <f>A48</f>
        <v>2025</v>
      </c>
      <c r="B52" s="47">
        <f>B48</f>
        <v>28.139882691293032</v>
      </c>
      <c r="C52" s="45">
        <v>0</v>
      </c>
      <c r="D52" s="40">
        <f>LN(B52)</f>
        <v>3.3371878829246406</v>
      </c>
      <c r="E52" s="41">
        <f t="array" ref="E52:F54">LINEST(D52:D53,C52:C53,1,TRUE)</f>
        <v>8.8734019766338004E-2</v>
      </c>
      <c r="F52" s="42">
        <v>3.3371878829246402</v>
      </c>
      <c r="I52" s="13"/>
    </row>
    <row r="53" spans="1:39" x14ac:dyDescent="0.3">
      <c r="A53" s="45">
        <f>+A50</f>
        <v>2050</v>
      </c>
      <c r="B53" s="47">
        <f>AVERAGE(AM13,AM14)</f>
        <v>258.66618698736255</v>
      </c>
      <c r="C53" s="39">
        <f>+A53-A52</f>
        <v>25</v>
      </c>
      <c r="D53" s="40">
        <f>LN(B53)</f>
        <v>5.5555383770830904</v>
      </c>
      <c r="E53" s="46">
        <v>0</v>
      </c>
      <c r="F53" s="43">
        <v>0</v>
      </c>
      <c r="G53" s="44"/>
      <c r="I53" s="13"/>
    </row>
    <row r="54" spans="1:39" x14ac:dyDescent="0.3">
      <c r="A54" s="45"/>
      <c r="B54" s="48"/>
      <c r="D54" s="49"/>
      <c r="E54" s="40">
        <v>1</v>
      </c>
      <c r="F54" s="43">
        <v>0</v>
      </c>
      <c r="G54" s="13"/>
      <c r="I54" s="13"/>
    </row>
    <row r="55" spans="1:39" x14ac:dyDescent="0.3">
      <c r="A55" s="45"/>
      <c r="B55" s="48"/>
      <c r="D55" s="49"/>
      <c r="E55" s="49"/>
      <c r="F55" s="49"/>
      <c r="G55" s="13"/>
      <c r="I55" s="13"/>
    </row>
    <row r="56" spans="1:39" x14ac:dyDescent="0.3">
      <c r="A56" s="45" t="s">
        <v>90</v>
      </c>
      <c r="B56" s="48" t="s">
        <v>22</v>
      </c>
      <c r="C56" t="s">
        <v>21</v>
      </c>
      <c r="D56" s="50" t="s">
        <v>23</v>
      </c>
      <c r="E56" s="49" t="s">
        <v>18</v>
      </c>
      <c r="F56" s="51"/>
    </row>
    <row r="57" spans="1:39" x14ac:dyDescent="0.3">
      <c r="A57" s="37">
        <f>+A48</f>
        <v>2025</v>
      </c>
      <c r="B57" s="48">
        <f>HLOOKUP(A57,B$5:Z$6,2,FALSE)</f>
        <v>28.139882691293032</v>
      </c>
      <c r="C57" s="39">
        <v>0</v>
      </c>
      <c r="D57" s="40">
        <f>LN(B57)</f>
        <v>3.3371878829246406</v>
      </c>
      <c r="E57" s="40">
        <f t="array" ref="E57:F59">LINEST(D57:D58,C57:C58,1,TRUE)</f>
        <v>0.11224310321130049</v>
      </c>
      <c r="F57" s="43">
        <v>3.3371878829246411</v>
      </c>
    </row>
    <row r="58" spans="1:39" x14ac:dyDescent="0.3">
      <c r="A58" s="37">
        <v>2050</v>
      </c>
      <c r="B58" s="17">
        <f>HLOOKUP(A58,H$48:AC$51,3,FALSE)</f>
        <v>465.57139757596724</v>
      </c>
      <c r="C58" s="39">
        <f>+A58-A57</f>
        <v>25</v>
      </c>
      <c r="D58" s="40">
        <f>LN(B58)</f>
        <v>6.1432654632071531</v>
      </c>
      <c r="E58" s="40">
        <v>0</v>
      </c>
      <c r="F58" s="43">
        <v>0</v>
      </c>
    </row>
    <row r="59" spans="1:39" x14ac:dyDescent="0.3">
      <c r="A59" s="54"/>
      <c r="B59" s="55"/>
      <c r="C59" s="56"/>
      <c r="D59" s="52"/>
      <c r="E59" s="52">
        <v>1</v>
      </c>
      <c r="F59" s="53">
        <v>0</v>
      </c>
    </row>
    <row r="60" spans="1:39" x14ac:dyDescent="0.3">
      <c r="A60" s="45">
        <v>2035</v>
      </c>
      <c r="B60" s="17">
        <f>HLOOKUP(A60,H$48:AC$61,3,FALSE)</f>
        <v>157.01118251315455</v>
      </c>
      <c r="C60" s="45">
        <v>0</v>
      </c>
      <c r="D60" s="40">
        <f>LN(B60)</f>
        <v>5.0563170290102795</v>
      </c>
      <c r="E60" s="41">
        <f t="array" ref="E60:F62">LINEST(D60:D61,C60:C61,1,TRUE)</f>
        <v>7.2135559672000207E-2</v>
      </c>
      <c r="F60" s="42">
        <v>5.0563170290102795</v>
      </c>
    </row>
    <row r="61" spans="1:39" x14ac:dyDescent="0.3">
      <c r="A61" s="45">
        <v>2050</v>
      </c>
      <c r="B61" s="17">
        <f>300*AH34</f>
        <v>463.28871028919264</v>
      </c>
      <c r="C61" s="39">
        <f>+A61-A60</f>
        <v>15</v>
      </c>
      <c r="D61" s="40">
        <f>LN(B61)</f>
        <v>6.1383504240902829</v>
      </c>
      <c r="E61" s="40">
        <v>0</v>
      </c>
      <c r="F61" s="43">
        <v>0</v>
      </c>
    </row>
    <row r="62" spans="1:39" x14ac:dyDescent="0.3">
      <c r="A62" s="45"/>
      <c r="B62" s="48"/>
      <c r="D62" s="49"/>
      <c r="E62" s="40">
        <v>1</v>
      </c>
      <c r="F62" s="43">
        <v>0</v>
      </c>
    </row>
  </sheetData>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2BAA-D654-4371-806C-5572E5C8C986}">
  <dimension ref="A1:J73"/>
  <sheetViews>
    <sheetView topLeftCell="A51" zoomScale="83" zoomScaleNormal="83" workbookViewId="0">
      <selection activeCell="A59" sqref="A59"/>
    </sheetView>
  </sheetViews>
  <sheetFormatPr defaultRowHeight="14.4" x14ac:dyDescent="0.3"/>
  <cols>
    <col min="1" max="1" width="8.109375" customWidth="1"/>
    <col min="2" max="2" width="41.44140625" customWidth="1"/>
    <col min="3" max="3" width="15.5546875" style="136" customWidth="1"/>
    <col min="4" max="4" width="16.109375" style="136" customWidth="1"/>
    <col min="5" max="5" width="14.88671875" style="136" customWidth="1"/>
    <col min="6" max="6" width="20.44140625" style="139" bestFit="1" customWidth="1"/>
    <col min="7" max="7" width="15.5546875" style="136" customWidth="1"/>
    <col min="8" max="8" width="15" style="136" customWidth="1"/>
    <col min="9" max="9" width="20.33203125" style="136" customWidth="1"/>
    <col min="10" max="10" width="10.88671875" customWidth="1"/>
  </cols>
  <sheetData>
    <row r="1" spans="1:10" ht="15.6" x14ac:dyDescent="0.3">
      <c r="A1" s="58"/>
      <c r="B1" s="59" t="s">
        <v>105</v>
      </c>
      <c r="C1" s="60"/>
      <c r="D1" s="61"/>
      <c r="E1" s="60"/>
      <c r="F1" s="62"/>
      <c r="G1" s="61"/>
      <c r="H1" s="61"/>
      <c r="I1" s="61"/>
      <c r="J1" s="58"/>
    </row>
    <row r="2" spans="1:10" ht="15.6" x14ac:dyDescent="0.3">
      <c r="A2" s="58"/>
      <c r="B2" s="59" t="s">
        <v>24</v>
      </c>
      <c r="C2" s="60"/>
      <c r="D2" s="61"/>
      <c r="E2" s="60"/>
      <c r="F2" s="62"/>
      <c r="G2" s="61"/>
      <c r="H2" s="61"/>
      <c r="I2" s="61"/>
      <c r="J2" s="58"/>
    </row>
    <row r="3" spans="1:10" x14ac:dyDescent="0.3">
      <c r="A3" s="58"/>
      <c r="B3" s="63"/>
      <c r="C3" s="60"/>
      <c r="D3" s="64"/>
      <c r="E3" s="60"/>
      <c r="F3" s="62"/>
      <c r="G3" s="61"/>
      <c r="H3" s="61"/>
      <c r="I3" s="61"/>
      <c r="J3" s="58"/>
    </row>
    <row r="4" spans="1:10" ht="62.4" x14ac:dyDescent="0.3">
      <c r="A4" s="58"/>
      <c r="B4" s="65" t="s">
        <v>25</v>
      </c>
      <c r="C4" s="66" t="s">
        <v>26</v>
      </c>
      <c r="D4" s="66" t="s">
        <v>27</v>
      </c>
      <c r="E4" s="66" t="s">
        <v>28</v>
      </c>
      <c r="F4" s="66" t="s">
        <v>29</v>
      </c>
      <c r="G4" s="66" t="s">
        <v>30</v>
      </c>
      <c r="H4" s="66" t="s">
        <v>31</v>
      </c>
      <c r="I4" s="67" t="s">
        <v>32</v>
      </c>
    </row>
    <row r="5" spans="1:10" ht="15.6" x14ac:dyDescent="0.3">
      <c r="A5" s="58">
        <v>2025</v>
      </c>
      <c r="B5" s="149" t="s">
        <v>97</v>
      </c>
      <c r="C5" s="150">
        <v>51253305</v>
      </c>
      <c r="D5" s="150">
        <v>51253305</v>
      </c>
      <c r="E5" s="151">
        <v>28.32</v>
      </c>
      <c r="F5" s="150">
        <v>6847750</v>
      </c>
      <c r="G5" s="150">
        <v>6847750</v>
      </c>
      <c r="H5" s="151">
        <v>29.61</v>
      </c>
      <c r="I5" s="74">
        <f t="shared" ref="I5:I8" si="0">+D5*E5</f>
        <v>1451493597.5999999</v>
      </c>
    </row>
    <row r="6" spans="1:10" ht="15.6" x14ac:dyDescent="0.3">
      <c r="A6" s="58">
        <v>2025</v>
      </c>
      <c r="B6" s="152" t="s">
        <v>98</v>
      </c>
      <c r="C6" s="153">
        <v>51883970</v>
      </c>
      <c r="D6" s="153">
        <v>51883970</v>
      </c>
      <c r="E6" s="154">
        <v>28.76</v>
      </c>
      <c r="F6" s="153">
        <v>6847750</v>
      </c>
      <c r="G6" s="153">
        <v>6847750</v>
      </c>
      <c r="H6" s="154">
        <v>28.5</v>
      </c>
      <c r="I6" s="74">
        <f t="shared" si="0"/>
        <v>1492182977.2</v>
      </c>
    </row>
    <row r="7" spans="1:10" ht="15.6" x14ac:dyDescent="0.3">
      <c r="A7" s="58">
        <v>2025</v>
      </c>
      <c r="B7" s="149" t="s">
        <v>99</v>
      </c>
      <c r="C7" s="150">
        <v>51069285</v>
      </c>
      <c r="D7" s="150">
        <v>43865000</v>
      </c>
      <c r="E7" s="151">
        <v>25.87</v>
      </c>
      <c r="F7" s="150">
        <v>6847750</v>
      </c>
      <c r="G7" s="150">
        <v>6847750</v>
      </c>
      <c r="H7" s="151">
        <v>26.15</v>
      </c>
      <c r="I7" s="74">
        <f t="shared" si="0"/>
        <v>1134787550</v>
      </c>
    </row>
    <row r="8" spans="1:10" ht="15.6" x14ac:dyDescent="0.3">
      <c r="A8" s="58">
        <v>2025</v>
      </c>
      <c r="B8" s="152" t="s">
        <v>100</v>
      </c>
      <c r="C8" s="153">
        <v>51466028</v>
      </c>
      <c r="D8" s="153">
        <v>51466028</v>
      </c>
      <c r="E8" s="154">
        <v>29.27</v>
      </c>
      <c r="F8" s="153">
        <v>6847750</v>
      </c>
      <c r="G8" s="153">
        <v>6847750</v>
      </c>
      <c r="H8" s="154">
        <v>28</v>
      </c>
      <c r="I8" s="74">
        <f t="shared" si="0"/>
        <v>1506410639.5599999</v>
      </c>
    </row>
    <row r="9" spans="1:10" ht="15.6" x14ac:dyDescent="0.3">
      <c r="A9" s="58">
        <v>2024</v>
      </c>
      <c r="B9" s="149" t="s">
        <v>101</v>
      </c>
      <c r="C9" s="150">
        <v>52629612</v>
      </c>
      <c r="D9" s="150">
        <v>52629612</v>
      </c>
      <c r="E9" s="151">
        <v>31.91</v>
      </c>
      <c r="F9" s="150">
        <v>7211000</v>
      </c>
      <c r="G9" s="150">
        <v>7211000</v>
      </c>
      <c r="H9" s="151">
        <v>30.16</v>
      </c>
      <c r="I9" s="74">
        <f t="shared" ref="I9:I12" si="1">+D9*E9</f>
        <v>1679410918.9200001</v>
      </c>
    </row>
    <row r="10" spans="1:10" ht="15.6" x14ac:dyDescent="0.3">
      <c r="A10" s="58">
        <v>2024</v>
      </c>
      <c r="B10" s="141" t="s">
        <v>83</v>
      </c>
      <c r="C10" s="142">
        <v>51179715</v>
      </c>
      <c r="D10" s="142">
        <v>51179715</v>
      </c>
      <c r="E10" s="143">
        <v>30.24</v>
      </c>
      <c r="F10" s="142">
        <v>7211000</v>
      </c>
      <c r="G10" s="142">
        <v>7211000</v>
      </c>
      <c r="H10" s="143">
        <v>29.75</v>
      </c>
      <c r="I10" s="74">
        <f t="shared" si="1"/>
        <v>1547674581.5999999</v>
      </c>
    </row>
    <row r="11" spans="1:10" ht="15.6" x14ac:dyDescent="0.3">
      <c r="A11" s="58">
        <v>2024</v>
      </c>
      <c r="B11" s="144" t="s">
        <v>84</v>
      </c>
      <c r="C11" s="145">
        <v>51589488</v>
      </c>
      <c r="D11" s="145">
        <v>51589488</v>
      </c>
      <c r="E11" s="146">
        <v>37.020000000000003</v>
      </c>
      <c r="F11" s="145">
        <v>7211000</v>
      </c>
      <c r="G11" s="145">
        <v>7211000</v>
      </c>
      <c r="H11" s="146">
        <v>38.35</v>
      </c>
      <c r="I11" s="74">
        <f t="shared" si="1"/>
        <v>1909842845.7600002</v>
      </c>
    </row>
    <row r="12" spans="1:10" ht="15.6" x14ac:dyDescent="0.3">
      <c r="A12" s="58">
        <v>2024</v>
      </c>
      <c r="B12" s="141" t="s">
        <v>85</v>
      </c>
      <c r="C12" s="142">
        <v>51216056</v>
      </c>
      <c r="D12" s="142">
        <v>51216056</v>
      </c>
      <c r="E12" s="143">
        <v>41.76</v>
      </c>
      <c r="F12" s="142">
        <v>7211000</v>
      </c>
      <c r="G12" s="142">
        <v>7211000</v>
      </c>
      <c r="H12" s="143">
        <v>41</v>
      </c>
      <c r="I12" s="74">
        <f t="shared" si="1"/>
        <v>2138782498.5599999</v>
      </c>
    </row>
    <row r="13" spans="1:10" ht="15.6" customHeight="1" x14ac:dyDescent="0.3">
      <c r="A13" s="58">
        <v>2023</v>
      </c>
      <c r="B13" s="144" t="s">
        <v>86</v>
      </c>
      <c r="C13" s="145">
        <v>57617565</v>
      </c>
      <c r="D13" s="145">
        <v>57617565</v>
      </c>
      <c r="E13" s="146">
        <v>38.729999999999997</v>
      </c>
      <c r="F13" s="145">
        <v>7577000</v>
      </c>
      <c r="G13" s="145">
        <v>7577000</v>
      </c>
      <c r="H13" s="146">
        <v>37.4</v>
      </c>
      <c r="I13" s="74">
        <f t="shared" ref="I13:I23" si="2">+D13*E13</f>
        <v>2231528292.4499998</v>
      </c>
    </row>
    <row r="14" spans="1:10" ht="15.6" x14ac:dyDescent="0.3">
      <c r="A14" s="58">
        <v>2023</v>
      </c>
      <c r="B14" s="75" t="s">
        <v>33</v>
      </c>
      <c r="C14" s="76">
        <v>55760384</v>
      </c>
      <c r="D14" s="76">
        <v>55760384</v>
      </c>
      <c r="E14" s="77">
        <v>35.200000000000003</v>
      </c>
      <c r="F14" s="76">
        <v>7577000</v>
      </c>
      <c r="G14" s="76">
        <v>7577000</v>
      </c>
      <c r="H14" s="78">
        <v>34.159999999999997</v>
      </c>
      <c r="I14" s="74">
        <f t="shared" si="2"/>
        <v>1962765516.8000002</v>
      </c>
    </row>
    <row r="15" spans="1:10" ht="16.2" x14ac:dyDescent="0.3">
      <c r="A15" s="58">
        <v>2023</v>
      </c>
      <c r="B15" s="79" t="s">
        <v>34</v>
      </c>
      <c r="C15" s="80">
        <v>56084237</v>
      </c>
      <c r="D15" s="80">
        <v>56084237</v>
      </c>
      <c r="E15" s="81">
        <v>30.33</v>
      </c>
      <c r="F15" s="80">
        <v>7577000</v>
      </c>
      <c r="G15" s="80">
        <v>7577000</v>
      </c>
      <c r="H15" s="82">
        <v>30.05</v>
      </c>
      <c r="I15" s="74">
        <f t="shared" si="2"/>
        <v>1701034908.2099998</v>
      </c>
    </row>
    <row r="16" spans="1:10" ht="16.2" x14ac:dyDescent="0.3">
      <c r="A16" s="58">
        <v>2023</v>
      </c>
      <c r="B16" s="83" t="s">
        <v>35</v>
      </c>
      <c r="C16" s="84">
        <v>56395720</v>
      </c>
      <c r="D16" s="84">
        <v>56395720</v>
      </c>
      <c r="E16" s="85">
        <v>27.85</v>
      </c>
      <c r="F16" s="84">
        <v>7577000</v>
      </c>
      <c r="G16" s="84">
        <v>7577000</v>
      </c>
      <c r="H16" s="86">
        <v>27.01</v>
      </c>
      <c r="I16" s="74">
        <f t="shared" si="2"/>
        <v>1570620802</v>
      </c>
    </row>
    <row r="17" spans="1:10" ht="16.2" x14ac:dyDescent="0.3">
      <c r="A17" s="58">
        <v>2022</v>
      </c>
      <c r="B17" s="68" t="s">
        <v>36</v>
      </c>
      <c r="C17" s="69">
        <v>58020854</v>
      </c>
      <c r="D17" s="69">
        <v>58020854</v>
      </c>
      <c r="E17" s="70">
        <v>26.8</v>
      </c>
      <c r="F17" s="71">
        <v>7942750</v>
      </c>
      <c r="G17" s="72">
        <v>7942750</v>
      </c>
      <c r="H17" s="73">
        <v>26</v>
      </c>
      <c r="I17" s="74">
        <f t="shared" si="2"/>
        <v>1554958887.2</v>
      </c>
    </row>
    <row r="18" spans="1:10" ht="16.2" x14ac:dyDescent="0.3">
      <c r="A18" s="58">
        <v>2022</v>
      </c>
      <c r="B18" s="87" t="s">
        <v>37</v>
      </c>
      <c r="C18" s="88">
        <v>56956085</v>
      </c>
      <c r="D18" s="88">
        <v>56956085</v>
      </c>
      <c r="E18" s="89">
        <v>27</v>
      </c>
      <c r="F18" s="88">
        <v>7942750</v>
      </c>
      <c r="G18" s="88">
        <v>7942750</v>
      </c>
      <c r="H18" s="90">
        <v>30</v>
      </c>
      <c r="I18" s="74">
        <f t="shared" si="2"/>
        <v>1537814295</v>
      </c>
    </row>
    <row r="19" spans="1:10" ht="16.2" x14ac:dyDescent="0.3">
      <c r="A19" s="58">
        <v>2022</v>
      </c>
      <c r="B19" s="91" t="s">
        <v>38</v>
      </c>
      <c r="C19" s="92">
        <v>58331300</v>
      </c>
      <c r="D19" s="92">
        <v>58331300</v>
      </c>
      <c r="E19" s="93">
        <v>30.85</v>
      </c>
      <c r="F19" s="92">
        <v>7942750</v>
      </c>
      <c r="G19" s="92">
        <v>7942750</v>
      </c>
      <c r="H19" s="94">
        <v>28.13</v>
      </c>
      <c r="I19" s="74">
        <f t="shared" si="2"/>
        <v>1799520605</v>
      </c>
    </row>
    <row r="20" spans="1:10" ht="16.2" x14ac:dyDescent="0.3">
      <c r="A20" s="58">
        <v>2022</v>
      </c>
      <c r="B20" s="95" t="s">
        <v>39</v>
      </c>
      <c r="C20" s="96">
        <v>58527697</v>
      </c>
      <c r="D20" s="96">
        <v>58527697</v>
      </c>
      <c r="E20" s="97">
        <v>29.15</v>
      </c>
      <c r="F20" s="96">
        <v>7942750</v>
      </c>
      <c r="G20" s="96">
        <v>7079000</v>
      </c>
      <c r="H20" s="98">
        <v>19.7</v>
      </c>
      <c r="I20" s="74">
        <f t="shared" si="2"/>
        <v>1706082367.55</v>
      </c>
    </row>
    <row r="21" spans="1:10" ht="16.2" x14ac:dyDescent="0.3">
      <c r="A21" s="58">
        <v>2021</v>
      </c>
      <c r="B21" s="91" t="s">
        <v>40</v>
      </c>
      <c r="C21" s="92">
        <v>68598217</v>
      </c>
      <c r="D21" s="92">
        <v>68598217</v>
      </c>
      <c r="E21" s="93">
        <v>28.26</v>
      </c>
      <c r="F21" s="92">
        <v>8306250</v>
      </c>
      <c r="G21" s="92">
        <v>8306250</v>
      </c>
      <c r="H21" s="94">
        <v>34.01</v>
      </c>
      <c r="I21" s="74">
        <f t="shared" si="2"/>
        <v>1938585612.4200001</v>
      </c>
    </row>
    <row r="22" spans="1:10" ht="16.2" x14ac:dyDescent="0.3">
      <c r="A22" s="58">
        <v>2021</v>
      </c>
      <c r="B22" s="95" t="s">
        <v>41</v>
      </c>
      <c r="C22" s="96">
        <v>71261536</v>
      </c>
      <c r="D22" s="96">
        <v>71261536</v>
      </c>
      <c r="E22" s="97">
        <v>23.3</v>
      </c>
      <c r="F22" s="96">
        <v>8306250</v>
      </c>
      <c r="G22" s="96">
        <v>8306250</v>
      </c>
      <c r="H22" s="98">
        <v>23.69</v>
      </c>
      <c r="I22" s="74">
        <f t="shared" si="2"/>
        <v>1660393788.8</v>
      </c>
    </row>
    <row r="23" spans="1:10" ht="16.2" x14ac:dyDescent="0.3">
      <c r="A23" s="58">
        <v>2021</v>
      </c>
      <c r="B23" s="91" t="s">
        <v>42</v>
      </c>
      <c r="C23" s="92">
        <v>71647138</v>
      </c>
      <c r="D23" s="92">
        <v>71647138</v>
      </c>
      <c r="E23" s="93">
        <v>18.8</v>
      </c>
      <c r="F23" s="92">
        <v>8306250</v>
      </c>
      <c r="G23" s="92">
        <v>8306250</v>
      </c>
      <c r="H23" s="94">
        <v>19.04</v>
      </c>
      <c r="I23" s="74">
        <f t="shared" si="2"/>
        <v>1346966194.4000001</v>
      </c>
    </row>
    <row r="24" spans="1:10" ht="15.6" x14ac:dyDescent="0.3">
      <c r="A24" s="58">
        <v>2021</v>
      </c>
      <c r="B24" s="99" t="s">
        <v>43</v>
      </c>
      <c r="C24" s="100">
        <v>54773607</v>
      </c>
      <c r="D24" s="100">
        <v>54773607</v>
      </c>
      <c r="E24" s="101">
        <v>17.8</v>
      </c>
      <c r="F24" s="100">
        <v>8306250</v>
      </c>
      <c r="G24" s="100">
        <v>8306250</v>
      </c>
      <c r="H24" s="102">
        <v>18.010000000000002</v>
      </c>
      <c r="I24" s="74">
        <f>+D24*E24</f>
        <v>974970204.60000002</v>
      </c>
      <c r="J24" s="103"/>
    </row>
    <row r="25" spans="1:10" ht="15.6" x14ac:dyDescent="0.3">
      <c r="A25" s="58">
        <v>2020</v>
      </c>
      <c r="B25" s="104" t="s">
        <v>44</v>
      </c>
      <c r="C25" s="92">
        <v>56366432</v>
      </c>
      <c r="D25" s="92">
        <v>56366432</v>
      </c>
      <c r="E25" s="105">
        <v>16.93</v>
      </c>
      <c r="F25" s="92">
        <v>8672250</v>
      </c>
      <c r="G25" s="92">
        <v>8672250</v>
      </c>
      <c r="H25" s="93">
        <v>17.350000000000001</v>
      </c>
      <c r="I25" s="74">
        <f>+D25*E25</f>
        <v>954283693.75999999</v>
      </c>
      <c r="J25" s="103"/>
    </row>
    <row r="26" spans="1:10" ht="15.6" x14ac:dyDescent="0.3">
      <c r="A26" s="58">
        <v>2020</v>
      </c>
      <c r="B26" s="106" t="s">
        <v>45</v>
      </c>
      <c r="C26" s="107">
        <v>59250484</v>
      </c>
      <c r="D26" s="107">
        <v>52627000</v>
      </c>
      <c r="E26" s="108">
        <v>16.68</v>
      </c>
      <c r="F26" s="107">
        <v>8672250</v>
      </c>
      <c r="G26" s="107">
        <v>8672250</v>
      </c>
      <c r="H26" s="109">
        <v>16.73</v>
      </c>
      <c r="I26" s="74">
        <f t="shared" ref="I26:I36" si="3">+D26*E26</f>
        <v>877818360</v>
      </c>
    </row>
    <row r="27" spans="1:10" ht="15.6" x14ac:dyDescent="0.3">
      <c r="A27" s="58">
        <v>2020</v>
      </c>
      <c r="B27" s="104" t="s">
        <v>46</v>
      </c>
      <c r="C27" s="92">
        <v>57540731</v>
      </c>
      <c r="D27" s="92">
        <v>21161000</v>
      </c>
      <c r="E27" s="105">
        <v>16.68</v>
      </c>
      <c r="F27" s="92">
        <v>8672250</v>
      </c>
      <c r="G27" s="92">
        <v>1763000</v>
      </c>
      <c r="H27" s="93">
        <v>16.68</v>
      </c>
      <c r="I27" s="74">
        <f t="shared" si="3"/>
        <v>352965480</v>
      </c>
    </row>
    <row r="28" spans="1:10" ht="15.6" x14ac:dyDescent="0.3">
      <c r="A28" s="58">
        <v>2020</v>
      </c>
      <c r="B28" s="99" t="s">
        <v>47</v>
      </c>
      <c r="C28" s="100">
        <v>57090077</v>
      </c>
      <c r="D28" s="100">
        <v>57090077</v>
      </c>
      <c r="E28" s="101">
        <v>17.87</v>
      </c>
      <c r="F28" s="100">
        <v>8672250</v>
      </c>
      <c r="G28" s="100">
        <v>8672250</v>
      </c>
      <c r="H28" s="102">
        <v>18</v>
      </c>
      <c r="I28" s="74">
        <f t="shared" si="3"/>
        <v>1020199675.99</v>
      </c>
    </row>
    <row r="29" spans="1:10" ht="15.6" x14ac:dyDescent="0.3">
      <c r="A29" s="58">
        <v>2019</v>
      </c>
      <c r="B29" s="110" t="s">
        <v>48</v>
      </c>
      <c r="C29" s="111">
        <v>67435661</v>
      </c>
      <c r="D29" s="111">
        <v>67435661</v>
      </c>
      <c r="E29" s="112">
        <v>17</v>
      </c>
      <c r="F29" s="111">
        <v>9038000</v>
      </c>
      <c r="G29" s="111">
        <v>9038000</v>
      </c>
      <c r="H29" s="113">
        <v>16.8</v>
      </c>
      <c r="I29" s="74">
        <f t="shared" si="3"/>
        <v>1146406237</v>
      </c>
    </row>
    <row r="30" spans="1:10" ht="15.6" x14ac:dyDescent="0.3">
      <c r="A30" s="58">
        <v>2019</v>
      </c>
      <c r="B30" s="106" t="s">
        <v>49</v>
      </c>
      <c r="C30" s="114">
        <v>66289515</v>
      </c>
      <c r="D30" s="114">
        <v>66289515</v>
      </c>
      <c r="E30" s="115">
        <v>17.16</v>
      </c>
      <c r="F30" s="114">
        <v>9038000</v>
      </c>
      <c r="G30" s="114">
        <v>9038000</v>
      </c>
      <c r="H30" s="116">
        <v>16.850000000000001</v>
      </c>
      <c r="I30" s="74">
        <f t="shared" si="3"/>
        <v>1137528077.4000001</v>
      </c>
    </row>
    <row r="31" spans="1:10" ht="15.6" x14ac:dyDescent="0.3">
      <c r="A31" s="58">
        <v>2019</v>
      </c>
      <c r="B31" s="104" t="s">
        <v>50</v>
      </c>
      <c r="C31" s="117">
        <v>66321122</v>
      </c>
      <c r="D31" s="117">
        <v>66321122</v>
      </c>
      <c r="E31" s="118">
        <v>17.45</v>
      </c>
      <c r="F31" s="117">
        <v>9038000</v>
      </c>
      <c r="G31" s="117">
        <v>9038000</v>
      </c>
      <c r="H31" s="119">
        <v>17.399999999999999</v>
      </c>
      <c r="I31" s="74">
        <f t="shared" si="3"/>
        <v>1157303578.8999999</v>
      </c>
    </row>
    <row r="32" spans="1:10" ht="15.6" x14ac:dyDescent="0.3">
      <c r="A32" s="58">
        <v>2019</v>
      </c>
      <c r="B32" s="106" t="s">
        <v>51</v>
      </c>
      <c r="C32" s="114">
        <v>80847404</v>
      </c>
      <c r="D32" s="114">
        <v>80847404</v>
      </c>
      <c r="E32" s="115">
        <v>15.73</v>
      </c>
      <c r="F32" s="114">
        <v>9038000</v>
      </c>
      <c r="G32" s="114">
        <v>5983000</v>
      </c>
      <c r="H32" s="116">
        <v>15.62</v>
      </c>
      <c r="I32" s="74">
        <f t="shared" si="3"/>
        <v>1271729664.9200001</v>
      </c>
    </row>
    <row r="33" spans="1:9" ht="15.6" x14ac:dyDescent="0.3">
      <c r="A33" s="58">
        <v>2018</v>
      </c>
      <c r="B33" s="120" t="s">
        <v>52</v>
      </c>
      <c r="C33" s="121">
        <v>78825717</v>
      </c>
      <c r="D33" s="121">
        <v>78825717</v>
      </c>
      <c r="E33" s="122">
        <v>15.31</v>
      </c>
      <c r="F33" s="121">
        <v>9401500</v>
      </c>
      <c r="G33" s="121">
        <v>9401500</v>
      </c>
      <c r="H33" s="122">
        <v>15.33</v>
      </c>
      <c r="I33" s="74">
        <f t="shared" si="3"/>
        <v>1206821727.27</v>
      </c>
    </row>
    <row r="34" spans="1:9" ht="15.6" x14ac:dyDescent="0.3">
      <c r="A34" s="58">
        <v>2018</v>
      </c>
      <c r="B34" s="123" t="s">
        <v>53</v>
      </c>
      <c r="C34" s="124">
        <v>79421265</v>
      </c>
      <c r="D34" s="124">
        <v>79421265</v>
      </c>
      <c r="E34" s="125">
        <v>15.05</v>
      </c>
      <c r="F34" s="124">
        <v>9401500</v>
      </c>
      <c r="G34" s="124">
        <v>9401500</v>
      </c>
      <c r="H34" s="125">
        <v>14.9</v>
      </c>
      <c r="I34" s="74">
        <f t="shared" si="3"/>
        <v>1195290038.25</v>
      </c>
    </row>
    <row r="35" spans="1:9" ht="15.6" x14ac:dyDescent="0.3">
      <c r="A35" s="58">
        <v>2018</v>
      </c>
      <c r="B35" s="120" t="s">
        <v>54</v>
      </c>
      <c r="C35" s="121">
        <v>90587738</v>
      </c>
      <c r="D35" s="121">
        <v>90587738</v>
      </c>
      <c r="E35" s="122">
        <v>14.65</v>
      </c>
      <c r="F35" s="121">
        <v>12427950</v>
      </c>
      <c r="G35" s="121">
        <v>6057000</v>
      </c>
      <c r="H35" s="122">
        <v>14.53</v>
      </c>
      <c r="I35" s="74">
        <f t="shared" si="3"/>
        <v>1327110361.7</v>
      </c>
    </row>
    <row r="36" spans="1:9" ht="15.6" x14ac:dyDescent="0.3">
      <c r="A36" s="58">
        <v>2018</v>
      </c>
      <c r="B36" s="123" t="s">
        <v>55</v>
      </c>
      <c r="C36" s="124">
        <v>98215920</v>
      </c>
      <c r="D36" s="124">
        <v>98215920</v>
      </c>
      <c r="E36" s="125">
        <v>14.61</v>
      </c>
      <c r="F36" s="124">
        <v>12428950</v>
      </c>
      <c r="G36" s="124">
        <v>8576000</v>
      </c>
      <c r="H36" s="125">
        <v>14.53</v>
      </c>
      <c r="I36" s="74">
        <f t="shared" si="3"/>
        <v>1434934591.2</v>
      </c>
    </row>
    <row r="37" spans="1:9" ht="15.6" x14ac:dyDescent="0.3">
      <c r="A37" s="58">
        <v>2017</v>
      </c>
      <c r="B37" s="126" t="s">
        <v>56</v>
      </c>
      <c r="C37" s="121">
        <v>79548286</v>
      </c>
      <c r="D37" s="121">
        <v>79548286</v>
      </c>
      <c r="E37" s="122">
        <v>15.06</v>
      </c>
      <c r="F37" s="121">
        <v>9723500</v>
      </c>
      <c r="G37" s="121">
        <v>9723500</v>
      </c>
      <c r="H37" s="122">
        <v>14.76</v>
      </c>
      <c r="I37" s="74">
        <f t="shared" ref="I37:I57" si="4">D37*E37</f>
        <v>1197997187.1600001</v>
      </c>
    </row>
    <row r="38" spans="1:9" ht="15.6" x14ac:dyDescent="0.3">
      <c r="A38" s="58">
        <f>+A37</f>
        <v>2017</v>
      </c>
      <c r="B38" s="127" t="s">
        <v>57</v>
      </c>
      <c r="C38" s="128">
        <v>63887833</v>
      </c>
      <c r="D38" s="124">
        <v>63887833</v>
      </c>
      <c r="E38" s="125">
        <v>14.75</v>
      </c>
      <c r="F38" s="128">
        <v>9723500</v>
      </c>
      <c r="G38" s="128">
        <v>9723500</v>
      </c>
      <c r="H38" s="125">
        <v>14.55</v>
      </c>
      <c r="I38" s="74">
        <f t="shared" si="4"/>
        <v>942345536.75</v>
      </c>
    </row>
    <row r="39" spans="1:9" ht="15.6" x14ac:dyDescent="0.3">
      <c r="A39" s="58">
        <f>+A38</f>
        <v>2017</v>
      </c>
      <c r="B39" s="126" t="s">
        <v>58</v>
      </c>
      <c r="C39" s="129">
        <v>75311960</v>
      </c>
      <c r="D39" s="121">
        <v>75311960</v>
      </c>
      <c r="E39" s="122">
        <v>13.8</v>
      </c>
      <c r="F39" s="129">
        <v>9723500</v>
      </c>
      <c r="G39" s="129">
        <v>2117000</v>
      </c>
      <c r="H39" s="122">
        <v>13.57</v>
      </c>
      <c r="I39" s="74">
        <f t="shared" si="4"/>
        <v>1039305048</v>
      </c>
    </row>
    <row r="40" spans="1:9" ht="15.6" x14ac:dyDescent="0.3">
      <c r="A40" s="58">
        <f>+A39</f>
        <v>2017</v>
      </c>
      <c r="B40" s="127" t="s">
        <v>59</v>
      </c>
      <c r="C40" s="128">
        <v>65104273</v>
      </c>
      <c r="D40" s="124">
        <v>11673000</v>
      </c>
      <c r="E40" s="125">
        <v>13.57</v>
      </c>
      <c r="F40" s="128">
        <v>9723500</v>
      </c>
      <c r="G40" s="128">
        <v>701000</v>
      </c>
      <c r="H40" s="125">
        <v>13.57</v>
      </c>
      <c r="I40" s="74">
        <f t="shared" si="4"/>
        <v>158402610</v>
      </c>
    </row>
    <row r="41" spans="1:9" ht="15.6" x14ac:dyDescent="0.3">
      <c r="A41" s="58">
        <f t="shared" ref="A41:A56" si="5">+A37-1</f>
        <v>2016</v>
      </c>
      <c r="B41" s="126" t="s">
        <v>60</v>
      </c>
      <c r="C41" s="129">
        <v>87069495</v>
      </c>
      <c r="D41" s="121">
        <v>76960000</v>
      </c>
      <c r="E41" s="122">
        <v>12.73</v>
      </c>
      <c r="F41" s="129">
        <v>10078750</v>
      </c>
      <c r="G41" s="129">
        <v>1020000</v>
      </c>
      <c r="H41" s="122">
        <v>12.73</v>
      </c>
      <c r="I41" s="74">
        <f t="shared" si="4"/>
        <v>979700800</v>
      </c>
    </row>
    <row r="42" spans="1:9" ht="15.6" x14ac:dyDescent="0.3">
      <c r="A42" s="58">
        <f t="shared" si="5"/>
        <v>2016</v>
      </c>
      <c r="B42" s="127" t="s">
        <v>61</v>
      </c>
      <c r="C42" s="128">
        <v>86278410</v>
      </c>
      <c r="D42" s="124">
        <v>30021000</v>
      </c>
      <c r="E42" s="125">
        <v>12.73</v>
      </c>
      <c r="F42" s="128">
        <v>10078750</v>
      </c>
      <c r="G42" s="128">
        <v>769000</v>
      </c>
      <c r="H42" s="125">
        <v>12.73</v>
      </c>
      <c r="I42" s="74">
        <f t="shared" si="4"/>
        <v>382167330</v>
      </c>
    </row>
    <row r="43" spans="1:9" ht="15.6" x14ac:dyDescent="0.3">
      <c r="A43" s="58">
        <f t="shared" si="5"/>
        <v>2016</v>
      </c>
      <c r="B43" s="126" t="s">
        <v>62</v>
      </c>
      <c r="C43" s="129">
        <v>67675951</v>
      </c>
      <c r="D43" s="121">
        <v>7260000</v>
      </c>
      <c r="E43" s="122">
        <v>12.73</v>
      </c>
      <c r="F43" s="129">
        <v>10078750</v>
      </c>
      <c r="G43" s="129">
        <v>914000</v>
      </c>
      <c r="H43" s="122">
        <v>12.73</v>
      </c>
      <c r="I43" s="74">
        <f t="shared" si="4"/>
        <v>92419800</v>
      </c>
    </row>
    <row r="44" spans="1:9" ht="15.6" x14ac:dyDescent="0.3">
      <c r="A44" s="58">
        <f t="shared" si="5"/>
        <v>2016</v>
      </c>
      <c r="B44" s="127" t="s">
        <v>63</v>
      </c>
      <c r="C44" s="128">
        <v>71555827</v>
      </c>
      <c r="D44" s="124">
        <v>68026000</v>
      </c>
      <c r="E44" s="125">
        <v>12.73</v>
      </c>
      <c r="F44" s="128">
        <v>10078750</v>
      </c>
      <c r="G44" s="128">
        <v>9361000</v>
      </c>
      <c r="H44" s="125">
        <v>12.73</v>
      </c>
      <c r="I44" s="74">
        <f t="shared" si="4"/>
        <v>865970980</v>
      </c>
    </row>
    <row r="45" spans="1:9" ht="15.6" x14ac:dyDescent="0.3">
      <c r="A45" s="58">
        <f t="shared" si="5"/>
        <v>2015</v>
      </c>
      <c r="B45" s="126" t="s">
        <v>64</v>
      </c>
      <c r="C45" s="129">
        <v>75113008</v>
      </c>
      <c r="D45" s="121">
        <v>75113008</v>
      </c>
      <c r="E45" s="122">
        <v>12.73</v>
      </c>
      <c r="F45" s="129">
        <v>10431500</v>
      </c>
      <c r="G45" s="129">
        <v>10431500</v>
      </c>
      <c r="H45" s="122">
        <v>12.65</v>
      </c>
      <c r="I45" s="74">
        <f t="shared" si="4"/>
        <v>956188591.84000003</v>
      </c>
    </row>
    <row r="46" spans="1:9" ht="15.6" x14ac:dyDescent="0.3">
      <c r="A46" s="58">
        <f t="shared" si="5"/>
        <v>2015</v>
      </c>
      <c r="B46" s="127" t="s">
        <v>65</v>
      </c>
      <c r="C46" s="128">
        <v>73429360</v>
      </c>
      <c r="D46" s="124">
        <v>73429360</v>
      </c>
      <c r="E46" s="125">
        <v>12.52</v>
      </c>
      <c r="F46" s="128">
        <v>10431500</v>
      </c>
      <c r="G46" s="128">
        <v>10431500</v>
      </c>
      <c r="H46" s="125">
        <v>12.3</v>
      </c>
      <c r="I46" s="74">
        <f t="shared" si="4"/>
        <v>919335587.19999993</v>
      </c>
    </row>
    <row r="47" spans="1:9" ht="15.6" x14ac:dyDescent="0.3">
      <c r="A47" s="58">
        <f t="shared" si="5"/>
        <v>2015</v>
      </c>
      <c r="B47" s="126" t="s">
        <v>66</v>
      </c>
      <c r="C47" s="129">
        <v>76931627</v>
      </c>
      <c r="D47" s="121">
        <v>76931627</v>
      </c>
      <c r="E47" s="122">
        <v>12.29</v>
      </c>
      <c r="F47" s="129">
        <v>10431500</v>
      </c>
      <c r="G47" s="129">
        <v>9812000</v>
      </c>
      <c r="H47" s="122">
        <v>12.1</v>
      </c>
      <c r="I47" s="74">
        <f t="shared" si="4"/>
        <v>945489695.82999992</v>
      </c>
    </row>
    <row r="48" spans="1:9" ht="15.6" x14ac:dyDescent="0.3">
      <c r="A48" s="58">
        <f t="shared" si="5"/>
        <v>2015</v>
      </c>
      <c r="B48" s="127" t="s">
        <v>67</v>
      </c>
      <c r="C48" s="128">
        <v>73610528</v>
      </c>
      <c r="D48" s="124">
        <v>73610528</v>
      </c>
      <c r="E48" s="125">
        <v>12.21</v>
      </c>
      <c r="F48" s="128">
        <v>10431500</v>
      </c>
      <c r="G48" s="128">
        <v>10431500</v>
      </c>
      <c r="H48" s="125">
        <v>12.1</v>
      </c>
      <c r="I48" s="74">
        <f t="shared" si="4"/>
        <v>898784546.88000011</v>
      </c>
    </row>
    <row r="49" spans="1:10" ht="15.6" x14ac:dyDescent="0.3">
      <c r="A49" s="58">
        <f t="shared" si="5"/>
        <v>2014</v>
      </c>
      <c r="B49" s="126" t="s">
        <v>68</v>
      </c>
      <c r="C49" s="129">
        <v>23070987</v>
      </c>
      <c r="D49" s="121">
        <v>23070987</v>
      </c>
      <c r="E49" s="122">
        <v>12.1</v>
      </c>
      <c r="F49" s="129">
        <v>10787000</v>
      </c>
      <c r="G49" s="129">
        <v>10787000</v>
      </c>
      <c r="H49" s="122">
        <v>11.86</v>
      </c>
      <c r="I49" s="74">
        <f t="shared" si="4"/>
        <v>279158942.69999999</v>
      </c>
    </row>
    <row r="50" spans="1:10" ht="15.6" x14ac:dyDescent="0.3">
      <c r="A50" s="58">
        <f t="shared" si="5"/>
        <v>2014</v>
      </c>
      <c r="B50" s="130" t="s">
        <v>69</v>
      </c>
      <c r="C50" s="128">
        <v>22473043</v>
      </c>
      <c r="D50" s="124">
        <v>22473043</v>
      </c>
      <c r="E50" s="125">
        <v>11.5</v>
      </c>
      <c r="F50" s="128">
        <v>9260000</v>
      </c>
      <c r="G50" s="128">
        <v>6470000</v>
      </c>
      <c r="H50" s="125">
        <v>11.34</v>
      </c>
      <c r="I50" s="74">
        <f t="shared" si="4"/>
        <v>258439994.5</v>
      </c>
    </row>
    <row r="51" spans="1:10" ht="15.6" x14ac:dyDescent="0.3">
      <c r="A51" s="58">
        <f t="shared" si="5"/>
        <v>2014</v>
      </c>
      <c r="B51" s="131" t="s">
        <v>70</v>
      </c>
      <c r="C51" s="129">
        <v>16947080</v>
      </c>
      <c r="D51" s="121">
        <v>16947080</v>
      </c>
      <c r="E51" s="122">
        <v>11.5</v>
      </c>
      <c r="F51" s="129">
        <v>9260000</v>
      </c>
      <c r="G51" s="129">
        <v>4036000</v>
      </c>
      <c r="H51" s="122">
        <v>11.34</v>
      </c>
      <c r="I51" s="74">
        <f t="shared" si="4"/>
        <v>194891420</v>
      </c>
    </row>
    <row r="52" spans="1:10" ht="15.6" x14ac:dyDescent="0.3">
      <c r="A52" s="58">
        <f t="shared" si="5"/>
        <v>2014</v>
      </c>
      <c r="B52" s="130" t="s">
        <v>71</v>
      </c>
      <c r="C52" s="128">
        <v>19538695</v>
      </c>
      <c r="D52" s="124">
        <v>19538695</v>
      </c>
      <c r="E52" s="125">
        <v>11.48</v>
      </c>
      <c r="F52" s="128">
        <v>9260000</v>
      </c>
      <c r="G52" s="128">
        <v>9260000</v>
      </c>
      <c r="H52" s="125">
        <v>11.38</v>
      </c>
      <c r="I52" s="74">
        <f t="shared" si="4"/>
        <v>224304218.59999999</v>
      </c>
    </row>
    <row r="53" spans="1:10" ht="15.6" x14ac:dyDescent="0.3">
      <c r="A53" s="58">
        <f t="shared" si="5"/>
        <v>2013</v>
      </c>
      <c r="B53" s="131" t="s">
        <v>72</v>
      </c>
      <c r="C53" s="129">
        <v>16614526</v>
      </c>
      <c r="D53" s="121">
        <v>16614526</v>
      </c>
      <c r="E53" s="122">
        <v>11.48</v>
      </c>
      <c r="F53" s="129">
        <v>9560000</v>
      </c>
      <c r="G53" s="129">
        <v>9560000</v>
      </c>
      <c r="H53" s="122">
        <v>11.1</v>
      </c>
      <c r="I53" s="74">
        <f t="shared" si="4"/>
        <v>190734758.48000002</v>
      </c>
    </row>
    <row r="54" spans="1:10" ht="15.6" x14ac:dyDescent="0.3">
      <c r="A54" s="58">
        <f t="shared" si="5"/>
        <v>2013</v>
      </c>
      <c r="B54" s="130" t="s">
        <v>73</v>
      </c>
      <c r="C54" s="128">
        <v>13865422</v>
      </c>
      <c r="D54" s="124">
        <v>13865422</v>
      </c>
      <c r="E54" s="125">
        <v>12.22</v>
      </c>
      <c r="F54" s="128">
        <v>9560000</v>
      </c>
      <c r="G54" s="128">
        <v>9560000</v>
      </c>
      <c r="H54" s="125">
        <v>11.1</v>
      </c>
      <c r="I54" s="74">
        <f t="shared" si="4"/>
        <v>169435456.84</v>
      </c>
    </row>
    <row r="55" spans="1:10" ht="15.6" x14ac:dyDescent="0.3">
      <c r="A55" s="58">
        <f t="shared" si="5"/>
        <v>2013</v>
      </c>
      <c r="B55" s="131" t="s">
        <v>74</v>
      </c>
      <c r="C55" s="129">
        <v>14522048</v>
      </c>
      <c r="D55" s="121">
        <v>14522048</v>
      </c>
      <c r="E55" s="122">
        <v>14</v>
      </c>
      <c r="F55" s="129">
        <v>9560000</v>
      </c>
      <c r="G55" s="129">
        <v>7515000</v>
      </c>
      <c r="H55" s="122">
        <v>10.71</v>
      </c>
      <c r="I55" s="74">
        <f t="shared" si="4"/>
        <v>203308672</v>
      </c>
    </row>
    <row r="56" spans="1:10" ht="15.6" x14ac:dyDescent="0.3">
      <c r="A56" s="58">
        <f t="shared" si="5"/>
        <v>2013</v>
      </c>
      <c r="B56" s="130" t="s">
        <v>75</v>
      </c>
      <c r="C56" s="128">
        <v>12924822</v>
      </c>
      <c r="D56" s="124">
        <v>12924822</v>
      </c>
      <c r="E56" s="125">
        <v>13.62</v>
      </c>
      <c r="F56" s="128">
        <v>9560000</v>
      </c>
      <c r="G56" s="128">
        <v>4440000</v>
      </c>
      <c r="H56" s="125">
        <v>10.71</v>
      </c>
      <c r="I56" s="74">
        <f t="shared" si="4"/>
        <v>176036075.63999999</v>
      </c>
    </row>
    <row r="57" spans="1:10" ht="15.6" x14ac:dyDescent="0.3">
      <c r="A57" s="132">
        <v>2012</v>
      </c>
      <c r="B57" s="131" t="s">
        <v>76</v>
      </c>
      <c r="C57" s="129">
        <v>23126110</v>
      </c>
      <c r="D57" s="121">
        <v>23126110</v>
      </c>
      <c r="E57" s="122">
        <v>10.09</v>
      </c>
      <c r="F57" s="129">
        <v>39450000</v>
      </c>
      <c r="G57" s="129">
        <v>5576000</v>
      </c>
      <c r="H57" s="122">
        <v>10</v>
      </c>
      <c r="I57" s="74">
        <f t="shared" si="4"/>
        <v>233342449.90000001</v>
      </c>
    </row>
    <row r="58" spans="1:10" x14ac:dyDescent="0.3">
      <c r="A58" s="58"/>
      <c r="B58" s="58"/>
      <c r="C58" s="60"/>
      <c r="D58" s="61"/>
      <c r="E58" s="60"/>
      <c r="F58" s="62"/>
      <c r="G58" s="61"/>
      <c r="H58" s="61"/>
      <c r="I58" s="61"/>
      <c r="J58" s="58"/>
    </row>
    <row r="59" spans="1:10" x14ac:dyDescent="0.3">
      <c r="A59" s="58" t="s">
        <v>106</v>
      </c>
      <c r="B59" s="58"/>
      <c r="C59" s="60"/>
      <c r="D59" s="61"/>
      <c r="E59" s="60"/>
      <c r="F59" s="62"/>
      <c r="G59" s="61"/>
      <c r="H59" s="61" t="s">
        <v>77</v>
      </c>
      <c r="I59" s="61"/>
      <c r="J59" s="58"/>
    </row>
    <row r="60" spans="1:10" x14ac:dyDescent="0.3">
      <c r="A60" s="135" t="s">
        <v>81</v>
      </c>
      <c r="B60" s="58"/>
      <c r="C60" s="60"/>
      <c r="D60" s="61"/>
      <c r="E60" s="60">
        <v>2012</v>
      </c>
      <c r="F60" s="62" t="s">
        <v>78</v>
      </c>
      <c r="G60" s="61" t="s">
        <v>79</v>
      </c>
      <c r="H60" s="61" t="s">
        <v>80</v>
      </c>
      <c r="I60" s="61"/>
      <c r="J60" s="58"/>
    </row>
    <row r="61" spans="1:10" x14ac:dyDescent="0.3">
      <c r="A61" s="138" t="s">
        <v>82</v>
      </c>
      <c r="B61" s="58"/>
      <c r="C61" s="60"/>
      <c r="D61" s="61"/>
      <c r="E61" s="60">
        <v>2013</v>
      </c>
      <c r="F61" s="62">
        <f>SUMIF($A$4:$A$57,$E61,D$4:D$57)</f>
        <v>57926818</v>
      </c>
      <c r="G61" s="61">
        <f>SUMIF($A$4:$A$57,$E61,I$4:I$57)</f>
        <v>739514962.96000004</v>
      </c>
      <c r="H61" s="133">
        <f t="shared" ref="H61:H66" si="6">+G61/F61</f>
        <v>12.766366054493103</v>
      </c>
      <c r="I61" s="61"/>
      <c r="J61" s="58"/>
    </row>
    <row r="62" spans="1:10" x14ac:dyDescent="0.3">
      <c r="A62" t="s">
        <v>107</v>
      </c>
      <c r="B62" s="58"/>
      <c r="C62" s="60"/>
      <c r="D62" s="61"/>
      <c r="E62" s="60">
        <f t="shared" ref="E62:E69" si="7">+E61+1</f>
        <v>2014</v>
      </c>
      <c r="F62" s="62">
        <f t="shared" ref="F62:F73" si="8">SUMIF($A$4:$A$57,$E62,D$4:D$57)</f>
        <v>82029805</v>
      </c>
      <c r="G62" s="61">
        <f t="shared" ref="G62:G73" si="9">SUMIF($A$4:$A$57,$E62,I$4:I$57)</f>
        <v>956794575.80000007</v>
      </c>
      <c r="H62" s="133">
        <f t="shared" si="6"/>
        <v>11.663986959374096</v>
      </c>
      <c r="I62" s="61"/>
      <c r="J62" s="58"/>
    </row>
    <row r="63" spans="1:10" x14ac:dyDescent="0.3">
      <c r="A63" s="58"/>
      <c r="B63" s="58"/>
      <c r="C63" s="60"/>
      <c r="D63" s="61"/>
      <c r="E63" s="60">
        <f t="shared" si="7"/>
        <v>2015</v>
      </c>
      <c r="F63" s="62">
        <f t="shared" si="8"/>
        <v>299084523</v>
      </c>
      <c r="G63" s="61">
        <f t="shared" si="9"/>
        <v>3719798421.75</v>
      </c>
      <c r="H63" s="133">
        <f t="shared" si="6"/>
        <v>12.437281556525077</v>
      </c>
      <c r="I63" s="61"/>
      <c r="J63" s="58"/>
    </row>
    <row r="64" spans="1:10" x14ac:dyDescent="0.3">
      <c r="A64" s="58"/>
      <c r="B64" s="58"/>
      <c r="C64" s="60"/>
      <c r="D64" s="61"/>
      <c r="E64" s="60">
        <f t="shared" si="7"/>
        <v>2016</v>
      </c>
      <c r="F64" s="62">
        <f t="shared" si="8"/>
        <v>182267000</v>
      </c>
      <c r="G64" s="61">
        <f t="shared" si="9"/>
        <v>2320258910</v>
      </c>
      <c r="H64" s="133">
        <f t="shared" si="6"/>
        <v>12.73</v>
      </c>
      <c r="I64" s="61"/>
      <c r="J64" s="58"/>
    </row>
    <row r="65" spans="1:10" x14ac:dyDescent="0.3">
      <c r="A65" s="58"/>
      <c r="B65" s="58"/>
      <c r="C65" s="60"/>
      <c r="D65" s="61"/>
      <c r="E65" s="60">
        <f t="shared" si="7"/>
        <v>2017</v>
      </c>
      <c r="F65" s="62">
        <f t="shared" si="8"/>
        <v>230421079</v>
      </c>
      <c r="G65" s="61">
        <f t="shared" si="9"/>
        <v>3338050381.9099998</v>
      </c>
      <c r="H65" s="133">
        <f t="shared" si="6"/>
        <v>14.486740520427819</v>
      </c>
      <c r="I65" s="61"/>
      <c r="J65" s="58"/>
    </row>
    <row r="66" spans="1:10" x14ac:dyDescent="0.3">
      <c r="A66" s="58"/>
      <c r="B66" s="58"/>
      <c r="C66" s="60"/>
      <c r="D66" s="61"/>
      <c r="E66" s="60">
        <f t="shared" si="7"/>
        <v>2018</v>
      </c>
      <c r="F66" s="62">
        <f t="shared" si="8"/>
        <v>347050640</v>
      </c>
      <c r="G66" s="61">
        <f t="shared" si="9"/>
        <v>5164156718.4200001</v>
      </c>
      <c r="H66" s="133">
        <f t="shared" si="6"/>
        <v>14.880124463738202</v>
      </c>
      <c r="I66" s="61"/>
      <c r="J66" s="58"/>
    </row>
    <row r="67" spans="1:10" x14ac:dyDescent="0.3">
      <c r="A67" s="58"/>
      <c r="B67" s="58"/>
      <c r="C67" s="60"/>
      <c r="D67" s="61"/>
      <c r="E67" s="60">
        <f t="shared" si="7"/>
        <v>2019</v>
      </c>
      <c r="F67" s="62">
        <f t="shared" si="8"/>
        <v>280893702</v>
      </c>
      <c r="G67" s="61">
        <f t="shared" si="9"/>
        <v>4712967558.2200003</v>
      </c>
      <c r="H67" s="133">
        <f>+G67/F67</f>
        <v>16.77847358151163</v>
      </c>
      <c r="I67" s="61"/>
      <c r="J67" s="58"/>
    </row>
    <row r="68" spans="1:10" x14ac:dyDescent="0.3">
      <c r="A68" s="58"/>
      <c r="B68" s="58"/>
      <c r="C68" s="60"/>
      <c r="D68" s="61"/>
      <c r="E68" s="60">
        <f t="shared" si="7"/>
        <v>2020</v>
      </c>
      <c r="F68" s="62">
        <f t="shared" si="8"/>
        <v>187244509</v>
      </c>
      <c r="G68" s="61">
        <f t="shared" si="9"/>
        <v>3205267209.75</v>
      </c>
      <c r="H68" s="133">
        <f>+G68/F68</f>
        <v>17.1180838726224</v>
      </c>
      <c r="I68" s="134"/>
      <c r="J68" s="58"/>
    </row>
    <row r="69" spans="1:10" x14ac:dyDescent="0.3">
      <c r="E69" s="60">
        <f t="shared" si="7"/>
        <v>2021</v>
      </c>
      <c r="F69" s="62">
        <f t="shared" si="8"/>
        <v>266280498</v>
      </c>
      <c r="G69" s="61">
        <f t="shared" si="9"/>
        <v>5920915800.2200012</v>
      </c>
      <c r="H69" s="133">
        <f>+G69/F69</f>
        <v>22.235634395651466</v>
      </c>
      <c r="I69" s="137"/>
    </row>
    <row r="70" spans="1:10" x14ac:dyDescent="0.3">
      <c r="E70" s="136">
        <v>2022</v>
      </c>
      <c r="F70" s="62">
        <f t="shared" si="8"/>
        <v>231835936</v>
      </c>
      <c r="G70" s="61">
        <f t="shared" si="9"/>
        <v>6598376154.75</v>
      </c>
      <c r="H70" s="133">
        <f t="shared" ref="H70:H73" si="10">+G70/F70</f>
        <v>28.461403648612958</v>
      </c>
    </row>
    <row r="71" spans="1:10" x14ac:dyDescent="0.3">
      <c r="E71" s="136">
        <v>2023</v>
      </c>
      <c r="F71" s="62">
        <f t="shared" si="8"/>
        <v>225857906</v>
      </c>
      <c r="G71" s="61">
        <f t="shared" si="9"/>
        <v>7465949519.46</v>
      </c>
      <c r="H71" s="133">
        <f t="shared" si="10"/>
        <v>33.055958286711466</v>
      </c>
    </row>
    <row r="72" spans="1:10" x14ac:dyDescent="0.3">
      <c r="E72" s="136">
        <v>2024</v>
      </c>
      <c r="F72" s="62">
        <f t="shared" si="8"/>
        <v>206614871</v>
      </c>
      <c r="G72" s="61">
        <f t="shared" si="9"/>
        <v>7275710844.8400002</v>
      </c>
      <c r="H72" s="133">
        <f t="shared" si="10"/>
        <v>35.213877924788868</v>
      </c>
    </row>
    <row r="73" spans="1:10" x14ac:dyDescent="0.3">
      <c r="E73" s="136">
        <v>2025</v>
      </c>
      <c r="F73" s="62">
        <f t="shared" si="8"/>
        <v>198468303</v>
      </c>
      <c r="G73" s="61">
        <f t="shared" si="9"/>
        <v>5584874764.3600006</v>
      </c>
      <c r="H73" s="133">
        <f t="shared" si="10"/>
        <v>28.139882691293032</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2026-02-20T00:56:49Z</dcterms:created>
  <dcterms:modified xsi:type="dcterms:W3CDTF">2026-02-20T15:28:47Z</dcterms:modified>
</cp:coreProperties>
</file>